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A6FD9FE9-1FAF-4105-AFE7-8556C9ACC525}" xr6:coauthVersionLast="47" xr6:coauthVersionMax="47" xr10:uidLastSave="{00000000-0000-0000-0000-000000000000}"/>
  <bookViews>
    <workbookView xWindow="45" yWindow="30" windowWidth="20445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Import!$B$1:$O$28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7" i="1"/>
  <c r="C26" i="1"/>
  <c r="G26" i="1"/>
  <c r="F26" i="1"/>
  <c r="E26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M7" i="1"/>
  <c r="M8" i="1"/>
  <c r="M9" i="1"/>
  <c r="M25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H17" i="1"/>
  <c r="H11" i="1"/>
  <c r="H8" i="1"/>
  <c r="H21" i="1"/>
  <c r="H10" i="1"/>
  <c r="H12" i="1"/>
  <c r="H23" i="1"/>
  <c r="H13" i="1"/>
  <c r="H7" i="1"/>
  <c r="H22" i="1"/>
  <c r="H14" i="1"/>
  <c r="H15" i="1"/>
  <c r="H9" i="1"/>
  <c r="H16" i="1"/>
  <c r="H24" i="1"/>
  <c r="H18" i="1"/>
  <c r="H25" i="1"/>
  <c r="H19" i="1"/>
  <c r="H20" i="1"/>
  <c r="U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26" i="1"/>
  <c r="R26" i="1" s="1"/>
  <c r="Q27" i="1"/>
  <c r="Q28" i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E13" i="3"/>
  <c r="D13" i="3"/>
  <c r="E12" i="3"/>
  <c r="AP6" i="3"/>
  <c r="I13" i="1" l="1"/>
  <c r="J13" i="1" s="1"/>
  <c r="I11" i="1"/>
  <c r="I18" i="1"/>
  <c r="I9" i="1"/>
  <c r="J9" i="1" s="1"/>
  <c r="I10" i="1"/>
  <c r="J10" i="1" s="1"/>
  <c r="I15" i="1"/>
  <c r="J15" i="1" s="1"/>
  <c r="I21" i="1"/>
  <c r="J21" i="1" s="1"/>
  <c r="I25" i="1"/>
  <c r="J25" i="1" s="1"/>
  <c r="I7" i="1"/>
  <c r="J7" i="1" s="1"/>
  <c r="I17" i="1"/>
  <c r="J17" i="1" s="1"/>
  <c r="I20" i="1"/>
  <c r="Q20" i="1" s="1"/>
  <c r="I24" i="1"/>
  <c r="J24" i="1" s="1"/>
  <c r="I14" i="1"/>
  <c r="J14" i="1" s="1"/>
  <c r="I23" i="1"/>
  <c r="J23" i="1" s="1"/>
  <c r="I8" i="1"/>
  <c r="I19" i="1"/>
  <c r="J19" i="1" s="1"/>
  <c r="I16" i="1"/>
  <c r="J16" i="1" s="1"/>
  <c r="I22" i="1"/>
  <c r="Q23" i="1" s="1"/>
  <c r="I12" i="1"/>
  <c r="Q12" i="1" s="1"/>
  <c r="N8" i="1"/>
  <c r="H26" i="1"/>
  <c r="V25" i="1" s="1"/>
  <c r="Q13" i="1"/>
  <c r="N22" i="1"/>
  <c r="N18" i="1"/>
  <c r="N14" i="1"/>
  <c r="N10" i="1"/>
  <c r="N7" i="1"/>
  <c r="N21" i="1"/>
  <c r="N17" i="1"/>
  <c r="N13" i="1"/>
  <c r="N25" i="1"/>
  <c r="J22" i="1"/>
  <c r="J18" i="1"/>
  <c r="N24" i="1"/>
  <c r="N20" i="1"/>
  <c r="N16" i="1"/>
  <c r="N12" i="1"/>
  <c r="N9" i="1"/>
  <c r="N23" i="1"/>
  <c r="N19" i="1"/>
  <c r="N15" i="1"/>
  <c r="N11" i="1"/>
  <c r="V13" i="1"/>
  <c r="V11" i="1"/>
  <c r="Q15" i="1"/>
  <c r="Q11" i="1"/>
  <c r="J20" i="1"/>
  <c r="Q18" i="1"/>
  <c r="J11" i="1"/>
  <c r="V26" i="1"/>
  <c r="U30" i="1"/>
  <c r="U42" i="1"/>
  <c r="U27" i="1"/>
  <c r="U39" i="1"/>
  <c r="U43" i="1"/>
  <c r="U36" i="1"/>
  <c r="U40" i="1"/>
  <c r="U33" i="1"/>
  <c r="U37" i="1"/>
  <c r="P33" i="1"/>
  <c r="P29" i="1"/>
  <c r="P41" i="1"/>
  <c r="P37" i="1"/>
  <c r="P40" i="1"/>
  <c r="P32" i="1"/>
  <c r="P43" i="1"/>
  <c r="P39" i="1"/>
  <c r="P35" i="1"/>
  <c r="P31" i="1"/>
  <c r="P27" i="1"/>
  <c r="P44" i="1"/>
  <c r="P36" i="1"/>
  <c r="P28" i="1"/>
  <c r="P42" i="1"/>
  <c r="P38" i="1"/>
  <c r="P34" i="1"/>
  <c r="P30" i="1"/>
  <c r="Q26" i="1"/>
  <c r="P45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9" i="1" l="1"/>
  <c r="L9" i="1" s="1"/>
  <c r="Q19" i="1"/>
  <c r="Q10" i="1"/>
  <c r="V15" i="1"/>
  <c r="V20" i="1"/>
  <c r="Q22" i="1"/>
  <c r="L22" i="1" s="1"/>
  <c r="Q7" i="1"/>
  <c r="L7" i="1" s="1"/>
  <c r="V14" i="1"/>
  <c r="V24" i="1"/>
  <c r="V17" i="1"/>
  <c r="V18" i="1"/>
  <c r="V16" i="1"/>
  <c r="V9" i="1"/>
  <c r="Q24" i="1"/>
  <c r="L10" i="1"/>
  <c r="L12" i="1"/>
  <c r="Q16" i="1"/>
  <c r="L15" i="1" s="1"/>
  <c r="Q14" i="1"/>
  <c r="L13" i="1" s="1"/>
  <c r="L11" i="1"/>
  <c r="I26" i="1"/>
  <c r="Q21" i="1"/>
  <c r="L20" i="1" s="1"/>
  <c r="L18" i="1"/>
  <c r="L19" i="1"/>
  <c r="L23" i="1"/>
  <c r="J8" i="1"/>
  <c r="Q8" i="1"/>
  <c r="L8" i="1" s="1"/>
  <c r="J12" i="1"/>
  <c r="Q17" i="1"/>
  <c r="Q25" i="1"/>
  <c r="U29" i="1"/>
  <c r="U32" i="1"/>
  <c r="U35" i="1"/>
  <c r="U38" i="1"/>
  <c r="V22" i="1"/>
  <c r="V19" i="1"/>
  <c r="V8" i="1"/>
  <c r="V12" i="1"/>
  <c r="V10" i="1"/>
  <c r="U41" i="1"/>
  <c r="U44" i="1"/>
  <c r="U28" i="1"/>
  <c r="U31" i="1"/>
  <c r="U34" i="1"/>
  <c r="V7" i="1"/>
  <c r="V23" i="1"/>
  <c r="V21" i="1"/>
  <c r="N26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4" i="1" l="1"/>
  <c r="L16" i="1"/>
  <c r="J26" i="1"/>
  <c r="L17" i="1"/>
  <c r="L14" i="1"/>
  <c r="L25" i="1"/>
  <c r="L21" i="1"/>
  <c r="S10" i="1"/>
  <c r="T10" i="1" s="1"/>
  <c r="S14" i="1"/>
  <c r="T14" i="1" s="1"/>
  <c r="S18" i="1"/>
  <c r="T18" i="1" s="1"/>
  <c r="S22" i="1"/>
  <c r="T22" i="1" s="1"/>
  <c r="S7" i="1"/>
  <c r="T7" i="1" s="1"/>
  <c r="S11" i="1"/>
  <c r="T11" i="1" s="1"/>
  <c r="S15" i="1"/>
  <c r="T15" i="1" s="1"/>
  <c r="S19" i="1"/>
  <c r="T19" i="1" s="1"/>
  <c r="S23" i="1"/>
  <c r="T23" i="1" s="1"/>
  <c r="S8" i="1"/>
  <c r="T8" i="1" s="1"/>
  <c r="S12" i="1"/>
  <c r="T12" i="1" s="1"/>
  <c r="S16" i="1"/>
  <c r="T16" i="1" s="1"/>
  <c r="S20" i="1"/>
  <c r="T20" i="1" s="1"/>
  <c r="S24" i="1"/>
  <c r="T24" i="1" s="1"/>
  <c r="S9" i="1"/>
  <c r="T9" i="1" s="1"/>
  <c r="S13" i="1"/>
  <c r="T13" i="1" s="1"/>
  <c r="S17" i="1"/>
  <c r="T17" i="1" s="1"/>
  <c r="S21" i="1"/>
  <c r="T21" i="1" s="1"/>
  <c r="S25" i="1"/>
  <c r="T25" i="1" s="1"/>
  <c r="S26" i="1"/>
  <c r="T26" i="1" s="1"/>
  <c r="R30" i="1"/>
  <c r="S30" i="1" s="1"/>
  <c r="R34" i="1"/>
  <c r="S34" i="1" s="1"/>
  <c r="R38" i="1"/>
  <c r="S38" i="1" s="1"/>
  <c r="R42" i="1"/>
  <c r="S42" i="1" s="1"/>
  <c r="R28" i="1"/>
  <c r="S28" i="1" s="1"/>
  <c r="R36" i="1"/>
  <c r="S36" i="1" s="1"/>
  <c r="R44" i="1"/>
  <c r="S44" i="1" s="1"/>
  <c r="R27" i="1"/>
  <c r="S27" i="1" s="1"/>
  <c r="R31" i="1"/>
  <c r="S31" i="1" s="1"/>
  <c r="R35" i="1"/>
  <c r="S35" i="1" s="1"/>
  <c r="R39" i="1"/>
  <c r="S39" i="1" s="1"/>
  <c r="R43" i="1"/>
  <c r="S43" i="1" s="1"/>
  <c r="R32" i="1"/>
  <c r="S32" i="1" s="1"/>
  <c r="R40" i="1"/>
  <c r="S40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<sst xmlns="http://schemas.openxmlformats.org/spreadsheetml/2006/main" count="263" uniqueCount="178">
  <si>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</si>
  <si>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</si>
  <si>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</si>
  <si>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</si>
  <si>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</si>
  <si>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</si>
  <si>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</si>
  <si>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</si>
  <si>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</si>
  <si>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</si>
  <si>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</si>
  <si>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</si>
  <si>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</si>
  <si>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</si>
  <si>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</si>
  <si>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</si>
  <si>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</si>
  <si>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</si>
  <si>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</si>
  <si>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</si>
  <si>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</si>
  <si>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</si>
  <si>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</si>
  <si>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</si>
  <si>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</si>
  <si>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</si>
  <si>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</si>
  <si>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</si>
  <si>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</si>
  <si>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</si>
  <si>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</si>
  <si>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</si>
  <si>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</si>
  <si>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</si>
  <si>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</si>
  <si>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</si>
  <si>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</si>
  <si>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</si>
  <si>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</si>
  <si>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</si>
  <si>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</si>
  <si>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</si>
  <si>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</si>
  <si>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</si>
  <si>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</si>
  <si>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</si>
  <si>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</si>
  <si>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</si>
  <si>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</si>
  <si>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</si>
  <si>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</si>
  <si>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</si>
  <si>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</si>
  <si>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</si>
  <si>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</si>
  <si>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</si>
  <si>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</si>
  <si>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</si>
  <si>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</si>
  <si>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</si>
  <si>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</si>
  <si>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</si>
  <si>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</si>
  <si>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</si>
  <si>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</si>
  <si>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</si>
  <si>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</si>
  <si>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</si>
  <si>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</si>
  <si>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</si>
  <si>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</si>
  <si>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</si>
  <si>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</si>
  <si>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</si>
  <si>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</si>
  <si>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</si>
  <si>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</si>
  <si>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</si>
  <si>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</si>
  <si>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</si>
  <si>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</si>
  <si>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</si>
  <si>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</si>
  <si>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</si>
  <si>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</si>
  <si>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</si>
  <si>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</si>
  <si>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</si>
  <si>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</si>
  <si>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</si>
  <si>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</si>
  <si>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</si>
  <si>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</si>
  <si>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</si>
  <si>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</si>
  <si>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</si>
  <si>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</si>
  <si>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</si>
  <si>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</si>
  <si>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</si>
  <si>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</si>
  <si>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</si>
  <si>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</si>
  <si>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</si>
  <si>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</si>
  <si>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</si>
  <si>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</si>
  <si>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</si>
  <si>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</si>
  <si>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</si>
  <si>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</si>
  <si>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</si>
  <si>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</si>
  <si>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</si>
  <si>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</si>
  <si>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</si>
  <si>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</si>
  <si>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</si>
  <si>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</si>
  <si>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</si>
  <si>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</si>
  <si>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</si>
  <si>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</si>
  <si>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</si>
  <si>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</si>
  <si>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</si>
  <si>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</si>
  <si>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</si>
  <si>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</si>
  <si>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</si>
  <si>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</si>
  <si>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</si>
  <si>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</si>
  <si>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</si>
  <si>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</si>
  <si>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</si>
  <si>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</si>
  <si>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</si>
  <si>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</si>
  <si>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</si>
  <si>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</si>
  <si>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</si>
  <si>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</si>
  <si>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</si>
  <si>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</si>
  <si>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</si>
  <si>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</si>
  <si>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</si>
  <si>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MONTOYA OSPINA GILBERTO ANTONIO</t>
  </si>
  <si>
    <t>GONZALEZ IPUANA RENE</t>
  </si>
  <si>
    <t>ALBERTO ARISTIZABAL RAFAEL</t>
  </si>
  <si>
    <t>VERENZUELA MARTINEZ ALEXANDER</t>
  </si>
  <si>
    <t>QUIRAMA CASTAÑEDA JHON JADER</t>
  </si>
  <si>
    <t>AGUDELO GARCIA LLORDIN ELIAS</t>
  </si>
  <si>
    <t>SUAREZ ESCUDERO JONATAN</t>
  </si>
  <si>
    <t>SANCHEZ BETANCOURT FRANSCISCO</t>
  </si>
  <si>
    <t>OCAMPO OCAMPO ANTONIO JOSE</t>
  </si>
  <si>
    <t>PEREZ GARCIA JUAN ESTEBAN</t>
  </si>
  <si>
    <t>PALMAR PANA EDIXON JOSUE</t>
  </si>
  <si>
    <t>VALENCIA MENDOZA JHON</t>
  </si>
  <si>
    <t>OSORIO URREGO SANTIAGO</t>
  </si>
  <si>
    <t>MACIAS HERNANDEZ JULIAN DAVID</t>
  </si>
  <si>
    <t>GONZALEZ PEREZ RAFAEL JOSE</t>
  </si>
  <si>
    <t>CIRO MARIN RODRIGO ALBERTO</t>
  </si>
  <si>
    <t>PARRA VILLA YUBER ALONSO</t>
  </si>
  <si>
    <t>88XM</t>
  </si>
  <si>
    <t>JIMENEZ HERNANDEZ ESTEBAN CAMILO</t>
  </si>
  <si>
    <t>MARIN ALZATE KEVIN ANDRES</t>
  </si>
  <si>
    <t xml:space="preserve">4 Descuentos (Despachador y usuarios desubicados) </t>
  </si>
  <si>
    <t xml:space="preserve">2 Descuentos (Conducts) </t>
  </si>
  <si>
    <t xml:space="preserve">5 Descuentos (Conducts) </t>
  </si>
  <si>
    <t xml:space="preserve">3 Descuentos (Despachador y usuario desubicado) </t>
  </si>
  <si>
    <t xml:space="preserve">3 Descuentos (Asociados) </t>
  </si>
  <si>
    <t xml:space="preserve">1 Descuento (Usuario desubicado) </t>
  </si>
  <si>
    <t xml:space="preserve">3 Descuentos (Conduct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</si>
  <si>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17.2 USUARIOS</t>
    </r>
  </si>
  <si>
    <t xml:space="preserve">Se descuenta 0.5 viaje de 3 50 pm ya que NO ingresa a placita zea. </t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</si>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</sst>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Import!$C$7:$C$26</c:f>
              <c:numCache>
                <c:formatCode>General</c:formatCode>
                <c:ptCount val="19"/>
                <c:pt idx="0">
                  <c:v>3</c:v>
                </c:pt>
                <c:pt idx="1">
                  <c:v>4</c:v>
                </c:pt>
                <c:pt idx="2" formatCode="0">
                  <c:v>8</c:v>
                </c:pt>
                <c:pt idx="3" formatCode="0">
                  <c:v>12</c:v>
                </c:pt>
                <c:pt idx="4" formatCode="0">
                  <c:v>16</c:v>
                </c:pt>
                <c:pt idx="5" formatCode="0">
                  <c:v>18</c:v>
                </c:pt>
                <c:pt idx="6" formatCode="0">
                  <c:v>20</c:v>
                </c:pt>
                <c:pt idx="7" formatCode="0">
                  <c:v>22</c:v>
                </c:pt>
                <c:pt idx="8" formatCode="0">
                  <c:v>24</c:v>
                </c:pt>
                <c:pt idx="9" formatCode="0">
                  <c:v>27</c:v>
                </c:pt>
                <c:pt idx="10">
                  <c:v>28</c:v>
                </c:pt>
                <c:pt idx="11" formatCode="0">
                  <c:v>30</c:v>
                </c:pt>
                <c:pt idx="12">
                  <c:v>32</c:v>
                </c:pt>
                <c:pt idx="13" formatCode="0">
                  <c:v>34</c:v>
                </c:pt>
                <c:pt idx="14" formatCode="0">
                  <c:v>38</c:v>
                </c:pt>
                <c:pt idx="15" formatCode="0">
                  <c:v>39</c:v>
                </c:pt>
                <c:pt idx="16" formatCode="0">
                  <c:v>40</c:v>
                </c:pt>
                <c:pt idx="17" formatCode="0">
                  <c:v>43</c:v>
                </c:pt>
                <c:pt idx="18" formatCode="0">
                  <c:v>44</c:v>
                </c:pt>
              </c:numCache>
            </c:numRef>
          </c:cat>
          <c:val>
            <c:numRef>
              <c:f>Import!$H$7:$H$26</c:f>
              <c:numCache>
                <c:formatCode>_-* #,##0.0_-;\-* #,##0.0_-;_-* "-"??_-;_-@_-</c:formatCode>
                <c:ptCount val="19"/>
                <c:pt idx="0">
                  <c:v>23.444444444444443</c:v>
                </c:pt>
                <c:pt idx="1">
                  <c:v>20.3</c:v>
                </c:pt>
                <c:pt idx="2">
                  <c:v>14.727272727272727</c:v>
                </c:pt>
                <c:pt idx="3">
                  <c:v>16.818181818181817</c:v>
                </c:pt>
                <c:pt idx="4">
                  <c:v>17.636363636363637</c:v>
                </c:pt>
                <c:pt idx="5">
                  <c:v>13.666666666666666</c:v>
                </c:pt>
                <c:pt idx="6">
                  <c:v>19.083333333333332</c:v>
                </c:pt>
                <c:pt idx="7">
                  <c:v>20.444444444444443</c:v>
                </c:pt>
                <c:pt idx="8">
                  <c:v>16.555555555555557</c:v>
                </c:pt>
                <c:pt idx="9">
                  <c:v>19.100000000000001</c:v>
                </c:pt>
                <c:pt idx="10">
                  <c:v>15.111111111111111</c:v>
                </c:pt>
                <c:pt idx="11">
                  <c:v>16</c:v>
                </c:pt>
                <c:pt idx="12">
                  <c:v>19.846153846153847</c:v>
                </c:pt>
                <c:pt idx="13">
                  <c:v>16.818181818181817</c:v>
                </c:pt>
                <c:pt idx="14">
                  <c:v>15.7</c:v>
                </c:pt>
                <c:pt idx="15">
                  <c:v>17.600000000000001</c:v>
                </c:pt>
                <c:pt idx="16">
                  <c:v>15.916666666666666</c:v>
                </c:pt>
                <c:pt idx="17">
                  <c:v>17.3</c:v>
                </c:pt>
                <c:pt idx="18">
                  <c:v>12.260869565217391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6" totalsRowCount="1" headerRowDxfId="57" dataDxfId="56" totalsRowDxfId="55">
  <sortState xmlns:xlrd2="http://schemas.microsoft.com/office/spreadsheetml/2017/richdata2" ref="B7:N25">
    <sortCondition ref="C13:C25"/>
  </sortState>
  <tableColumns count="14">
    <tableColumn id="1" xr3:uid="{00000000-0010-0000-0000-000001000000}" name="RUTA" dataDxfId="54" totalsRowDxfId="13"/>
    <tableColumn id="2" xr3:uid="{00000000-0010-0000-0000-000002000000}" name="VEH" totalsRowFunction="countNums" dataDxfId="53" totalsRowDxfId="12"/>
    <tableColumn id="3" xr3:uid="{00000000-0010-0000-0000-000003000000}" name="CONDUCTOR" totalsRowLabel="Vehs " dataDxfId="52" totalsRowDxfId="11"/>
    <tableColumn id="4" xr3:uid="{00000000-0010-0000-0000-000004000000}" name="VIAJES" totalsRowFunction="sum" dataDxfId="51" totalsRowDxfId="10"/>
    <tableColumn id="5" xr3:uid="{00000000-0010-0000-0000-000005000000}" name="VIAJES PERD." totalsRowFunction="sum" dataDxfId="50" totalsRowDxfId="9"/>
    <tableColumn id="6" xr3:uid="{00000000-0010-0000-0000-000006000000}" name="USUARIOS" totalsRowFunction="sum" dataDxfId="49" totalsRowDxfId="8" dataCellStyle="Millares"/>
    <tableColumn id="12" xr3:uid="{00000000-0010-0000-0000-00000C000000}" name="PROM X VIAJE" totalsRowFunction="custom" dataDxfId="4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7" totalsRowDxfId="6" dataCellStyle="Millares"/>
    <tableColumn id="13" xr3:uid="{FCD2DCC9-9A34-483A-B1DC-9E398E7F3EDE}" name="RECIBE / ENTREGA" totalsRowFunction="sum" dataDxfId="46" totalsRowDxfId="5" dataCellStyle="Millares"/>
    <tableColumn id="8" xr3:uid="{00000000-0010-0000-0000-000008000000}" name="NOVEDADES" totalsRowLabel="PROMEDIO X VIAJE 17.2 USUARIOS" dataDxfId="45" totalsRowDxfId="4"/>
    <tableColumn id="9" xr3:uid="{00000000-0010-0000-0000-000009000000}" name="VALOR OPERACIÓN" dataDxfId="44" totalsRowDxfId="3">
      <calculatedColumnFormula>Q7*635</calculatedColumnFormula>
    </tableColumn>
    <tableColumn id="10" xr3:uid="{00000000-0010-0000-0000-00000A000000}" name="CLASIFIC." dataDxfId="43" totalsRowDxfId="2"/>
    <tableColumn id="11" xr3:uid="{00000000-0010-0000-0000-00000B000000}" name="DIFER. MICRO - BUS " totalsRowFunction="sum" dataDxfId="42" totalsRowDxfId="1" dataCellStyle="Millares">
      <calculatedColumnFormula>+(SUMIFS(G:G,M:M,"MICRO",E:E,"&gt;0")*100)/COUNTIF($E$7:$E$25,"&gt;0")</calculatedColumnFormula>
    </tableColumn>
    <tableColumn id="14" xr3:uid="{838D3208-6163-4C26-8FB9-B810707A5F50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1" dataDxfId="40" totalsRowDxfId="3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8" totalsRowDxfId="37"/>
    <tableColumn id="2" xr3:uid="{7E9A4909-E53D-4F94-80A1-A675A394CC57}" name="VEH" totalsRowLabel="4" dataDxfId="36" totalsRowDxfId="35"/>
    <tableColumn id="3" xr3:uid="{32EB6A87-92EF-4CA2-B1E8-104D5D2326F5}" name="CONDUCTOR" totalsRowLabel="Vehs " dataDxfId="34" totalsRowDxfId="33"/>
    <tableColumn id="4" xr3:uid="{72FB169E-4910-4353-AF10-07DA297F0CD5}" name="VIAJES" totalsRowFunction="sum" dataDxfId="32" totalsRowDxfId="31"/>
    <tableColumn id="5" xr3:uid="{F323DE89-3087-4D39-B0ED-15680CB2FE01}" name="VIAJES PERD." totalsRowFunction="sum" dataDxfId="30" totalsRowDxfId="29"/>
    <tableColumn id="6" xr3:uid="{FF87B711-9A02-4FB5-B21F-73198A4385A8}" name="USUARIOS" totalsRowFunction="sum" dataDxfId="28" totalsRowDxfId="27" dataCellStyle="Millares"/>
    <tableColumn id="12" xr3:uid="{60E0DB3A-B7E4-44B6-BB26-D54278C24006}" name="PROM X VIAJE" totalsRowFunction="average" dataDxfId="26" totalsRowDxfId="25" dataCellStyle="Millares"/>
    <tableColumn id="7" xr3:uid="{12134CBA-AEEC-4025-BB5C-89B13D8F91D4}" name="PROM DE USUARIOS" totalsRowFunction="sum" dataDxfId="24" totalsRowDxfId="23" dataCellStyle="Millares"/>
    <tableColumn id="8" xr3:uid="{F35B2CED-DE3E-48D9-8E47-198F9B4F56C9}" name="NOVEDADES" dataDxfId="22" totalsRowDxfId="21"/>
    <tableColumn id="9" xr3:uid="{4BD57B08-79CF-4422-A880-91A289697DC2}" name="VALOR OPERACIÓN" dataDxfId="20" totalsRowDxfId="19" dataCellStyle="Millares"/>
    <tableColumn id="10" xr3:uid="{E8B6C5A5-759D-4901-BD5D-0ADA9540975C}" name="CLASIFIC." dataDxfId="18" totalsRowDxfId="17"/>
    <tableColumn id="11" xr3:uid="{CFA53866-4E21-473F-9C2D-8FB2962BACB5}" name="DIFER. MICRO - BUS " totalsRowFunction="sum" dataDxfId="16" totalsRowDxfId="1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6"/>
  <sheetViews>
    <sheetView showGridLines="0" tabSelected="1" showWhiteSpace="0" topLeftCell="A2" zoomScaleNormal="100" workbookViewId="0">
      <selection activeCell="A2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.6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+SUM(G6:G1837)/2</f>
        <v>3316</v>
      </c>
      <c r="R3" s="55">
        <f>+SUM(E6:E1837)/2</f>
        <v>192</v>
      </c>
      <c r="S3" s="55">
        <f>+Q3-R3</f>
        <v>3124</v>
      </c>
      <c r="T3" s="56">
        <f>+S3/R3</f>
        <v>16.270833333333332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177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165</v>
      </c>
      <c r="C7" s="137">
        <v>3</v>
      </c>
      <c r="D7" s="151" t="s">
        <v>163</v>
      </c>
      <c r="E7" s="150">
        <v>9</v>
      </c>
      <c r="F7" s="150">
        <v>0</v>
      </c>
      <c r="G7" s="146">
        <v>211</v>
      </c>
      <c r="H7" s="226">
        <f t="shared" ref="H7:H25" si="0">+G7/E7</f>
        <v>23.444444444444443</v>
      </c>
      <c r="I7" s="227">
        <f t="shared" ref="I7:I25" si="1">+(SUM($G$7:$G$1048576)/SUM($E$7:$E$1048576))*E7</f>
        <v>155.4375</v>
      </c>
      <c r="J7" s="363">
        <f>+Tabla2[[#This Row],[PROM DE USUARIOS]]-Tabla2[[#This Row],[USUARIOS]]</f>
        <v>-55.5625</v>
      </c>
      <c r="K7" s="151" t="s">
        <v>168</v>
      </c>
      <c r="L7" s="163">
        <f t="shared" ref="L7:L25" si="2">Q7*635</f>
        <v>92987.8125</v>
      </c>
      <c r="M7" s="162" t="str">
        <f>+VLOOKUP(C7,Lista!B:D,3,0)</f>
        <v>MICRO</v>
      </c>
      <c r="N7" s="164">
        <f t="shared" ref="N7:N25" si="3">+(SUMIFS(G:G,M:M,"MICRO",E:E,"&gt;0")*100)/COUNTIF($E$7:$E$25,"&gt;0")</f>
        <v>11410.526315789473</v>
      </c>
      <c r="O7" s="164">
        <f>Tabla2[[#This Row],[USUARIOS]]*150</f>
        <v>31650</v>
      </c>
      <c r="P7" s="50">
        <f t="shared" ref="P7:P25" si="4">+(E7*1)-W7</f>
        <v>9</v>
      </c>
      <c r="Q7" s="47">
        <f t="shared" ref="Q7:Q25" si="5">+I7-P7-X7</f>
        <v>146.4375</v>
      </c>
      <c r="R7" s="49">
        <f t="shared" ref="R7:R25" si="6">+G7-P7</f>
        <v>202</v>
      </c>
      <c r="S7" s="51">
        <f t="shared" ref="S7:S25" si="7">+E7*$T$3</f>
        <v>146.4375</v>
      </c>
      <c r="T7" s="46">
        <f t="shared" ref="T7:T25" si="8">+S7*550</f>
        <v>80540.625</v>
      </c>
      <c r="U7" t="str">
        <f t="shared" ref="U7:U25" si="9">+IF(K7&lt;&gt;"",K7,"")</f>
        <v xml:space="preserve">4 Descuentos (Despachador y usuarios desubicados) </v>
      </c>
      <c r="V7">
        <f t="shared" ref="V7:V25" si="10">+RANK(H7,$H$6:$H$1048576,1)</f>
        <v>20</v>
      </c>
      <c r="W7"/>
      <c r="X7"/>
      <c r="Z7" t="str">
        <f>TRIM(Tabla2[[#This Row],[CONDUCTOR]])</f>
        <v>CIRO MARIN RODRIGO ALBERTO</v>
      </c>
    </row>
    <row r="8" spans="1:32" x14ac:dyDescent="0.2">
      <c r="B8" s="136" t="s">
        <v>165</v>
      </c>
      <c r="C8" s="137">
        <v>4</v>
      </c>
      <c r="D8" s="151" t="s">
        <v>155</v>
      </c>
      <c r="E8" s="150">
        <v>10</v>
      </c>
      <c r="F8" s="150">
        <v>0</v>
      </c>
      <c r="G8" s="165">
        <v>203</v>
      </c>
      <c r="H8" s="226">
        <f t="shared" si="0"/>
        <v>20.3</v>
      </c>
      <c r="I8" s="227">
        <f t="shared" si="1"/>
        <v>172.70833333333331</v>
      </c>
      <c r="J8" s="363">
        <f>+Tabla2[[#This Row],[PROM DE USUARIOS]]-Tabla2[[#This Row],[USUARIOS]]</f>
        <v>-30.291666666666686</v>
      </c>
      <c r="K8" s="151"/>
      <c r="L8" s="163">
        <f t="shared" si="2"/>
        <v>103319.79166666666</v>
      </c>
      <c r="M8" s="162" t="str">
        <f>+VLOOKUP(C8,Lista!B:D,3,0)</f>
        <v>MICRO</v>
      </c>
      <c r="N8" s="164">
        <f t="shared" si="3"/>
        <v>11410.526315789473</v>
      </c>
      <c r="O8" s="164">
        <f>Tabla2[[#This Row],[USUARIOS]]*150</f>
        <v>30450</v>
      </c>
      <c r="P8" s="50">
        <f t="shared" si="4"/>
        <v>10</v>
      </c>
      <c r="Q8" s="47">
        <f t="shared" si="5"/>
        <v>162.70833333333331</v>
      </c>
      <c r="R8" s="49">
        <f t="shared" si="6"/>
        <v>193</v>
      </c>
      <c r="S8" s="51">
        <f t="shared" si="7"/>
        <v>162.70833333333331</v>
      </c>
      <c r="T8" s="46">
        <f t="shared" si="8"/>
        <v>89489.583333333328</v>
      </c>
      <c r="U8" t="str">
        <f t="shared" si="9"/>
        <v/>
      </c>
      <c r="V8">
        <f t="shared" si="10"/>
        <v>18</v>
      </c>
      <c r="Z8" t="str">
        <f>TRIM(Tabla2[[#This Row],[CONDUCTOR]])</f>
        <v>SANCHEZ BETANCOURT FRANSCISCO</v>
      </c>
    </row>
    <row r="9" spans="1:32" x14ac:dyDescent="0.2">
      <c r="B9" s="136" t="s">
        <v>165</v>
      </c>
      <c r="C9" s="166">
        <v>8</v>
      </c>
      <c r="D9" s="151" t="s">
        <v>162</v>
      </c>
      <c r="E9" s="150">
        <v>11</v>
      </c>
      <c r="F9" s="150">
        <v>0.5</v>
      </c>
      <c r="G9" s="146">
        <v>162</v>
      </c>
      <c r="H9" s="226">
        <f t="shared" si="0"/>
        <v>14.727272727272727</v>
      </c>
      <c r="I9" s="364">
        <f t="shared" si="1"/>
        <v>189.97916666666666</v>
      </c>
      <c r="J9" s="363">
        <f>+Tabla2[[#This Row],[PROM DE USUARIOS]]-Tabla2[[#This Row],[USUARIOS]]</f>
        <v>27.979166666666657</v>
      </c>
      <c r="K9" s="151" t="s">
        <v>176</v>
      </c>
      <c r="L9" s="163">
        <f t="shared" si="2"/>
        <v>108485.72833333332</v>
      </c>
      <c r="M9" s="162">
        <f>+VLOOKUP(C9,Lista!B:D,3,0)</f>
        <v>0</v>
      </c>
      <c r="N9" s="164">
        <f t="shared" si="3"/>
        <v>11410.526315789473</v>
      </c>
      <c r="O9" s="164">
        <f>Tabla2[[#This Row],[USUARIOS]]*150</f>
        <v>24300</v>
      </c>
      <c r="P9" s="50">
        <f t="shared" si="4"/>
        <v>10.5</v>
      </c>
      <c r="Q9" s="47">
        <f t="shared" si="5"/>
        <v>170.84366666666665</v>
      </c>
      <c r="R9" s="49">
        <f t="shared" si="6"/>
        <v>151.5</v>
      </c>
      <c r="S9" s="51">
        <f t="shared" si="7"/>
        <v>178.97916666666666</v>
      </c>
      <c r="T9" s="46">
        <f t="shared" si="8"/>
        <v>98438.541666666657</v>
      </c>
      <c r="U9" t="str">
        <f t="shared" si="9"/>
        <v xml:space="preserve">Se descuenta 0.5 viaje de 3 50 pm ya que NO ingresa a placita zea. </v>
      </c>
      <c r="V9">
        <f t="shared" si="10"/>
        <v>3</v>
      </c>
      <c r="W9">
        <v>0.5</v>
      </c>
      <c r="X9">
        <v>8.6355000000000004</v>
      </c>
      <c r="Z9" t="str">
        <f>TRIM(Tabla2[[#This Row],[CONDUCTOR]])</f>
        <v>GONZALEZ PEREZ RAFAEL JOSE</v>
      </c>
    </row>
    <row r="10" spans="1:32" x14ac:dyDescent="0.2">
      <c r="B10" s="136" t="s">
        <v>165</v>
      </c>
      <c r="C10" s="166">
        <v>12</v>
      </c>
      <c r="D10" s="151" t="s">
        <v>161</v>
      </c>
      <c r="E10" s="150">
        <v>11</v>
      </c>
      <c r="F10" s="150">
        <v>0</v>
      </c>
      <c r="G10" s="146">
        <v>185</v>
      </c>
      <c r="H10" s="226">
        <f t="shared" si="0"/>
        <v>16.818181818181817</v>
      </c>
      <c r="I10" s="364">
        <f t="shared" si="1"/>
        <v>189.97916666666666</v>
      </c>
      <c r="J10" s="363">
        <f>+Tabla2[[#This Row],[PROM DE USUARIOS]]-Tabla2[[#This Row],[USUARIOS]]</f>
        <v>4.9791666666666572</v>
      </c>
      <c r="K10" s="151" t="s">
        <v>169</v>
      </c>
      <c r="L10" s="163">
        <f t="shared" si="2"/>
        <v>113651.77083333333</v>
      </c>
      <c r="M10" s="162">
        <f>+VLOOKUP(C10,Lista!B:D,3,0)</f>
        <v>0</v>
      </c>
      <c r="N10" s="164">
        <f t="shared" si="3"/>
        <v>11410.526315789473</v>
      </c>
      <c r="O10" s="164">
        <f>Tabla2[[#This Row],[USUARIOS]]*150</f>
        <v>27750</v>
      </c>
      <c r="P10" s="50">
        <f t="shared" si="4"/>
        <v>11</v>
      </c>
      <c r="Q10" s="47">
        <f t="shared" si="5"/>
        <v>178.97916666666666</v>
      </c>
      <c r="R10" s="49">
        <f t="shared" si="6"/>
        <v>174</v>
      </c>
      <c r="S10" s="51">
        <f t="shared" si="7"/>
        <v>178.97916666666666</v>
      </c>
      <c r="T10" s="46">
        <f t="shared" si="8"/>
        <v>98438.541666666657</v>
      </c>
      <c r="U10" t="str">
        <f t="shared" si="9"/>
        <v xml:space="preserve">2 Descuentos (Conducts) </v>
      </c>
      <c r="V10">
        <f t="shared" si="10"/>
        <v>9</v>
      </c>
      <c r="Z10" t="str">
        <f>TRIM(Tabla2[[#This Row],[CONDUCTOR]])</f>
        <v>MACIAS HERNANDEZ JULIAN DAVID</v>
      </c>
    </row>
    <row r="11" spans="1:32" x14ac:dyDescent="0.2">
      <c r="B11" s="136" t="s">
        <v>165</v>
      </c>
      <c r="C11" s="166">
        <v>16</v>
      </c>
      <c r="D11" s="151" t="s">
        <v>157</v>
      </c>
      <c r="E11" s="150">
        <v>11</v>
      </c>
      <c r="F11" s="150">
        <v>0</v>
      </c>
      <c r="G11" s="165">
        <v>194</v>
      </c>
      <c r="H11" s="226">
        <f t="shared" si="0"/>
        <v>17.636363636363637</v>
      </c>
      <c r="I11" s="227">
        <f t="shared" si="1"/>
        <v>189.97916666666666</v>
      </c>
      <c r="J11" s="363">
        <f>+Tabla2[[#This Row],[PROM DE USUARIOS]]-Tabla2[[#This Row],[USUARIOS]]</f>
        <v>-4.0208333333333428</v>
      </c>
      <c r="K11" s="151" t="s">
        <v>170</v>
      </c>
      <c r="L11" s="163">
        <f t="shared" si="2"/>
        <v>113651.77083333333</v>
      </c>
      <c r="M11" s="162" t="str">
        <f>+VLOOKUP(C11,Lista!B:D,3,0)</f>
        <v>MICRO</v>
      </c>
      <c r="N11" s="164">
        <f t="shared" si="3"/>
        <v>11410.526315789473</v>
      </c>
      <c r="O11" s="164">
        <f>Tabla2[[#This Row],[USUARIOS]]*150</f>
        <v>29100</v>
      </c>
      <c r="P11" s="50">
        <f t="shared" si="4"/>
        <v>11</v>
      </c>
      <c r="Q11" s="47">
        <f t="shared" si="5"/>
        <v>178.97916666666666</v>
      </c>
      <c r="R11" s="49">
        <f t="shared" si="6"/>
        <v>183</v>
      </c>
      <c r="S11" s="51">
        <f t="shared" si="7"/>
        <v>178.97916666666666</v>
      </c>
      <c r="T11" s="46">
        <f t="shared" si="8"/>
        <v>98438.541666666657</v>
      </c>
      <c r="U11" t="str">
        <f t="shared" si="9"/>
        <v xml:space="preserve">5 Descuentos (Conducts) </v>
      </c>
      <c r="V11">
        <f t="shared" si="10"/>
        <v>14</v>
      </c>
      <c r="Z11" t="str">
        <f>TRIM(Tabla2[[#This Row],[CONDUCTOR]])</f>
        <v>PEREZ GARCIA JUAN ESTEBAN</v>
      </c>
    </row>
    <row r="12" spans="1:32" x14ac:dyDescent="0.2">
      <c r="B12" s="136" t="s">
        <v>165</v>
      </c>
      <c r="C12" s="166">
        <v>18</v>
      </c>
      <c r="D12" s="151" t="s">
        <v>150</v>
      </c>
      <c r="E12" s="150">
        <v>9</v>
      </c>
      <c r="F12" s="150">
        <v>0</v>
      </c>
      <c r="G12" s="146">
        <v>123</v>
      </c>
      <c r="H12" s="226">
        <f t="shared" si="0"/>
        <v>13.666666666666666</v>
      </c>
      <c r="I12" s="364">
        <f t="shared" si="1"/>
        <v>155.4375</v>
      </c>
      <c r="J12" s="363">
        <f>+Tabla2[[#This Row],[PROM DE USUARIOS]]-Tabla2[[#This Row],[USUARIOS]]</f>
        <v>32.4375</v>
      </c>
      <c r="K12" s="151"/>
      <c r="L12" s="163">
        <f t="shared" si="2"/>
        <v>92987.8125</v>
      </c>
      <c r="M12" s="162" t="str">
        <f>+VLOOKUP(C12,Lista!B:D,3,0)</f>
        <v>MICRO</v>
      </c>
      <c r="N12" s="164">
        <f t="shared" si="3"/>
        <v>11410.526315789473</v>
      </c>
      <c r="O12" s="164">
        <f>Tabla2[[#This Row],[USUARIOS]]*150</f>
        <v>18450</v>
      </c>
      <c r="P12" s="50">
        <f t="shared" si="4"/>
        <v>9</v>
      </c>
      <c r="Q12" s="47">
        <f t="shared" si="5"/>
        <v>146.4375</v>
      </c>
      <c r="R12" s="49">
        <f t="shared" si="6"/>
        <v>114</v>
      </c>
      <c r="S12" s="51">
        <f t="shared" si="7"/>
        <v>146.4375</v>
      </c>
      <c r="T12" s="46">
        <f t="shared" si="8"/>
        <v>80540.625</v>
      </c>
      <c r="U12" t="str">
        <f t="shared" si="9"/>
        <v/>
      </c>
      <c r="V12">
        <f t="shared" si="10"/>
        <v>2</v>
      </c>
      <c r="Z12" t="str">
        <f>TRIM(Tabla2[[#This Row],[CONDUCTOR]])</f>
        <v>ALBERTO ARISTIZABAL RAFAEL</v>
      </c>
    </row>
    <row r="13" spans="1:32" x14ac:dyDescent="0.2">
      <c r="B13" s="136" t="s">
        <v>165</v>
      </c>
      <c r="C13" s="166">
        <v>20</v>
      </c>
      <c r="D13" s="151" t="s">
        <v>159</v>
      </c>
      <c r="E13" s="150">
        <v>12</v>
      </c>
      <c r="F13" s="150">
        <v>0</v>
      </c>
      <c r="G13" s="146">
        <v>229</v>
      </c>
      <c r="H13" s="226">
        <f t="shared" si="0"/>
        <v>19.083333333333332</v>
      </c>
      <c r="I13" s="364">
        <f t="shared" si="1"/>
        <v>207.25</v>
      </c>
      <c r="J13" s="363">
        <f>+Tabla2[[#This Row],[PROM DE USUARIOS]]-Tabla2[[#This Row],[USUARIOS]]</f>
        <v>-21.75</v>
      </c>
      <c r="K13" s="151"/>
      <c r="L13" s="163">
        <f t="shared" si="2"/>
        <v>123983.75</v>
      </c>
      <c r="M13" s="162" t="str">
        <f>+VLOOKUP(C13,Lista!B:D,3,0)</f>
        <v>MICRO</v>
      </c>
      <c r="N13" s="164">
        <f t="shared" si="3"/>
        <v>11410.526315789473</v>
      </c>
      <c r="O13" s="164">
        <f>Tabla2[[#This Row],[USUARIOS]]*150</f>
        <v>34350</v>
      </c>
      <c r="P13" s="50">
        <f t="shared" si="4"/>
        <v>12</v>
      </c>
      <c r="Q13" s="47">
        <f t="shared" si="5"/>
        <v>195.25</v>
      </c>
      <c r="R13" s="49">
        <f t="shared" si="6"/>
        <v>217</v>
      </c>
      <c r="S13" s="51">
        <f t="shared" si="7"/>
        <v>195.25</v>
      </c>
      <c r="T13" s="46">
        <f t="shared" si="8"/>
        <v>107387.5</v>
      </c>
      <c r="U13" t="str">
        <f t="shared" si="9"/>
        <v/>
      </c>
      <c r="V13">
        <f t="shared" si="10"/>
        <v>15</v>
      </c>
      <c r="Z13" t="str">
        <f>TRIM(Tabla2[[#This Row],[CONDUCTOR]])</f>
        <v>VALENCIA MENDOZA JHON</v>
      </c>
    </row>
    <row r="14" spans="1:32" x14ac:dyDescent="0.2">
      <c r="B14" s="136" t="s">
        <v>165</v>
      </c>
      <c r="C14" s="166">
        <v>22</v>
      </c>
      <c r="D14" s="151" t="s">
        <v>152</v>
      </c>
      <c r="E14" s="150">
        <v>9</v>
      </c>
      <c r="F14" s="150">
        <v>0</v>
      </c>
      <c r="G14" s="165">
        <v>184</v>
      </c>
      <c r="H14" s="226">
        <f t="shared" si="0"/>
        <v>20.444444444444443</v>
      </c>
      <c r="I14" s="227">
        <f t="shared" si="1"/>
        <v>155.4375</v>
      </c>
      <c r="J14" s="363">
        <f>+Tabla2[[#This Row],[PROM DE USUARIOS]]-Tabla2[[#This Row],[USUARIOS]]</f>
        <v>-28.5625</v>
      </c>
      <c r="K14" s="151"/>
      <c r="L14" s="163">
        <f t="shared" si="2"/>
        <v>92987.8125</v>
      </c>
      <c r="M14" s="162">
        <f>+VLOOKUP(C14,Lista!B:D,3,0)</f>
        <v>0</v>
      </c>
      <c r="N14" s="164">
        <f t="shared" si="3"/>
        <v>11410.526315789473</v>
      </c>
      <c r="O14" s="164">
        <f>Tabla2[[#This Row],[USUARIOS]]*150</f>
        <v>27600</v>
      </c>
      <c r="P14" s="50">
        <f t="shared" si="4"/>
        <v>9</v>
      </c>
      <c r="Q14" s="47">
        <f t="shared" si="5"/>
        <v>146.4375</v>
      </c>
      <c r="R14" s="49">
        <f t="shared" si="6"/>
        <v>175</v>
      </c>
      <c r="S14" s="51">
        <f t="shared" si="7"/>
        <v>146.4375</v>
      </c>
      <c r="T14" s="46">
        <f t="shared" si="8"/>
        <v>80540.625</v>
      </c>
      <c r="U14" t="str">
        <f t="shared" si="9"/>
        <v/>
      </c>
      <c r="V14">
        <f t="shared" si="10"/>
        <v>19</v>
      </c>
      <c r="Z14" t="str">
        <f>TRIM(Tabla2[[#This Row],[CONDUCTOR]])</f>
        <v>QUIRAMA CASTAÑEDA JHON JADER</v>
      </c>
    </row>
    <row r="15" spans="1:32" x14ac:dyDescent="0.2">
      <c r="B15" s="136" t="s">
        <v>165</v>
      </c>
      <c r="C15" s="166">
        <v>24</v>
      </c>
      <c r="D15" s="151" t="s">
        <v>166</v>
      </c>
      <c r="E15" s="150">
        <v>9</v>
      </c>
      <c r="F15" s="150">
        <v>0</v>
      </c>
      <c r="G15" s="165">
        <v>149</v>
      </c>
      <c r="H15" s="226">
        <f t="shared" si="0"/>
        <v>16.555555555555557</v>
      </c>
      <c r="I15" s="227">
        <f t="shared" si="1"/>
        <v>155.4375</v>
      </c>
      <c r="J15" s="363">
        <f>+Tabla2[[#This Row],[PROM DE USUARIOS]]-Tabla2[[#This Row],[USUARIOS]]</f>
        <v>6.4375</v>
      </c>
      <c r="K15" s="151"/>
      <c r="L15" s="163">
        <f t="shared" si="2"/>
        <v>92987.8125</v>
      </c>
      <c r="M15" s="162" t="str">
        <f>+VLOOKUP(C15,Lista!B:D,3,0)</f>
        <v>MICRO</v>
      </c>
      <c r="N15" s="164">
        <f t="shared" si="3"/>
        <v>11410.526315789473</v>
      </c>
      <c r="O15" s="164">
        <f>Tabla2[[#This Row],[USUARIOS]]*150</f>
        <v>22350</v>
      </c>
      <c r="P15" s="50">
        <f t="shared" si="4"/>
        <v>9</v>
      </c>
      <c r="Q15" s="47">
        <f t="shared" si="5"/>
        <v>146.4375</v>
      </c>
      <c r="R15" s="49">
        <f t="shared" si="6"/>
        <v>140</v>
      </c>
      <c r="S15" s="51">
        <f t="shared" si="7"/>
        <v>146.4375</v>
      </c>
      <c r="T15" s="46">
        <f t="shared" si="8"/>
        <v>80540.625</v>
      </c>
      <c r="U15" t="str">
        <f t="shared" si="9"/>
        <v/>
      </c>
      <c r="V15">
        <f t="shared" si="10"/>
        <v>8</v>
      </c>
      <c r="Z15" t="str">
        <f>TRIM(Tabla2[[#This Row],[CONDUCTOR]])</f>
        <v>JIMENEZ HERNANDEZ ESTEBAN CAMILO</v>
      </c>
    </row>
    <row r="16" spans="1:32" x14ac:dyDescent="0.2">
      <c r="B16" s="136" t="s">
        <v>165</v>
      </c>
      <c r="C16" s="166">
        <v>27</v>
      </c>
      <c r="D16" s="151" t="s">
        <v>151</v>
      </c>
      <c r="E16" s="150">
        <v>10</v>
      </c>
      <c r="F16" s="150">
        <v>0</v>
      </c>
      <c r="G16" s="146">
        <v>191</v>
      </c>
      <c r="H16" s="226">
        <f t="shared" si="0"/>
        <v>19.100000000000001</v>
      </c>
      <c r="I16" s="227">
        <f t="shared" si="1"/>
        <v>172.70833333333331</v>
      </c>
      <c r="J16" s="363">
        <f>+Tabla2[[#This Row],[PROM DE USUARIOS]]-Tabla2[[#This Row],[USUARIOS]]</f>
        <v>-18.291666666666686</v>
      </c>
      <c r="K16" s="151"/>
      <c r="L16" s="163">
        <f t="shared" si="2"/>
        <v>103319.79166666666</v>
      </c>
      <c r="M16" s="162">
        <f>+VLOOKUP(C16,Lista!B:D,3,0)</f>
        <v>0</v>
      </c>
      <c r="N16" s="164">
        <f t="shared" si="3"/>
        <v>11410.526315789473</v>
      </c>
      <c r="O16" s="164">
        <f>Tabla2[[#This Row],[USUARIOS]]*150</f>
        <v>28650</v>
      </c>
      <c r="P16" s="50">
        <f t="shared" si="4"/>
        <v>10</v>
      </c>
      <c r="Q16" s="47">
        <f t="shared" si="5"/>
        <v>162.70833333333331</v>
      </c>
      <c r="R16" s="49">
        <f t="shared" si="6"/>
        <v>181</v>
      </c>
      <c r="S16" s="51">
        <f t="shared" si="7"/>
        <v>162.70833333333331</v>
      </c>
      <c r="T16" s="46">
        <f t="shared" si="8"/>
        <v>89489.583333333328</v>
      </c>
      <c r="U16" t="str">
        <f t="shared" si="9"/>
        <v/>
      </c>
      <c r="V16">
        <f t="shared" si="10"/>
        <v>16</v>
      </c>
      <c r="Z16" t="str">
        <f>TRIM(Tabla2[[#This Row],[CONDUCTOR]])</f>
        <v>VERENZUELA MARTINEZ ALEXANDER</v>
      </c>
    </row>
    <row r="17" spans="2:26" x14ac:dyDescent="0.2">
      <c r="B17" s="136" t="s">
        <v>165</v>
      </c>
      <c r="C17" s="137">
        <v>28</v>
      </c>
      <c r="D17" s="151" t="s">
        <v>154</v>
      </c>
      <c r="E17" s="150">
        <v>9</v>
      </c>
      <c r="F17" s="150">
        <v>0</v>
      </c>
      <c r="G17" s="146">
        <v>136</v>
      </c>
      <c r="H17" s="226">
        <f t="shared" si="0"/>
        <v>15.111111111111111</v>
      </c>
      <c r="I17" s="227">
        <f t="shared" si="1"/>
        <v>155.4375</v>
      </c>
      <c r="J17" s="363">
        <f>+Tabla2[[#This Row],[PROM DE USUARIOS]]-Tabla2[[#This Row],[USUARIOS]]</f>
        <v>19.4375</v>
      </c>
      <c r="K17" s="151" t="s">
        <v>171</v>
      </c>
      <c r="L17" s="163">
        <f t="shared" si="2"/>
        <v>92987.8125</v>
      </c>
      <c r="M17" s="162" t="str">
        <f>+VLOOKUP(C17,Lista!B:D,3,0)</f>
        <v>MICRO</v>
      </c>
      <c r="N17" s="164">
        <f t="shared" si="3"/>
        <v>11410.526315789473</v>
      </c>
      <c r="O17" s="164">
        <f>Tabla2[[#This Row],[USUARIOS]]*150</f>
        <v>20400</v>
      </c>
      <c r="P17" s="50">
        <f t="shared" si="4"/>
        <v>9</v>
      </c>
      <c r="Q17" s="47">
        <f t="shared" si="5"/>
        <v>146.4375</v>
      </c>
      <c r="R17" s="49">
        <f t="shared" si="6"/>
        <v>127</v>
      </c>
      <c r="S17" s="51">
        <f t="shared" si="7"/>
        <v>146.4375</v>
      </c>
      <c r="T17" s="46">
        <f t="shared" si="8"/>
        <v>80540.625</v>
      </c>
      <c r="U17" t="str">
        <f t="shared" si="9"/>
        <v xml:space="preserve">3 Descuentos (Despachador y usuario desubicado) </v>
      </c>
      <c r="V17">
        <f t="shared" si="10"/>
        <v>4</v>
      </c>
      <c r="Z17" t="str">
        <f>TRIM(Tabla2[[#This Row],[CONDUCTOR]])</f>
        <v>SUAREZ ESCUDERO JONATAN</v>
      </c>
    </row>
    <row r="18" spans="2:26" x14ac:dyDescent="0.2">
      <c r="B18" s="136" t="s">
        <v>165</v>
      </c>
      <c r="C18" s="166">
        <v>30</v>
      </c>
      <c r="D18" s="151" t="s">
        <v>153</v>
      </c>
      <c r="E18" s="150">
        <v>7</v>
      </c>
      <c r="F18" s="150">
        <v>0</v>
      </c>
      <c r="G18" s="165">
        <v>112</v>
      </c>
      <c r="H18" s="226">
        <f t="shared" si="0"/>
        <v>16</v>
      </c>
      <c r="I18" s="227">
        <f t="shared" si="1"/>
        <v>120.89583333333333</v>
      </c>
      <c r="J18" s="363">
        <f>+Tabla2[[#This Row],[PROM DE USUARIOS]]-Tabla2[[#This Row],[USUARIOS]]</f>
        <v>8.8958333333333286</v>
      </c>
      <c r="K18" s="151"/>
      <c r="L18" s="163">
        <f t="shared" si="2"/>
        <v>72323.854166666657</v>
      </c>
      <c r="M18" s="162">
        <f>+VLOOKUP(C18,Lista!B:D,3,0)</f>
        <v>0</v>
      </c>
      <c r="N18" s="164">
        <f t="shared" si="3"/>
        <v>11410.526315789473</v>
      </c>
      <c r="O18" s="164">
        <f>Tabla2[[#This Row],[USUARIOS]]*150</f>
        <v>16800</v>
      </c>
      <c r="P18" s="50">
        <f t="shared" si="4"/>
        <v>7</v>
      </c>
      <c r="Q18" s="47">
        <f t="shared" si="5"/>
        <v>113.89583333333333</v>
      </c>
      <c r="R18" s="49">
        <f t="shared" si="6"/>
        <v>105</v>
      </c>
      <c r="S18" s="51">
        <f t="shared" si="7"/>
        <v>113.89583333333333</v>
      </c>
      <c r="T18" s="46">
        <f t="shared" si="8"/>
        <v>62642.708333333328</v>
      </c>
      <c r="U18" t="str">
        <f t="shared" si="9"/>
        <v/>
      </c>
      <c r="V18">
        <f t="shared" si="10"/>
        <v>7</v>
      </c>
      <c r="Z18" t="str">
        <f>TRIM(Tabla2[[#This Row],[CONDUCTOR]])</f>
        <v>AGUDELO GARCIA LLORDIN ELIAS</v>
      </c>
    </row>
    <row r="19" spans="2:26" x14ac:dyDescent="0.2">
      <c r="B19" s="136" t="s">
        <v>165</v>
      </c>
      <c r="C19" s="137">
        <v>32</v>
      </c>
      <c r="D19" s="151" t="s">
        <v>160</v>
      </c>
      <c r="E19" s="150">
        <v>13</v>
      </c>
      <c r="F19" s="150">
        <v>0</v>
      </c>
      <c r="G19" s="146">
        <v>258</v>
      </c>
      <c r="H19" s="226">
        <f t="shared" si="0"/>
        <v>19.846153846153847</v>
      </c>
      <c r="I19" s="227">
        <f t="shared" si="1"/>
        <v>224.52083333333331</v>
      </c>
      <c r="J19" s="363">
        <f>+Tabla2[[#This Row],[PROM DE USUARIOS]]-Tabla2[[#This Row],[USUARIOS]]</f>
        <v>-33.479166666666686</v>
      </c>
      <c r="K19" s="151"/>
      <c r="L19" s="163">
        <f t="shared" si="2"/>
        <v>134315.72916666666</v>
      </c>
      <c r="M19" s="162" t="str">
        <f>+VLOOKUP(C19,Lista!B:D,3,0)</f>
        <v>MICRO</v>
      </c>
      <c r="N19" s="164">
        <f t="shared" si="3"/>
        <v>11410.526315789473</v>
      </c>
      <c r="O19" s="164">
        <f>Tabla2[[#This Row],[USUARIOS]]*150</f>
        <v>38700</v>
      </c>
      <c r="P19" s="50">
        <f t="shared" si="4"/>
        <v>13</v>
      </c>
      <c r="Q19" s="47">
        <f t="shared" si="5"/>
        <v>211.52083333333331</v>
      </c>
      <c r="R19" s="49">
        <f t="shared" si="6"/>
        <v>245</v>
      </c>
      <c r="S19" s="51">
        <f t="shared" si="7"/>
        <v>211.52083333333331</v>
      </c>
      <c r="T19" s="46">
        <f t="shared" si="8"/>
        <v>116336.45833333333</v>
      </c>
      <c r="U19" t="str">
        <f t="shared" si="9"/>
        <v/>
      </c>
      <c r="V19">
        <f t="shared" si="10"/>
        <v>17</v>
      </c>
      <c r="Z19" t="str">
        <f>TRIM(Tabla2[[#This Row],[CONDUCTOR]])</f>
        <v>OSORIO URREGO SANTIAGO</v>
      </c>
    </row>
    <row r="20" spans="2:26" x14ac:dyDescent="0.2">
      <c r="B20" s="136" t="s">
        <v>165</v>
      </c>
      <c r="C20" s="166">
        <v>34</v>
      </c>
      <c r="D20" s="151" t="s">
        <v>148</v>
      </c>
      <c r="E20" s="150">
        <v>11</v>
      </c>
      <c r="F20" s="150">
        <v>0</v>
      </c>
      <c r="G20" s="146">
        <v>185</v>
      </c>
      <c r="H20" s="226">
        <f t="shared" si="0"/>
        <v>16.818181818181817</v>
      </c>
      <c r="I20" s="364">
        <f t="shared" si="1"/>
        <v>189.97916666666666</v>
      </c>
      <c r="J20" s="363">
        <f>+Tabla2[[#This Row],[PROM DE USUARIOS]]-Tabla2[[#This Row],[USUARIOS]]</f>
        <v>4.9791666666666572</v>
      </c>
      <c r="K20" s="151" t="s">
        <v>172</v>
      </c>
      <c r="L20" s="163">
        <f t="shared" si="2"/>
        <v>113651.77083333333</v>
      </c>
      <c r="M20" s="162" t="str">
        <f>+VLOOKUP(C20,Lista!B:D,3,0)</f>
        <v>MICRO</v>
      </c>
      <c r="N20" s="164">
        <f t="shared" si="3"/>
        <v>11410.526315789473</v>
      </c>
      <c r="O20" s="164">
        <f>Tabla2[[#This Row],[USUARIOS]]*150</f>
        <v>27750</v>
      </c>
      <c r="P20" s="50">
        <f t="shared" si="4"/>
        <v>11</v>
      </c>
      <c r="Q20" s="47">
        <f t="shared" si="5"/>
        <v>178.97916666666666</v>
      </c>
      <c r="R20" s="49">
        <f t="shared" si="6"/>
        <v>174</v>
      </c>
      <c r="S20" s="51">
        <f t="shared" si="7"/>
        <v>178.97916666666666</v>
      </c>
      <c r="T20" s="46">
        <f t="shared" si="8"/>
        <v>98438.541666666657</v>
      </c>
      <c r="U20" t="str">
        <f t="shared" si="9"/>
        <v xml:space="preserve">3 Descuentos (Asociados) </v>
      </c>
      <c r="V20">
        <f t="shared" si="10"/>
        <v>9</v>
      </c>
      <c r="Z20" t="str">
        <f>TRIM(Tabla2[[#This Row],[CONDUCTOR]])</f>
        <v>MONTOYA OSPINA GILBERTO ANTONIO</v>
      </c>
    </row>
    <row r="21" spans="2:26" x14ac:dyDescent="0.2">
      <c r="B21" s="136" t="s">
        <v>165</v>
      </c>
      <c r="C21" s="166">
        <v>38</v>
      </c>
      <c r="D21" s="151" t="s">
        <v>149</v>
      </c>
      <c r="E21" s="150">
        <v>10</v>
      </c>
      <c r="F21" s="150">
        <v>0</v>
      </c>
      <c r="G21" s="146">
        <v>157</v>
      </c>
      <c r="H21" s="226">
        <f t="shared" si="0"/>
        <v>15.7</v>
      </c>
      <c r="I21" s="364">
        <f t="shared" si="1"/>
        <v>172.70833333333331</v>
      </c>
      <c r="J21" s="363">
        <f>+Tabla2[[#This Row],[PROM DE USUARIOS]]-Tabla2[[#This Row],[USUARIOS]]</f>
        <v>15.708333333333314</v>
      </c>
      <c r="K21" s="151" t="s">
        <v>173</v>
      </c>
      <c r="L21" s="163">
        <f t="shared" si="2"/>
        <v>103319.79166666666</v>
      </c>
      <c r="M21" s="162" t="str">
        <f>+VLOOKUP(C21,Lista!B:D,3,0)</f>
        <v>MICRO</v>
      </c>
      <c r="N21" s="164">
        <f t="shared" si="3"/>
        <v>11410.526315789473</v>
      </c>
      <c r="O21" s="164">
        <f>Tabla2[[#This Row],[USUARIOS]]*150</f>
        <v>23550</v>
      </c>
      <c r="P21" s="50">
        <f t="shared" si="4"/>
        <v>10</v>
      </c>
      <c r="Q21" s="47">
        <f t="shared" si="5"/>
        <v>162.70833333333331</v>
      </c>
      <c r="R21" s="49">
        <f t="shared" si="6"/>
        <v>147</v>
      </c>
      <c r="S21" s="51">
        <f t="shared" si="7"/>
        <v>162.70833333333331</v>
      </c>
      <c r="T21" s="46">
        <f t="shared" si="8"/>
        <v>89489.583333333328</v>
      </c>
      <c r="U21" t="str">
        <f t="shared" si="9"/>
        <v xml:space="preserve">1 Descuento (Usuario desubicado) </v>
      </c>
      <c r="V21">
        <f t="shared" si="10"/>
        <v>5</v>
      </c>
      <c r="Z21" t="str">
        <f>TRIM(Tabla2[[#This Row],[CONDUCTOR]])</f>
        <v>GONZALEZ IPUANA RENE</v>
      </c>
    </row>
    <row r="22" spans="2:26" x14ac:dyDescent="0.2">
      <c r="B22" s="136" t="s">
        <v>165</v>
      </c>
      <c r="C22" s="166">
        <v>39</v>
      </c>
      <c r="D22" s="151" t="s">
        <v>158</v>
      </c>
      <c r="E22" s="150">
        <v>7.5</v>
      </c>
      <c r="F22" s="150">
        <v>0.5</v>
      </c>
      <c r="G22" s="146">
        <v>132</v>
      </c>
      <c r="H22" s="226">
        <f t="shared" si="0"/>
        <v>17.600000000000001</v>
      </c>
      <c r="I22" s="364">
        <f t="shared" si="1"/>
        <v>129.53125</v>
      </c>
      <c r="J22" s="363">
        <f>+Tabla2[[#This Row],[PROM DE USUARIOS]]-Tabla2[[#This Row],[USUARIOS]]</f>
        <v>-2.46875</v>
      </c>
      <c r="K22" s="151"/>
      <c r="L22" s="163">
        <f t="shared" si="2"/>
        <v>77489.84375</v>
      </c>
      <c r="M22" s="162" t="str">
        <f>+VLOOKUP(C22,Lista!B:D,3,0)</f>
        <v>MICRO</v>
      </c>
      <c r="N22" s="164">
        <f t="shared" si="3"/>
        <v>11410.526315789473</v>
      </c>
      <c r="O22" s="164">
        <f>Tabla2[[#This Row],[USUARIOS]]*150</f>
        <v>19800</v>
      </c>
      <c r="P22" s="50">
        <f t="shared" si="4"/>
        <v>7.5</v>
      </c>
      <c r="Q22" s="47">
        <f t="shared" si="5"/>
        <v>122.03125</v>
      </c>
      <c r="R22" s="49">
        <f t="shared" si="6"/>
        <v>124.5</v>
      </c>
      <c r="S22" s="51">
        <f t="shared" si="7"/>
        <v>122.03124999999999</v>
      </c>
      <c r="T22" s="46">
        <f t="shared" si="8"/>
        <v>67117.187499999985</v>
      </c>
      <c r="U22" t="str">
        <f t="shared" si="9"/>
        <v/>
      </c>
      <c r="V22">
        <f t="shared" si="10"/>
        <v>13</v>
      </c>
      <c r="Z22" t="str">
        <f>TRIM(Tabla2[[#This Row],[CONDUCTOR]])</f>
        <v>PALMAR PANA EDIXON JOSUE</v>
      </c>
    </row>
    <row r="23" spans="2:26" x14ac:dyDescent="0.2">
      <c r="B23" s="136" t="s">
        <v>165</v>
      </c>
      <c r="C23" s="166">
        <v>40</v>
      </c>
      <c r="D23" s="151" t="s">
        <v>156</v>
      </c>
      <c r="E23" s="150">
        <v>12</v>
      </c>
      <c r="F23" s="150">
        <v>0</v>
      </c>
      <c r="G23" s="165">
        <v>191</v>
      </c>
      <c r="H23" s="226">
        <f t="shared" si="0"/>
        <v>15.916666666666666</v>
      </c>
      <c r="I23" s="227">
        <f t="shared" si="1"/>
        <v>207.25</v>
      </c>
      <c r="J23" s="363">
        <f>+Tabla2[[#This Row],[PROM DE USUARIOS]]-Tabla2[[#This Row],[USUARIOS]]</f>
        <v>16.25</v>
      </c>
      <c r="K23" s="151" t="s">
        <v>174</v>
      </c>
      <c r="L23" s="163">
        <f t="shared" si="2"/>
        <v>123983.75</v>
      </c>
      <c r="M23" s="162" t="str">
        <f>+VLOOKUP(C23,Lista!B:D,3,0)</f>
        <v>MICRO</v>
      </c>
      <c r="N23" s="164">
        <f t="shared" si="3"/>
        <v>11410.526315789473</v>
      </c>
      <c r="O23" s="164">
        <f>Tabla2[[#This Row],[USUARIOS]]*150</f>
        <v>28650</v>
      </c>
      <c r="P23" s="50">
        <f t="shared" si="4"/>
        <v>12</v>
      </c>
      <c r="Q23" s="47">
        <f t="shared" si="5"/>
        <v>195.25</v>
      </c>
      <c r="R23" s="49">
        <f t="shared" si="6"/>
        <v>179</v>
      </c>
      <c r="S23" s="51">
        <f t="shared" si="7"/>
        <v>195.25</v>
      </c>
      <c r="T23" s="46">
        <f t="shared" si="8"/>
        <v>107387.5</v>
      </c>
      <c r="U23" t="str">
        <f t="shared" si="9"/>
        <v xml:space="preserve">3 Descuentos (Conduct y usuario desubicado) </v>
      </c>
      <c r="V23">
        <f t="shared" si="10"/>
        <v>6</v>
      </c>
      <c r="Z23" t="str">
        <f>TRIM(Tabla2[[#This Row],[CONDUCTOR]])</f>
        <v>OCAMPO OCAMPO ANTONIO JOSE</v>
      </c>
    </row>
    <row r="24" spans="2:26" x14ac:dyDescent="0.2">
      <c r="B24" s="136" t="s">
        <v>165</v>
      </c>
      <c r="C24" s="166">
        <v>43</v>
      </c>
      <c r="D24" s="151" t="s">
        <v>164</v>
      </c>
      <c r="E24" s="150">
        <v>10</v>
      </c>
      <c r="F24" s="150">
        <v>0</v>
      </c>
      <c r="G24" s="165">
        <v>173</v>
      </c>
      <c r="H24" s="226">
        <f t="shared" si="0"/>
        <v>17.3</v>
      </c>
      <c r="I24" s="227">
        <f t="shared" si="1"/>
        <v>172.70833333333331</v>
      </c>
      <c r="J24" s="363">
        <f>+Tabla2[[#This Row],[PROM DE USUARIOS]]-Tabla2[[#This Row],[USUARIOS]]</f>
        <v>-0.29166666666668561</v>
      </c>
      <c r="K24" s="151"/>
      <c r="L24" s="163">
        <f t="shared" si="2"/>
        <v>103319.79166666666</v>
      </c>
      <c r="M24" s="162">
        <f>+VLOOKUP(C24,Lista!B:D,3,0)</f>
        <v>0</v>
      </c>
      <c r="N24" s="164">
        <f t="shared" si="3"/>
        <v>11410.526315789473</v>
      </c>
      <c r="O24" s="164">
        <f>Tabla2[[#This Row],[USUARIOS]]*150</f>
        <v>25950</v>
      </c>
      <c r="P24" s="50">
        <f t="shared" si="4"/>
        <v>10</v>
      </c>
      <c r="Q24" s="47">
        <f t="shared" si="5"/>
        <v>162.70833333333331</v>
      </c>
      <c r="R24" s="49">
        <f t="shared" si="6"/>
        <v>163</v>
      </c>
      <c r="S24" s="51">
        <f t="shared" si="7"/>
        <v>162.70833333333331</v>
      </c>
      <c r="T24" s="46">
        <f t="shared" si="8"/>
        <v>89489.583333333328</v>
      </c>
      <c r="U24" t="str">
        <f t="shared" si="9"/>
        <v/>
      </c>
      <c r="V24">
        <f t="shared" si="10"/>
        <v>12</v>
      </c>
      <c r="Z24" t="str">
        <f>TRIM(Tabla2[[#This Row],[CONDUCTOR]])</f>
        <v>PARRA VILLA YUBER ALONSO</v>
      </c>
    </row>
    <row r="25" spans="2:26" x14ac:dyDescent="0.2">
      <c r="B25" s="136" t="s">
        <v>165</v>
      </c>
      <c r="C25" s="166">
        <v>44</v>
      </c>
      <c r="D25" s="151" t="s">
        <v>167</v>
      </c>
      <c r="E25" s="150">
        <v>11.5</v>
      </c>
      <c r="F25" s="150">
        <v>0.5</v>
      </c>
      <c r="G25" s="165">
        <v>141</v>
      </c>
      <c r="H25" s="226">
        <f t="shared" si="0"/>
        <v>12.260869565217391</v>
      </c>
      <c r="I25" s="227">
        <f t="shared" si="1"/>
        <v>198.61458333333331</v>
      </c>
      <c r="J25" s="363">
        <f>+Tabla2[[#This Row],[PROM DE USUARIOS]]-Tabla2[[#This Row],[USUARIOS]]</f>
        <v>57.614583333333314</v>
      </c>
      <c r="K25" s="151"/>
      <c r="L25" s="163">
        <f t="shared" si="2"/>
        <v>118817.76041666666</v>
      </c>
      <c r="M25" s="162">
        <f>+VLOOKUP(C25,Lista!B:D,3,0)</f>
        <v>0</v>
      </c>
      <c r="N25" s="164">
        <f t="shared" si="3"/>
        <v>11410.526315789473</v>
      </c>
      <c r="O25" s="164">
        <f>Tabla2[[#This Row],[USUARIOS]]*150</f>
        <v>21150</v>
      </c>
      <c r="P25" s="50">
        <f t="shared" si="4"/>
        <v>11.5</v>
      </c>
      <c r="Q25" s="47">
        <f t="shared" si="5"/>
        <v>187.11458333333331</v>
      </c>
      <c r="R25" s="49">
        <f t="shared" si="6"/>
        <v>129.5</v>
      </c>
      <c r="S25" s="51">
        <f t="shared" si="7"/>
        <v>187.11458333333331</v>
      </c>
      <c r="T25" s="46">
        <f t="shared" si="8"/>
        <v>102913.02083333333</v>
      </c>
      <c r="U25" t="str">
        <f t="shared" si="9"/>
        <v/>
      </c>
      <c r="V25">
        <f t="shared" si="10"/>
        <v>1</v>
      </c>
      <c r="Z25" t="str">
        <f>TRIM(Tabla2[[#This Row],[CONDUCTOR]])</f>
        <v>MARIN ALZATE KEVIN ANDRES</v>
      </c>
    </row>
    <row r="26" spans="2:26" x14ac:dyDescent="0.2">
      <c r="B26" s="232"/>
      <c r="C26" s="239">
        <f>SUBTOTAL(102,Tabla2[VEH])</f>
        <v>19</v>
      </c>
      <c r="D26" s="233" t="s">
        <v>127</v>
      </c>
      <c r="E26" s="234">
        <f>SUBTOTAL(109,Tabla2[VIAJES])</f>
        <v>192</v>
      </c>
      <c r="F26" s="234">
        <f>SUBTOTAL(109,Tabla2[VIAJES PERD.])</f>
        <v>1.5</v>
      </c>
      <c r="G26" s="240">
        <f>SUBTOTAL(109,Tabla2[USUARIOS])</f>
        <v>3316</v>
      </c>
      <c r="H26" s="367">
        <f>+Tabla2[[#Totals],[USUARIOS]]/Tabla2[[#Totals],[VIAJES]]</f>
        <v>17.270833333333332</v>
      </c>
      <c r="I26" s="240">
        <f>SUBTOTAL(109,Tabla2[PROM DE USUARIOS])</f>
        <v>3316</v>
      </c>
      <c r="J26" s="366">
        <f>SUBTOTAL(109,Tabla2[RECIBE / ENTREGA])</f>
        <v>-1.5631940186722204E-13</v>
      </c>
      <c r="K26" s="235" t="s">
        <v>175</v>
      </c>
      <c r="L26" s="236"/>
      <c r="M26" s="237"/>
      <c r="N26" s="238">
        <f>SUBTOTAL(109,Tabla2[DIFER. MICRO - BUS ])</f>
        <v>216799.99999999991</v>
      </c>
      <c r="O26" s="238">
        <f>SUBTOTAL(109,Tabla2[FONDO (SIT) ])</f>
        <v>497400</v>
      </c>
      <c r="P26" s="50" t="e">
        <f>+(#REF!*1)-W26</f>
        <v>#REF!</v>
      </c>
      <c r="Q26" s="47" t="e">
        <f>+#REF!-P26-X26</f>
        <v>#REF!</v>
      </c>
      <c r="R26" s="49" t="e">
        <f>+#REF!-P26</f>
        <v>#REF!</v>
      </c>
      <c r="S26" s="51" t="e">
        <f>+#REF!*$T$3</f>
        <v>#REF!</v>
      </c>
      <c r="T26" s="46" t="e">
        <f t="shared" ref="S26:T44" si="11">+S26*550</f>
        <v>#REF!</v>
      </c>
      <c r="U26" t="e">
        <f>+IF(#REF!&lt;&gt;"",#REF!,"")</f>
        <v>#REF!</v>
      </c>
      <c r="V26" t="e">
        <f>+RANK(#REF!,$H$6:$H$1048576,1)</f>
        <v>#REF!</v>
      </c>
      <c r="Z26" t="e">
        <f>TRIM(Tabla2[[#This Row],[CONDUCTOR]])</f>
        <v>#VALUE!</v>
      </c>
    </row>
    <row r="27" spans="2:26" x14ac:dyDescent="0.2">
      <c r="B27" s="245"/>
      <c r="C27" s="246"/>
      <c r="D27" s="247"/>
      <c r="E27" s="248"/>
      <c r="F27" s="248"/>
      <c r="G27" s="249"/>
      <c r="H27" s="250"/>
      <c r="I27" s="251"/>
      <c r="J27" s="341"/>
      <c r="K27" s="247"/>
      <c r="L27" s="252"/>
      <c r="M27" s="253"/>
      <c r="N27" s="203"/>
      <c r="O27" s="50"/>
      <c r="P27" s="47" t="e">
        <f>+#REF!-O27-W27</f>
        <v>#REF!</v>
      </c>
      <c r="Q27" s="49" t="e">
        <f>+#REF!-O27</f>
        <v>#REF!</v>
      </c>
      <c r="R27" s="51" t="e">
        <f>+#REF!*$T$3</f>
        <v>#REF!</v>
      </c>
      <c r="S27" s="46" t="e">
        <f t="shared" si="11"/>
        <v>#REF!</v>
      </c>
      <c r="T27" t="e">
        <f>+IF(#REF!&lt;&gt;"",#REF!,"")</f>
        <v>#REF!</v>
      </c>
      <c r="U27" t="e">
        <f>+RANK(#REF!,$H$6:$H$1048576,1)</f>
        <v>#REF!</v>
      </c>
      <c r="Y27" t="e">
        <f>TRIM(Tabla2[[#This Row],[CONDUCTOR]])</f>
        <v>#VALUE!</v>
      </c>
    </row>
    <row r="28" spans="2:26" x14ac:dyDescent="0.2">
      <c r="B28" s="245"/>
      <c r="C28" s="246"/>
      <c r="D28" s="247"/>
      <c r="E28" s="248"/>
      <c r="F28" s="248"/>
      <c r="G28" s="249"/>
      <c r="H28" s="250"/>
      <c r="I28" s="251"/>
      <c r="J28" s="341"/>
      <c r="K28" s="247"/>
      <c r="L28" s="252"/>
      <c r="M28" s="253"/>
      <c r="N28" s="203"/>
      <c r="O28" s="50"/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11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6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1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6" s="2" customFormat="1" x14ac:dyDescent="0.2">
      <c r="B30" s="245"/>
      <c r="C30" s="246"/>
      <c r="D30" s="247"/>
      <c r="E30" s="248"/>
      <c r="F30" s="248"/>
      <c r="G30" s="254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1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6" x14ac:dyDescent="0.2">
      <c r="B31" s="245"/>
      <c r="C31" s="246"/>
      <c r="D31" s="247"/>
      <c r="E31" s="248"/>
      <c r="F31" s="248"/>
      <c r="G31" s="254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6" x14ac:dyDescent="0.2">
      <c r="B32" s="245"/>
      <c r="C32" s="255"/>
      <c r="D32" s="247"/>
      <c r="E32" s="248"/>
      <c r="F32" s="248"/>
      <c r="G32" s="19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55"/>
      <c r="D33" s="247"/>
      <c r="E33" s="248"/>
      <c r="F33" s="248"/>
      <c r="G33" s="19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2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17">+(E89*1)-V50</f>
        <v>0</v>
      </c>
      <c r="P50" s="134">
        <f t="shared" ref="P50:P55" si="18">+I89-O50-W50</f>
        <v>0</v>
      </c>
      <c r="Q50" s="11">
        <f t="shared" ref="Q50:Q55" si="19">+G89-O50</f>
        <v>0</v>
      </c>
      <c r="R50">
        <f t="shared" ref="R50:R55" si="20">+E89*$T$3</f>
        <v>0</v>
      </c>
      <c r="S50">
        <f t="shared" ref="S50:S55" si="21">+R50*550</f>
        <v>0</v>
      </c>
      <c r="T50" t="str">
        <f t="shared" ref="T50:T55" si="22">+IF(K89&lt;&gt;"",K89,"")</f>
        <v/>
      </c>
      <c r="U50" t="e">
        <f t="shared" ref="U50:U55" si="23">+RANK(H89,$H$6:$H$1048576,1)</f>
        <v>#N/A</v>
      </c>
    </row>
    <row r="51" spans="2:21" x14ac:dyDescent="0.2">
      <c r="B51" s="245"/>
      <c r="C51" s="255"/>
      <c r="D51" s="247"/>
      <c r="E51" s="248"/>
      <c r="F51" s="248"/>
      <c r="G51" s="256"/>
      <c r="H51" s="250"/>
      <c r="I51" s="221"/>
      <c r="J51" s="342"/>
      <c r="K51" s="247"/>
      <c r="L51" s="252"/>
      <c r="M51" s="253"/>
      <c r="N51" s="203"/>
      <c r="O51">
        <f t="shared" si="17"/>
        <v>0</v>
      </c>
      <c r="P51" s="134">
        <f t="shared" si="18"/>
        <v>0</v>
      </c>
      <c r="Q51" s="11">
        <f t="shared" si="19"/>
        <v>0</v>
      </c>
      <c r="R51">
        <f t="shared" si="20"/>
        <v>0</v>
      </c>
      <c r="S51">
        <f t="shared" si="21"/>
        <v>0</v>
      </c>
      <c r="T51" t="str">
        <f t="shared" si="22"/>
        <v/>
      </c>
      <c r="U51" t="e">
        <f t="shared" si="23"/>
        <v>#N/A</v>
      </c>
    </row>
    <row r="52" spans="2:21" x14ac:dyDescent="0.2">
      <c r="B52" s="245"/>
      <c r="C52" s="246"/>
      <c r="D52" s="247"/>
      <c r="E52" s="248"/>
      <c r="F52" s="248"/>
      <c r="G52" s="256"/>
      <c r="H52" s="250"/>
      <c r="I52" s="221"/>
      <c r="J52" s="342"/>
      <c r="K52" s="247"/>
      <c r="L52" s="252"/>
      <c r="M52" s="253"/>
      <c r="N52" s="203"/>
      <c r="O52">
        <f t="shared" si="17"/>
        <v>0</v>
      </c>
      <c r="P52" s="134">
        <f t="shared" si="18"/>
        <v>0</v>
      </c>
      <c r="Q52" s="11">
        <f t="shared" si="19"/>
        <v>0</v>
      </c>
      <c r="R52">
        <f t="shared" si="20"/>
        <v>0</v>
      </c>
      <c r="S52">
        <f t="shared" si="21"/>
        <v>0</v>
      </c>
      <c r="T52" t="str">
        <f t="shared" si="22"/>
        <v/>
      </c>
      <c r="U52" t="e">
        <f t="shared" si="23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21"/>
      <c r="J53" s="342"/>
      <c r="K53" s="247"/>
      <c r="L53" s="252"/>
      <c r="M53" s="253"/>
      <c r="N53" s="203"/>
      <c r="O53">
        <f t="shared" si="17"/>
        <v>0</v>
      </c>
      <c r="P53" s="134">
        <f t="shared" si="18"/>
        <v>0</v>
      </c>
      <c r="Q53" s="11">
        <f t="shared" si="19"/>
        <v>0</v>
      </c>
      <c r="R53">
        <f t="shared" si="20"/>
        <v>0</v>
      </c>
      <c r="S53">
        <f t="shared" si="21"/>
        <v>0</v>
      </c>
      <c r="T53" t="str">
        <f t="shared" si="22"/>
        <v/>
      </c>
      <c r="U53" t="e">
        <f t="shared" si="23"/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21"/>
      <c r="J54" s="342"/>
      <c r="K54" s="247"/>
      <c r="L54" s="252"/>
      <c r="M54" s="253"/>
      <c r="N54" s="203"/>
      <c r="O54">
        <f t="shared" si="17"/>
        <v>0</v>
      </c>
      <c r="P54" s="134">
        <f t="shared" si="18"/>
        <v>0</v>
      </c>
      <c r="Q54" s="11">
        <f t="shared" si="19"/>
        <v>0</v>
      </c>
      <c r="R54">
        <f t="shared" si="20"/>
        <v>0</v>
      </c>
      <c r="S54">
        <f t="shared" si="21"/>
        <v>0</v>
      </c>
      <c r="T54" t="str">
        <f t="shared" si="22"/>
        <v/>
      </c>
      <c r="U54" t="e">
        <f t="shared" si="23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 t="shared" si="17"/>
        <v>0</v>
      </c>
      <c r="P55" s="134">
        <f t="shared" si="18"/>
        <v>0</v>
      </c>
      <c r="Q55" s="11">
        <f t="shared" si="19"/>
        <v>0</v>
      </c>
      <c r="R55">
        <f t="shared" si="20"/>
        <v>0</v>
      </c>
      <c r="S55">
        <f t="shared" si="21"/>
        <v>0</v>
      </c>
      <c r="T55" t="str">
        <f t="shared" si="22"/>
        <v/>
      </c>
      <c r="U55" t="e">
        <f t="shared" si="23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7"/>
      <c r="I56" s="222"/>
      <c r="J56" s="343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58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254"/>
      <c r="H59" s="257"/>
      <c r="I59" s="222"/>
      <c r="J59" s="343"/>
      <c r="K59" s="247"/>
      <c r="L59" s="252"/>
      <c r="M59" s="253"/>
      <c r="N59" s="25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199"/>
      <c r="H63" s="257"/>
      <c r="I63" s="222"/>
      <c r="J63" s="343"/>
      <c r="K63" s="247"/>
      <c r="L63" s="203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6"/>
      <c r="H65" s="250"/>
      <c r="I65" s="221"/>
      <c r="J65" s="342"/>
      <c r="K65" s="247"/>
      <c r="L65" s="252"/>
      <c r="M65" s="253"/>
      <c r="N65" s="258"/>
      <c r="O65">
        <f>+(E58*1)-V65</f>
        <v>0</v>
      </c>
      <c r="P65" s="134">
        <f>+I58-O65-W65</f>
        <v>0</v>
      </c>
      <c r="Q65" s="11">
        <f>+G58-O65</f>
        <v>0</v>
      </c>
      <c r="R65">
        <f>+E58*$T$3</f>
        <v>0</v>
      </c>
      <c r="S65">
        <f t="shared" si="24"/>
        <v>0</v>
      </c>
      <c r="T65" t="str">
        <f>+IF(K58&lt;&gt;"",K58,"")</f>
        <v/>
      </c>
      <c r="U65" t="e">
        <f>+RANK(H58,$H$6:$H$1048576,1)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+(E59*1)-V66</f>
        <v>0</v>
      </c>
      <c r="P66" s="134">
        <f>+I59-O66-W66</f>
        <v>0</v>
      </c>
      <c r="Q66" s="11">
        <f>+G59-O66</f>
        <v>0</v>
      </c>
      <c r="R66">
        <f>+E59*$T$3</f>
        <v>0</v>
      </c>
      <c r="S66">
        <f t="shared" si="24"/>
        <v>0</v>
      </c>
      <c r="T66" t="str">
        <f>+IF(K59&lt;&gt;"",K59,"")</f>
        <v/>
      </c>
      <c r="U66" t="e">
        <f>+RANK(H59,$H$6:$H$1048576,1)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+(E60*1)-V67</f>
        <v>0</v>
      </c>
      <c r="P67" s="134">
        <f>+I60-O67-W67</f>
        <v>0</v>
      </c>
      <c r="Q67" s="11">
        <f>+G60-O67</f>
        <v>0</v>
      </c>
      <c r="R67">
        <f>+E60*$T$3</f>
        <v>0</v>
      </c>
      <c r="S67">
        <f t="shared" si="24"/>
        <v>0</v>
      </c>
      <c r="T67" t="str">
        <f>+IF(K60&lt;&gt;"",K60,"")</f>
        <v/>
      </c>
      <c r="U67" t="e">
        <f>+RANK(H60,$H$6:$H$1048576,1)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+(E61*1)-V68</f>
        <v>0</v>
      </c>
      <c r="P68" s="134">
        <f>+I61-O68-W68</f>
        <v>0</v>
      </c>
      <c r="Q68" s="11">
        <f>+G61-O68</f>
        <v>0</v>
      </c>
      <c r="R68">
        <f>+E61*$T$3</f>
        <v>0</v>
      </c>
      <c r="S68">
        <f t="shared" si="24"/>
        <v>0</v>
      </c>
      <c r="T68" t="str">
        <f>+IF(K61&lt;&gt;"",K61,"")</f>
        <v/>
      </c>
      <c r="U68" t="e">
        <f>+RANK(H61,$H$6:$H$1048576,1)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58"/>
      <c r="O69">
        <f>+(E62*1)-V69</f>
        <v>0</v>
      </c>
      <c r="P69" s="134">
        <f>+I62-O69-W69</f>
        <v>0</v>
      </c>
      <c r="Q69" s="11">
        <f>+G62-O69</f>
        <v>0</v>
      </c>
      <c r="R69">
        <f>+E62*$T$3</f>
        <v>0</v>
      </c>
      <c r="S69">
        <f t="shared" si="24"/>
        <v>0</v>
      </c>
      <c r="T69" t="str">
        <f>+IF(K62&lt;&gt;"",K62,"")</f>
        <v/>
      </c>
      <c r="U69" t="e">
        <f>+RANK(H62,$H$6:$H$1048576,1)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03"/>
      <c r="M71" s="253"/>
      <c r="N71" s="258"/>
    </row>
    <row r="72" spans="2:21" x14ac:dyDescent="0.2">
      <c r="B72" s="245"/>
      <c r="C72" s="255"/>
      <c r="D72" s="247"/>
      <c r="E72" s="248"/>
      <c r="F72" s="248"/>
      <c r="G72" s="199"/>
      <c r="H72" s="257"/>
      <c r="I72" s="222"/>
      <c r="J72" s="343"/>
      <c r="K72" s="247"/>
      <c r="L72" s="203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03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9"/>
      <c r="I77" s="260"/>
      <c r="J77" s="344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6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55"/>
      <c r="D96" s="247"/>
      <c r="E96" s="248"/>
      <c r="F96" s="248"/>
      <c r="G96" s="199"/>
      <c r="H96" s="257"/>
      <c r="I96" s="222"/>
      <c r="J96" s="343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03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03"/>
    </row>
    <row r="102" spans="2:14" x14ac:dyDescent="0.2">
      <c r="B102" s="245"/>
      <c r="C102" s="246"/>
      <c r="D102" s="245"/>
      <c r="E102" s="248"/>
      <c r="F102" s="248"/>
      <c r="G102" s="261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55"/>
      <c r="D107" s="247"/>
      <c r="E107" s="248"/>
      <c r="F107" s="248"/>
      <c r="G107" s="199"/>
      <c r="H107" s="257"/>
      <c r="I107" s="222"/>
      <c r="J107" s="343"/>
      <c r="K107" s="262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0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0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55"/>
      <c r="D116" s="247"/>
      <c r="E116" s="248"/>
      <c r="F116" s="248"/>
      <c r="G116" s="199"/>
      <c r="H116" s="20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0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55"/>
      <c r="D120" s="247"/>
      <c r="E120" s="248"/>
      <c r="F120" s="248"/>
      <c r="G120" s="199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5"/>
      <c r="E122" s="248"/>
      <c r="F122" s="248"/>
      <c r="G122" s="201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0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51"/>
      <c r="J136" s="341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58"/>
    </row>
    <row r="144" spans="2:14" x14ac:dyDescent="0.2">
      <c r="B144" s="245"/>
      <c r="C144" s="246"/>
      <c r="D144" s="247"/>
      <c r="E144" s="248"/>
      <c r="F144" s="248"/>
      <c r="G144" s="254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03"/>
      <c r="M173" s="253"/>
      <c r="N173" s="258"/>
    </row>
    <row r="174" spans="2:14" x14ac:dyDescent="0.2">
      <c r="B174" s="245"/>
      <c r="C174" s="246"/>
      <c r="D174" s="247"/>
      <c r="E174" s="248"/>
      <c r="F174" s="248"/>
      <c r="G174" s="254"/>
      <c r="H174" s="250"/>
      <c r="I174" s="221"/>
      <c r="J174" s="342"/>
      <c r="K174" s="247"/>
      <c r="L174" s="252"/>
      <c r="M174" s="253"/>
      <c r="N174" s="258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44"/>
      <c r="I176" s="222"/>
      <c r="J176" s="343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03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03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03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44"/>
      <c r="I191" s="222"/>
      <c r="J191" s="343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5"/>
      <c r="E198" s="248"/>
      <c r="F198" s="248"/>
      <c r="G198" s="261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5"/>
      <c r="E202" s="248"/>
      <c r="F202" s="248"/>
      <c r="G202" s="261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261"/>
      <c r="H207" s="263"/>
      <c r="I207" s="260"/>
      <c r="J207" s="344"/>
      <c r="K207" s="247"/>
      <c r="L207" s="252"/>
      <c r="M207" s="253"/>
      <c r="N207" s="203"/>
    </row>
    <row r="208" spans="2:14" x14ac:dyDescent="0.2">
      <c r="B208" s="245"/>
      <c r="C208" s="246"/>
      <c r="D208" s="245"/>
      <c r="E208" s="248"/>
      <c r="F208" s="248"/>
      <c r="G208" s="261"/>
      <c r="H208" s="200"/>
      <c r="I208" s="221"/>
      <c r="J208" s="342"/>
      <c r="K208" s="245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55"/>
      <c r="D241" s="247"/>
      <c r="E241" s="248"/>
      <c r="F241" s="248"/>
      <c r="G241" s="261"/>
      <c r="H241" s="200"/>
      <c r="I241" s="221"/>
      <c r="J241" s="342"/>
      <c r="K241" s="245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62"/>
      <c r="L242" s="252"/>
      <c r="M242" s="253"/>
      <c r="N242" s="203"/>
    </row>
    <row r="243" spans="2:14" x14ac:dyDescent="0.2">
      <c r="B243" s="245"/>
      <c r="C243" s="255"/>
      <c r="D243" s="245"/>
      <c r="E243" s="248"/>
      <c r="F243" s="248"/>
      <c r="G243" s="201"/>
      <c r="H243" s="200"/>
      <c r="I243" s="221"/>
      <c r="J243" s="342"/>
      <c r="K243" s="262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5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5"/>
      <c r="E247" s="248"/>
      <c r="F247" s="248"/>
      <c r="G247" s="261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55"/>
      <c r="D248" s="247"/>
      <c r="E248" s="248"/>
      <c r="F248" s="248"/>
      <c r="G248" s="199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55"/>
      <c r="D253" s="245"/>
      <c r="E253" s="248"/>
      <c r="F253" s="248"/>
      <c r="G253" s="201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55"/>
      <c r="D254" s="245"/>
      <c r="E254" s="248"/>
      <c r="F254" s="248"/>
      <c r="G254" s="261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7"/>
      <c r="E258" s="248"/>
      <c r="F258" s="248"/>
      <c r="G258" s="199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5"/>
      <c r="E259" s="248"/>
      <c r="F259" s="248"/>
      <c r="G259" s="261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199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5"/>
      <c r="E264" s="248"/>
      <c r="F264" s="248"/>
      <c r="G264" s="26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2"/>
      <c r="I267" s="223"/>
      <c r="J267" s="345"/>
      <c r="K267" s="264"/>
      <c r="L267" s="252"/>
      <c r="M267" s="253"/>
      <c r="N267" s="265"/>
    </row>
    <row r="268" spans="2:14" x14ac:dyDescent="0.2">
      <c r="B268" s="245"/>
      <c r="C268" s="246"/>
      <c r="D268" s="247"/>
      <c r="E268" s="248"/>
      <c r="F268" s="248"/>
      <c r="G268" s="254"/>
      <c r="H268" s="202"/>
      <c r="I268" s="223"/>
      <c r="J268" s="345"/>
      <c r="K268" s="264"/>
      <c r="L268" s="252"/>
      <c r="M268" s="253"/>
      <c r="N268" s="265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6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6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4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5"/>
      <c r="E282" s="248"/>
      <c r="F282" s="248"/>
      <c r="G282" s="261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7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7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55"/>
      <c r="D355" s="247"/>
      <c r="E355" s="248"/>
      <c r="F355" s="248"/>
      <c r="G355" s="199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55"/>
      <c r="D359" s="247"/>
      <c r="E359" s="248"/>
      <c r="F359" s="248"/>
      <c r="G359" s="199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55"/>
      <c r="D366" s="247"/>
      <c r="E366" s="248"/>
      <c r="F366" s="248"/>
      <c r="G366" s="199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55"/>
      <c r="D371" s="247"/>
      <c r="E371" s="248"/>
      <c r="F371" s="248"/>
      <c r="G371" s="199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5"/>
      <c r="E382" s="248"/>
      <c r="F382" s="248"/>
      <c r="G382" s="261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5"/>
      <c r="E383" s="248"/>
      <c r="F383" s="248"/>
      <c r="G383" s="261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4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4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5"/>
      <c r="E417" s="248"/>
      <c r="F417" s="248"/>
      <c r="G417" s="261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55"/>
      <c r="D423" s="247"/>
      <c r="E423" s="248"/>
      <c r="F423" s="248"/>
      <c r="G423" s="199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55"/>
      <c r="D426" s="247"/>
      <c r="E426" s="248"/>
      <c r="F426" s="248"/>
      <c r="G426" s="199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68"/>
      <c r="F430" s="268"/>
      <c r="G430" s="269"/>
      <c r="H430" s="270"/>
      <c r="I430" s="271"/>
      <c r="J430" s="346"/>
      <c r="K430" s="266"/>
      <c r="L430" s="252"/>
      <c r="M430" s="253"/>
      <c r="N430" s="265"/>
    </row>
    <row r="431" spans="2:14" x14ac:dyDescent="0.2">
      <c r="B431" s="245"/>
      <c r="C431" s="255"/>
      <c r="D431" s="247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199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5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4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5"/>
      <c r="E469" s="248"/>
      <c r="F469" s="248"/>
      <c r="G469" s="261"/>
      <c r="H469" s="202"/>
      <c r="I469" s="223"/>
      <c r="J469" s="345"/>
      <c r="K469" s="264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4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4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4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55"/>
      <c r="D482" s="247"/>
      <c r="E482" s="248"/>
      <c r="F482" s="248"/>
      <c r="G482" s="199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4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7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5"/>
      <c r="E502" s="248"/>
      <c r="F502" s="272"/>
      <c r="G502" s="261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55"/>
      <c r="D506" s="247"/>
      <c r="E506" s="248"/>
      <c r="F506" s="248"/>
      <c r="G506" s="199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5"/>
      <c r="E519" s="248"/>
      <c r="F519" s="248"/>
      <c r="G519" s="261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55"/>
      <c r="D522" s="247"/>
      <c r="E522" s="248"/>
      <c r="F522" s="248"/>
      <c r="G522" s="199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5"/>
      <c r="E525" s="248"/>
      <c r="F525" s="248"/>
      <c r="G525" s="261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5"/>
      <c r="E545" s="248"/>
      <c r="F545" s="248"/>
      <c r="G545" s="20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55"/>
      <c r="D551" s="245"/>
      <c r="E551" s="248"/>
      <c r="F551" s="248"/>
      <c r="G551" s="201"/>
      <c r="H551" s="202"/>
      <c r="I551" s="223"/>
      <c r="J551" s="345"/>
      <c r="K551" s="264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7"/>
      <c r="E553" s="248"/>
      <c r="F553" s="248"/>
      <c r="G553" s="199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55"/>
      <c r="D556" s="247"/>
      <c r="E556" s="248"/>
      <c r="F556" s="248"/>
      <c r="G556" s="199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7"/>
      <c r="E564" s="248"/>
      <c r="F564" s="248"/>
      <c r="G564" s="199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5"/>
      <c r="E573" s="248"/>
      <c r="F573" s="248"/>
      <c r="G573" s="261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5"/>
      <c r="E583" s="248"/>
      <c r="F583" s="248"/>
      <c r="G583" s="201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55"/>
      <c r="D589" s="247"/>
      <c r="E589" s="248"/>
      <c r="F589" s="248"/>
      <c r="G589" s="199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55"/>
      <c r="D590" s="247"/>
      <c r="E590" s="248"/>
      <c r="F590" s="248"/>
      <c r="G590" s="199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4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4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7"/>
      <c r="E620" s="248"/>
      <c r="F620" s="248"/>
      <c r="G620" s="199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7"/>
      <c r="E621" s="248"/>
      <c r="F621" s="248"/>
      <c r="G621" s="199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55"/>
      <c r="D636" s="247"/>
      <c r="E636" s="248"/>
      <c r="F636" s="248"/>
      <c r="G636" s="199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55"/>
      <c r="D652" s="247"/>
      <c r="E652" s="248"/>
      <c r="F652" s="248"/>
      <c r="G652" s="199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5"/>
      <c r="E656" s="248"/>
      <c r="F656" s="248"/>
      <c r="G656" s="261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55"/>
      <c r="D661" s="247"/>
      <c r="E661" s="248"/>
      <c r="F661" s="248"/>
      <c r="G661" s="199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5"/>
      <c r="E664" s="248"/>
      <c r="F664" s="248"/>
      <c r="G664" s="261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4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4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5"/>
      <c r="E680" s="248"/>
      <c r="F680" s="248"/>
      <c r="G680" s="201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7"/>
      <c r="E684" s="248"/>
      <c r="F684" s="248"/>
      <c r="G684" s="199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7"/>
      <c r="E685" s="248"/>
      <c r="F685" s="248"/>
      <c r="G685" s="199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4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55"/>
      <c r="D719" s="247"/>
      <c r="E719" s="248"/>
      <c r="F719" s="248"/>
      <c r="G719" s="199"/>
      <c r="H719" s="202"/>
      <c r="I719" s="223"/>
      <c r="J719" s="345"/>
      <c r="K719" s="266"/>
      <c r="L719" s="252"/>
      <c r="M719" s="253"/>
      <c r="N719" s="273"/>
    </row>
    <row r="720" spans="2:14" x14ac:dyDescent="0.2">
      <c r="B720" s="245"/>
      <c r="C720" s="255"/>
      <c r="D720" s="245"/>
      <c r="E720" s="248"/>
      <c r="F720" s="248"/>
      <c r="G720" s="201"/>
      <c r="H720" s="202"/>
      <c r="I720" s="223"/>
      <c r="J720" s="345"/>
      <c r="K720" s="266"/>
      <c r="L720" s="252"/>
      <c r="M720" s="253"/>
      <c r="N720" s="203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03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4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55"/>
      <c r="D734" s="247"/>
      <c r="E734" s="248"/>
      <c r="F734" s="248"/>
      <c r="G734" s="199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55"/>
      <c r="D735" s="247"/>
      <c r="E735" s="248"/>
      <c r="F735" s="248"/>
      <c r="G735" s="199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5"/>
      <c r="E739" s="248"/>
      <c r="F739" s="248"/>
      <c r="G739" s="26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5"/>
      <c r="E744" s="248"/>
      <c r="F744" s="248"/>
      <c r="G744" s="261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5"/>
      <c r="E745" s="248"/>
      <c r="F745" s="248"/>
      <c r="G745" s="201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254"/>
      <c r="H757" s="202"/>
      <c r="I757" s="223"/>
      <c r="J757" s="345"/>
      <c r="K757" s="264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55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7"/>
      <c r="E764" s="248"/>
      <c r="F764" s="248"/>
      <c r="G764" s="199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7"/>
      <c r="E765" s="248"/>
      <c r="F765" s="248"/>
      <c r="G765" s="199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55"/>
      <c r="D770" s="247"/>
      <c r="E770" s="248"/>
      <c r="F770" s="248"/>
      <c r="G770" s="199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55"/>
      <c r="D771" s="247"/>
      <c r="E771" s="248"/>
      <c r="F771" s="248"/>
      <c r="G771" s="199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4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4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5"/>
      <c r="E787" s="248"/>
      <c r="F787" s="248"/>
      <c r="G787" s="261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55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199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5"/>
      <c r="E816" s="248"/>
      <c r="F816" s="248"/>
      <c r="G816" s="261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4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5"/>
      <c r="E825" s="248"/>
      <c r="F825" s="248"/>
      <c r="G825" s="261"/>
      <c r="H825" s="202"/>
      <c r="I825" s="223"/>
      <c r="J825" s="345"/>
      <c r="K825" s="264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7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7"/>
      <c r="L834" s="252"/>
      <c r="M834" s="253"/>
      <c r="N834" s="203"/>
    </row>
    <row r="835" spans="2:14" x14ac:dyDescent="0.2">
      <c r="B835" s="245"/>
      <c r="C835" s="255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55"/>
      <c r="D847" s="247"/>
      <c r="E847" s="248"/>
      <c r="F847" s="248"/>
      <c r="G847" s="199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55"/>
      <c r="D848" s="247"/>
      <c r="E848" s="248"/>
      <c r="F848" s="248"/>
      <c r="G848" s="199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199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74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5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7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199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199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199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199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199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199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199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199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5"/>
      <c r="E993" s="248"/>
      <c r="F993" s="248"/>
      <c r="G993" s="261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5"/>
      <c r="E994" s="248"/>
      <c r="F994" s="248"/>
      <c r="G994" s="261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0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4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01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5"/>
      <c r="E1027" s="248"/>
      <c r="F1027" s="248"/>
      <c r="G1027" s="261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5"/>
      <c r="E1040" s="248"/>
      <c r="F1040" s="248"/>
      <c r="G1040" s="261"/>
      <c r="H1040" s="202"/>
      <c r="I1040" s="223"/>
      <c r="J1040" s="345"/>
      <c r="K1040" s="264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03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199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5"/>
      <c r="E1068" s="275"/>
      <c r="F1068" s="275"/>
      <c r="G1068" s="205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5"/>
      <c r="E1076" s="248"/>
      <c r="F1076" s="248"/>
      <c r="G1076" s="205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199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03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5"/>
      <c r="E1107" s="248"/>
      <c r="F1107" s="248"/>
      <c r="G1107" s="206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76"/>
      <c r="D1118" s="276"/>
      <c r="E1118" s="248"/>
      <c r="F1118" s="277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1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4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74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61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199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61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4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4"/>
    </row>
    <row r="1137" spans="2:14" x14ac:dyDescent="0.2">
      <c r="B1137" s="245"/>
      <c r="C1137" s="255"/>
      <c r="D1137" s="247"/>
      <c r="E1137" s="248"/>
      <c r="F1137" s="248"/>
      <c r="G1137" s="199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5"/>
      <c r="E1142" s="275"/>
      <c r="F1142" s="275"/>
      <c r="G1142" s="205"/>
      <c r="H1142" s="202"/>
      <c r="I1142" s="223"/>
      <c r="J1142" s="345"/>
      <c r="K1142" s="274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199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199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5"/>
      <c r="E1169" s="248"/>
      <c r="F1169" s="248"/>
      <c r="G1169" s="261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78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78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5"/>
      <c r="E1181" s="275"/>
      <c r="F1181" s="275"/>
      <c r="G1181" s="205"/>
      <c r="H1181" s="202"/>
      <c r="I1181" s="223"/>
      <c r="J1181" s="345"/>
      <c r="K1181" s="279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9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199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05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01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5"/>
      <c r="E1195" s="248"/>
      <c r="F1195" s="248"/>
      <c r="G1195" s="206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75"/>
      <c r="F1197" s="275"/>
      <c r="G1197" s="205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03"/>
      <c r="M1211" s="253"/>
      <c r="N1211" s="204"/>
    </row>
    <row r="1212" spans="2:14" x14ac:dyDescent="0.2">
      <c r="B1212" s="245"/>
      <c r="C1212" s="280"/>
      <c r="D1212" s="281"/>
      <c r="E1212" s="275"/>
      <c r="F1212" s="275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199"/>
      <c r="H1214" s="202"/>
      <c r="I1214" s="223"/>
      <c r="J1214" s="345"/>
      <c r="K1214" s="279"/>
      <c r="L1214" s="203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7"/>
      <c r="I1217" s="221"/>
      <c r="J1217" s="342"/>
      <c r="K1217" s="279"/>
      <c r="L1217" s="252"/>
      <c r="M1217" s="253"/>
      <c r="N1217" s="208"/>
    </row>
    <row r="1218" spans="2:14" x14ac:dyDescent="0.2">
      <c r="B1218" s="245"/>
      <c r="C1218" s="255"/>
      <c r="D1218" s="247"/>
      <c r="E1218" s="248"/>
      <c r="F1218" s="248"/>
      <c r="G1218" s="254"/>
      <c r="H1218" s="207"/>
      <c r="I1218" s="221"/>
      <c r="J1218" s="342"/>
      <c r="K1218" s="279"/>
      <c r="L1218" s="252"/>
      <c r="M1218" s="253"/>
      <c r="N1218" s="208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46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76"/>
      <c r="D1222" s="276"/>
      <c r="E1222" s="277"/>
      <c r="F1222" s="277"/>
      <c r="G1222" s="209"/>
      <c r="H1222" s="207"/>
      <c r="I1222" s="221"/>
      <c r="J1222" s="342"/>
      <c r="K1222" s="282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5"/>
      <c r="E1226" s="248"/>
      <c r="F1226" s="248"/>
      <c r="G1226" s="261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46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05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61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10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61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46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ht="15" x14ac:dyDescent="0.25">
      <c r="B1238" s="30"/>
      <c r="C1238" s="283"/>
      <c r="D1238" s="109"/>
      <c r="E1238" s="68"/>
      <c r="F1238" s="68"/>
      <c r="G1238" s="284"/>
      <c r="H1238" s="211"/>
      <c r="I1238" s="224"/>
      <c r="J1238" s="347"/>
      <c r="K1238" s="69"/>
      <c r="L1238" s="285"/>
      <c r="M1238" s="116"/>
      <c r="N1238" s="212"/>
    </row>
    <row r="1239" spans="2:14" ht="15" x14ac:dyDescent="0.25">
      <c r="B1239" s="30"/>
      <c r="C1239" s="283"/>
      <c r="D1239" s="109"/>
      <c r="E1239" s="68"/>
      <c r="F1239" s="68"/>
      <c r="G1239" s="284"/>
      <c r="H1239" s="211"/>
      <c r="I1239" s="224"/>
      <c r="J1239" s="347"/>
      <c r="K1239" s="69"/>
      <c r="L1239" s="285"/>
      <c r="M1239" s="116"/>
      <c r="N1239" s="212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7"/>
      <c r="C1241" s="78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7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2">
      <c r="B1245" s="37"/>
      <c r="C1245" s="286"/>
      <c r="D1245" s="37"/>
      <c r="E1245" s="60"/>
      <c r="F1245" s="60"/>
      <c r="G1245" s="213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78"/>
      <c r="D1246" s="109"/>
      <c r="E1246" s="68"/>
      <c r="F1246" s="68"/>
      <c r="G1246" s="21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66"/>
      <c r="D1249" s="287"/>
      <c r="E1249" s="68"/>
      <c r="F1249" s="68"/>
      <c r="G1249" s="21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0"/>
      <c r="C1250" s="283"/>
      <c r="D1250" s="109"/>
      <c r="E1250" s="68"/>
      <c r="F1250" s="68"/>
      <c r="G1250" s="288"/>
      <c r="H1250" s="215"/>
      <c r="I1250" s="224"/>
      <c r="J1250" s="347"/>
      <c r="K1250" s="69"/>
      <c r="L1250" s="285"/>
      <c r="M1250" s="116"/>
      <c r="N1250" s="212"/>
    </row>
    <row r="1251" spans="2:14" ht="15" x14ac:dyDescent="0.25">
      <c r="B1251" s="30"/>
      <c r="C1251" s="283"/>
      <c r="D1251" s="109"/>
      <c r="E1251" s="68"/>
      <c r="F1251" s="68"/>
      <c r="G1251" s="284"/>
      <c r="H1251" s="215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4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65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65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78"/>
      <c r="D1255" s="109"/>
      <c r="E1255" s="68"/>
      <c r="F1255" s="68"/>
      <c r="G1255" s="21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78"/>
      <c r="D1261" s="109"/>
      <c r="E1261" s="68"/>
      <c r="F1261" s="68"/>
      <c r="G1261" s="21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30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16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78"/>
      <c r="D1268" s="109"/>
      <c r="E1268" s="68"/>
      <c r="F1268" s="68"/>
      <c r="G1268" s="21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16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16"/>
      <c r="M1274" s="116"/>
      <c r="N1274" s="212"/>
    </row>
    <row r="1275" spans="2:14" ht="15" x14ac:dyDescent="0.25">
      <c r="B1275" s="65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16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289"/>
      <c r="D1283" s="290"/>
      <c r="E1283" s="291"/>
      <c r="F1283" s="291"/>
      <c r="G1283" s="284"/>
      <c r="H1283" s="215"/>
      <c r="I1283" s="224"/>
      <c r="J1283" s="347"/>
      <c r="K1283" s="69"/>
      <c r="L1283" s="216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2">
      <c r="B1287" s="30"/>
      <c r="C1287" s="78"/>
      <c r="D1287" s="109"/>
      <c r="E1287" s="68"/>
      <c r="F1287" s="68"/>
      <c r="G1287" s="288"/>
      <c r="H1287" s="211"/>
      <c r="I1287" s="224"/>
      <c r="J1287" s="347"/>
      <c r="K1287" s="80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1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292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93"/>
      <c r="J1325" s="348"/>
      <c r="K1325" s="69"/>
      <c r="L1325" s="285"/>
      <c r="M1325" s="116"/>
      <c r="N1325" s="212"/>
    </row>
    <row r="1326" spans="2:14" ht="15" x14ac:dyDescent="0.25">
      <c r="B1326" s="292"/>
      <c r="C1326" s="78"/>
      <c r="D1326" s="109"/>
      <c r="E1326" s="68"/>
      <c r="F1326" s="68"/>
      <c r="G1326" s="214"/>
      <c r="H1326" s="215"/>
      <c r="I1326" s="293"/>
      <c r="J1326" s="348"/>
      <c r="K1326" s="69"/>
      <c r="L1326" s="285"/>
      <c r="M1326" s="116"/>
      <c r="N1326" s="212"/>
    </row>
    <row r="1327" spans="2:14" ht="15" x14ac:dyDescent="0.25">
      <c r="B1327" s="292"/>
      <c r="C1327" s="78"/>
      <c r="D1327" s="109"/>
      <c r="E1327" s="68"/>
      <c r="F1327" s="68"/>
      <c r="G1327" s="28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8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13"/>
      <c r="H1332" s="215"/>
      <c r="I1332" s="293"/>
      <c r="J1332" s="348"/>
      <c r="K1332" s="69"/>
      <c r="L1332" s="285"/>
      <c r="M1332" s="116"/>
      <c r="N1332" s="212"/>
    </row>
    <row r="1333" spans="2:14" x14ac:dyDescent="0.2">
      <c r="B1333" s="292"/>
      <c r="C1333" s="78"/>
      <c r="D1333" s="109"/>
      <c r="E1333" s="68"/>
      <c r="F1333" s="68"/>
      <c r="G1333" s="288"/>
      <c r="H1333" s="211"/>
      <c r="I1333" s="224"/>
      <c r="J1333" s="347"/>
      <c r="K1333" s="80"/>
      <c r="L1333" s="216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8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65"/>
      <c r="C1335" s="289"/>
      <c r="D1335" s="290"/>
      <c r="E1335" s="294"/>
      <c r="F1335" s="295"/>
      <c r="G1335" s="296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77"/>
      <c r="G1336" s="284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4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292"/>
      <c r="C1338" s="78"/>
      <c r="D1338" s="109"/>
      <c r="E1338" s="297"/>
      <c r="F1338" s="298"/>
      <c r="G1338" s="299"/>
      <c r="H1338" s="300"/>
      <c r="I1338" s="301"/>
      <c r="J1338" s="349"/>
      <c r="K1338" s="69"/>
      <c r="L1338" s="285"/>
      <c r="M1338" s="116"/>
      <c r="N1338" s="212"/>
    </row>
    <row r="1339" spans="2:14" ht="15" x14ac:dyDescent="0.25">
      <c r="B1339" s="292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14"/>
      <c r="H1341" s="215"/>
      <c r="I1341" s="293"/>
      <c r="J1341" s="348"/>
      <c r="K1341" s="69"/>
      <c r="L1341" s="216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65"/>
      <c r="C1344" s="289"/>
      <c r="D1344" s="290"/>
      <c r="E1344" s="291"/>
      <c r="F1344" s="284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66"/>
      <c r="D1345" s="109"/>
      <c r="E1345" s="68"/>
      <c r="F1345" s="77"/>
      <c r="G1345" s="296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77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66"/>
      <c r="D1353" s="109"/>
      <c r="E1353" s="68"/>
      <c r="F1353" s="77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1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8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91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68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14"/>
      <c r="H1366" s="215"/>
      <c r="I1366" s="293"/>
      <c r="J1366" s="348"/>
      <c r="K1366" s="69"/>
      <c r="L1366" s="285"/>
      <c r="M1366" s="116"/>
      <c r="N1366" s="212"/>
    </row>
    <row r="1367" spans="2:14" x14ac:dyDescent="0.2">
      <c r="B1367" s="65"/>
      <c r="C1367" s="78"/>
      <c r="D1367" s="109"/>
      <c r="E1367" s="68"/>
      <c r="F1367" s="77"/>
      <c r="G1367" s="302"/>
      <c r="H1367" s="211"/>
      <c r="I1367" s="224"/>
      <c r="J1367" s="347"/>
      <c r="K1367" s="80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77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303"/>
      <c r="I1373" s="225"/>
      <c r="J1373" s="350"/>
      <c r="K1373" s="69"/>
      <c r="L1373" s="285"/>
      <c r="M1373" s="116"/>
      <c r="N1373" s="212"/>
    </row>
    <row r="1374" spans="2:14" ht="15" x14ac:dyDescent="0.25">
      <c r="B1374" s="65"/>
      <c r="C1374" s="289"/>
      <c r="D1374" s="290"/>
      <c r="E1374" s="291"/>
      <c r="F1374" s="304"/>
      <c r="G1374" s="284"/>
      <c r="H1374" s="303"/>
      <c r="I1374" s="225"/>
      <c r="J1374" s="350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91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68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289"/>
      <c r="D1391" s="290"/>
      <c r="E1391" s="291"/>
      <c r="F1391" s="304"/>
      <c r="G1391" s="284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1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91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68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65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78"/>
      <c r="D1408" s="109"/>
      <c r="E1408" s="68"/>
      <c r="F1408" s="77"/>
      <c r="G1408" s="214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3"/>
      <c r="D1412" s="37"/>
      <c r="E1412" s="60"/>
      <c r="F1412" s="26"/>
      <c r="G1412" s="2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305"/>
      <c r="H1414" s="215"/>
      <c r="I1414" s="293"/>
      <c r="J1414" s="348"/>
      <c r="K1414" s="69"/>
      <c r="L1414" s="216"/>
      <c r="M1414" s="116"/>
      <c r="N1414" s="212"/>
    </row>
    <row r="1415" spans="2:14" ht="15" x14ac:dyDescent="0.25">
      <c r="B1415" s="91"/>
      <c r="C1415" s="78"/>
      <c r="D1415" s="109"/>
      <c r="E1415" s="68"/>
      <c r="F1415" s="77"/>
      <c r="G1415" s="302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78"/>
      <c r="D1418" s="109"/>
      <c r="E1418" s="68"/>
      <c r="F1418" s="77"/>
      <c r="G1418" s="214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23"/>
      <c r="D1422" s="37"/>
      <c r="E1422" s="60"/>
      <c r="F1422" s="26"/>
      <c r="G1422" s="10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65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23"/>
      <c r="D1425" s="290"/>
      <c r="E1425" s="291"/>
      <c r="F1425" s="304"/>
      <c r="G1425" s="284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80"/>
      <c r="L1428" s="285"/>
      <c r="M1428" s="116"/>
      <c r="N1428" s="212"/>
    </row>
    <row r="1429" spans="2:14" ht="15" x14ac:dyDescent="0.25">
      <c r="B1429" s="91"/>
      <c r="C1429" s="23"/>
      <c r="D1429" s="37"/>
      <c r="E1429" s="60"/>
      <c r="F1429" s="26"/>
      <c r="G1429" s="10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27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78"/>
      <c r="D1432" s="109"/>
      <c r="E1432" s="68"/>
      <c r="F1432" s="77"/>
      <c r="G1432" s="21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290"/>
      <c r="L1437" s="285"/>
      <c r="M1437" s="116"/>
      <c r="N1437" s="212"/>
    </row>
    <row r="1438" spans="2:14" ht="15" x14ac:dyDescent="0.25">
      <c r="B1438" s="65"/>
      <c r="C1438" s="66"/>
      <c r="D1438" s="109"/>
      <c r="E1438" s="68"/>
      <c r="F1438" s="77"/>
      <c r="G1438" s="10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286"/>
      <c r="D1440" s="286"/>
      <c r="E1440" s="306"/>
      <c r="F1440" s="307"/>
      <c r="G1440" s="307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78"/>
      <c r="D1441" s="109"/>
      <c r="E1441" s="68"/>
      <c r="F1441" s="77"/>
      <c r="G1441" s="214"/>
      <c r="H1441" s="215"/>
      <c r="I1441" s="293"/>
      <c r="J1441" s="348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78"/>
      <c r="D1450" s="109"/>
      <c r="E1450" s="68"/>
      <c r="F1450" s="77"/>
      <c r="G1450" s="308"/>
      <c r="H1450" s="215"/>
      <c r="I1450" s="293"/>
      <c r="J1450" s="348"/>
      <c r="K1450" s="69"/>
      <c r="L1450" s="216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309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9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104"/>
      <c r="H1453" s="121"/>
      <c r="I1453" s="107"/>
      <c r="J1453" s="351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51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10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296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91"/>
      <c r="C1459" s="78"/>
      <c r="D1459" s="109"/>
      <c r="E1459" s="68"/>
      <c r="F1459" s="77"/>
      <c r="G1459" s="311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104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66"/>
      <c r="D1461" s="109"/>
      <c r="E1461" s="68"/>
      <c r="F1461" s="68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296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65"/>
      <c r="C1466" s="78"/>
      <c r="D1466" s="109"/>
      <c r="E1466" s="68"/>
      <c r="F1466" s="77"/>
      <c r="G1466" s="311"/>
      <c r="H1466" s="312"/>
      <c r="I1466" s="313"/>
      <c r="J1466" s="352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91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78"/>
      <c r="D1472" s="109"/>
      <c r="E1472" s="68"/>
      <c r="F1472" s="77"/>
      <c r="G1472" s="311"/>
      <c r="H1472" s="312"/>
      <c r="I1472" s="313"/>
      <c r="J1472" s="352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78"/>
      <c r="D1475" s="109"/>
      <c r="E1475" s="68"/>
      <c r="F1475" s="77"/>
      <c r="G1475" s="311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78"/>
      <c r="D1478" s="109"/>
      <c r="E1478" s="68"/>
      <c r="F1478" s="77"/>
      <c r="G1478" s="311"/>
      <c r="H1478" s="312"/>
      <c r="I1478" s="313"/>
      <c r="J1478" s="352"/>
      <c r="K1478" s="69"/>
      <c r="L1478" s="216"/>
      <c r="M1478" s="116"/>
      <c r="N1478" s="212"/>
    </row>
    <row r="1479" spans="2:14" ht="15.75" x14ac:dyDescent="0.25">
      <c r="B1479" s="314"/>
      <c r="C1479" s="78"/>
      <c r="D1479" s="109"/>
      <c r="E1479" s="68"/>
      <c r="F1479" s="77"/>
      <c r="G1479" s="311"/>
      <c r="H1479" s="312"/>
      <c r="I1479" s="313"/>
      <c r="J1479" s="352"/>
      <c r="K1479" s="69"/>
      <c r="L1479" s="216"/>
      <c r="M1479" s="116"/>
      <c r="N1479" s="212"/>
    </row>
    <row r="1480" spans="2:14" ht="15.75" x14ac:dyDescent="0.25">
      <c r="B1480" s="315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126"/>
      <c r="M1480" s="116"/>
      <c r="N1480" s="217"/>
    </row>
    <row r="1481" spans="2:14" ht="15.75" x14ac:dyDescent="0.25">
      <c r="B1481" s="315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126"/>
      <c r="M1481" s="116"/>
      <c r="N1481" s="217"/>
    </row>
    <row r="1482" spans="2:14" ht="15.75" x14ac:dyDescent="0.25">
      <c r="B1482" s="314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126"/>
      <c r="M1483" s="116"/>
      <c r="N1483" s="217"/>
    </row>
    <row r="1484" spans="2:14" ht="15" x14ac:dyDescent="0.25">
      <c r="B1484" s="91"/>
      <c r="C1484" s="316"/>
      <c r="D1484" s="65"/>
      <c r="E1484" s="68"/>
      <c r="F1484" s="117"/>
      <c r="G1484" s="117"/>
      <c r="H1484" s="121"/>
      <c r="I1484" s="107"/>
      <c r="J1484" s="351"/>
      <c r="K1484" s="69"/>
      <c r="L1484" s="126"/>
      <c r="M1484" s="116"/>
      <c r="N1484" s="217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78"/>
      <c r="D1490" s="109"/>
      <c r="E1490" s="68"/>
      <c r="F1490" s="77"/>
      <c r="G1490" s="311"/>
      <c r="H1490" s="312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1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1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3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80"/>
      <c r="L1506" s="126"/>
      <c r="M1506" s="117"/>
      <c r="N1506" s="217"/>
    </row>
    <row r="1507" spans="2:14" ht="15" x14ac:dyDescent="0.25">
      <c r="B1507" s="37"/>
      <c r="C1507" s="66"/>
      <c r="D1507" s="109"/>
      <c r="E1507" s="68"/>
      <c r="F1507" s="77"/>
      <c r="G1507" s="104"/>
      <c r="H1507" s="123"/>
      <c r="I1507" s="107"/>
      <c r="J1507" s="351"/>
      <c r="K1507" s="80"/>
      <c r="L1507" s="126"/>
      <c r="M1507" s="116"/>
      <c r="N1507" s="217"/>
    </row>
    <row r="1508" spans="2:14" ht="15" x14ac:dyDescent="0.25">
      <c r="B1508" s="37"/>
      <c r="C1508" s="66"/>
      <c r="D1508" s="109"/>
      <c r="E1508" s="68"/>
      <c r="F1508" s="68"/>
      <c r="G1508" s="104"/>
      <c r="H1508" s="121"/>
      <c r="I1508" s="107"/>
      <c r="J1508" s="351"/>
      <c r="K1508" s="69"/>
      <c r="L1508" s="126"/>
      <c r="M1508" s="116"/>
      <c r="N1508" s="217"/>
    </row>
    <row r="1509" spans="2:14" ht="15" x14ac:dyDescent="0.25">
      <c r="B1509" s="37"/>
      <c r="C1509" s="316"/>
      <c r="D1509" s="65"/>
      <c r="E1509" s="68"/>
      <c r="F1509" s="117"/>
      <c r="G1509" s="117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91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91"/>
      <c r="C1521" s="78"/>
      <c r="D1521" s="109"/>
      <c r="E1521" s="68"/>
      <c r="F1521" s="77"/>
      <c r="G1521" s="311"/>
      <c r="H1521" s="312"/>
      <c r="I1521" s="107"/>
      <c r="J1521" s="351"/>
      <c r="K1521" s="69"/>
      <c r="L1521" s="126"/>
      <c r="M1521" s="116"/>
      <c r="N1521" s="217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65"/>
      <c r="C1531" s="78"/>
      <c r="D1531" s="109"/>
      <c r="E1531" s="68"/>
      <c r="F1531" s="77"/>
      <c r="G1531" s="311"/>
      <c r="H1531" s="312"/>
      <c r="I1531" s="107"/>
      <c r="J1531" s="351"/>
      <c r="K1531" s="69"/>
      <c r="L1531" s="126"/>
      <c r="M1531" s="116"/>
      <c r="N1531" s="217"/>
    </row>
    <row r="1532" spans="2:14" ht="15" x14ac:dyDescent="0.25">
      <c r="B1532" s="65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68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123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x14ac:dyDescent="0.2">
      <c r="B1541" s="91"/>
      <c r="C1541" s="66"/>
      <c r="D1541" s="109"/>
      <c r="E1541" s="68"/>
      <c r="F1541" s="77"/>
      <c r="G1541" s="104"/>
      <c r="H1541" s="121"/>
      <c r="I1541" s="129"/>
      <c r="J1541" s="353"/>
      <c r="K1541" s="80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3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317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2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313"/>
      <c r="J1550" s="352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51"/>
      <c r="K1554" s="79"/>
      <c r="L1554" s="126"/>
      <c r="M1554" s="115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79"/>
      <c r="L1557" s="126"/>
      <c r="M1557" s="115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3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91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0"/>
      <c r="M1572" s="116"/>
      <c r="N1572" s="218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68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3"/>
      <c r="I1576" s="107"/>
      <c r="J1576" s="351"/>
      <c r="K1576" s="69"/>
      <c r="L1576" s="120"/>
      <c r="M1576" s="116"/>
      <c r="N1576" s="218"/>
    </row>
    <row r="1577" spans="2:14" ht="15" x14ac:dyDescent="0.25">
      <c r="B1577" s="65"/>
      <c r="C1577" s="78"/>
      <c r="D1577" s="109"/>
      <c r="E1577" s="68"/>
      <c r="F1577" s="77"/>
      <c r="G1577" s="311"/>
      <c r="H1577" s="312"/>
      <c r="I1577" s="313"/>
      <c r="J1577" s="352"/>
      <c r="K1577" s="69"/>
      <c r="L1577" s="318"/>
      <c r="M1577" s="116"/>
      <c r="N1577" s="3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118"/>
      <c r="M1580" s="116"/>
      <c r="N1580" s="3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66"/>
      <c r="D1585" s="109"/>
      <c r="E1585" s="68"/>
      <c r="F1585" s="68"/>
      <c r="G1585" s="104"/>
      <c r="H1585" s="121"/>
      <c r="I1585" s="107"/>
      <c r="J1585" s="351"/>
      <c r="K1585" s="69"/>
      <c r="L1585" s="120"/>
      <c r="M1585" s="116"/>
      <c r="N1585" s="2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120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3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311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318"/>
      <c r="M1601" s="116"/>
      <c r="N1601" s="318"/>
    </row>
    <row r="1602" spans="2:14" ht="15" x14ac:dyDescent="0.25">
      <c r="B1602" s="91"/>
      <c r="C1602" s="66"/>
      <c r="D1602" s="109"/>
      <c r="E1602" s="68"/>
      <c r="F1602" s="68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9"/>
    </row>
    <row r="1610" spans="2:14" ht="15" x14ac:dyDescent="0.25">
      <c r="B1610" s="91"/>
      <c r="C1610" s="66"/>
      <c r="D1610" s="109"/>
      <c r="E1610" s="68"/>
      <c r="F1610" s="68"/>
      <c r="G1610" s="104"/>
      <c r="H1610" s="123"/>
      <c r="I1610" s="107"/>
      <c r="J1610" s="351"/>
      <c r="K1610" s="69"/>
      <c r="L1610" s="120"/>
      <c r="M1610" s="116"/>
      <c r="N1610" s="319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319"/>
    </row>
    <row r="1612" spans="2:14" ht="15" x14ac:dyDescent="0.25">
      <c r="B1612" s="91"/>
      <c r="C1612" s="78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9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311"/>
      <c r="H1617" s="123"/>
      <c r="I1617" s="107"/>
      <c r="J1617" s="351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37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311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68"/>
      <c r="G1630" s="311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318"/>
      <c r="M1632" s="116"/>
      <c r="N1632" s="319"/>
    </row>
    <row r="1633" spans="2:14" ht="15" x14ac:dyDescent="0.25">
      <c r="B1633" s="37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18"/>
      <c r="M1633" s="116"/>
      <c r="N1633" s="319"/>
    </row>
    <row r="1634" spans="2:14" ht="15" x14ac:dyDescent="0.25">
      <c r="B1634" s="37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37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68"/>
      <c r="G1643" s="104"/>
      <c r="H1643" s="121"/>
      <c r="I1643" s="107"/>
      <c r="J1643" s="351"/>
      <c r="K1643" s="69"/>
      <c r="L1643" s="318"/>
      <c r="M1643" s="116"/>
      <c r="N1643" s="319"/>
    </row>
    <row r="1644" spans="2:14" ht="15" x14ac:dyDescent="0.25">
      <c r="B1644" s="65"/>
      <c r="C1644" s="78"/>
      <c r="D1644" s="109"/>
      <c r="E1644" s="68"/>
      <c r="F1644" s="77"/>
      <c r="G1644" s="311"/>
      <c r="H1644" s="312"/>
      <c r="I1644" s="313"/>
      <c r="J1644" s="352"/>
      <c r="K1644" s="69"/>
      <c r="L1644" s="318"/>
      <c r="M1644" s="116"/>
      <c r="N1644" s="3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37"/>
      <c r="C1650" s="66"/>
      <c r="D1650" s="109"/>
      <c r="E1650" s="68"/>
      <c r="F1650" s="77"/>
      <c r="G1650" s="104"/>
      <c r="H1650" s="121"/>
      <c r="I1650" s="107"/>
      <c r="J1650" s="351"/>
      <c r="K1650" s="79"/>
      <c r="L1650" s="120"/>
      <c r="M1650" s="115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51"/>
      <c r="K1651" s="69"/>
      <c r="L1651" s="118"/>
      <c r="M1651" s="116"/>
      <c r="N1651" s="320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69"/>
      <c r="L1652" s="118"/>
      <c r="M1652" s="116"/>
      <c r="N1652" s="320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114"/>
      <c r="L1653" s="118"/>
      <c r="M1653" s="117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91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19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91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118"/>
      <c r="M1664" s="116"/>
      <c r="N1664" s="320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18"/>
      <c r="M1665" s="116"/>
      <c r="N1665" s="319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1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216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216"/>
      <c r="M1670" s="82"/>
      <c r="N1670" s="319"/>
    </row>
    <row r="1671" spans="2:14" ht="15" x14ac:dyDescent="0.25">
      <c r="B1671" s="91"/>
      <c r="C1671" s="66"/>
      <c r="D1671" s="100"/>
      <c r="E1671" s="101"/>
      <c r="F1671" s="77"/>
      <c r="G1671" s="104"/>
      <c r="H1671" s="106"/>
      <c r="I1671" s="107"/>
      <c r="J1671" s="351"/>
      <c r="K1671" s="69"/>
      <c r="L1671" s="84"/>
      <c r="M1671" s="82"/>
      <c r="N1671" s="319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1"/>
      <c r="K1672" s="69"/>
      <c r="L1672" s="84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78"/>
      <c r="D1676" s="100"/>
      <c r="E1676" s="101"/>
      <c r="F1676" s="77"/>
      <c r="G1676" s="311"/>
      <c r="H1676" s="321"/>
      <c r="I1676" s="107"/>
      <c r="J1676" s="351"/>
      <c r="K1676" s="69"/>
      <c r="L1676" s="84"/>
      <c r="M1676" s="82"/>
      <c r="N1676" s="319"/>
    </row>
    <row r="1677" spans="2:14" ht="15" x14ac:dyDescent="0.25">
      <c r="B1677" s="65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78"/>
      <c r="D1680" s="100"/>
      <c r="E1680" s="101"/>
      <c r="F1680" s="77"/>
      <c r="G1680" s="311"/>
      <c r="H1680" s="321"/>
      <c r="I1680" s="313"/>
      <c r="J1680" s="352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78"/>
      <c r="D1683" s="100"/>
      <c r="E1683" s="101"/>
      <c r="F1683" s="77"/>
      <c r="G1683" s="311"/>
      <c r="H1683" s="321"/>
      <c r="I1683" s="313"/>
      <c r="J1683" s="352"/>
      <c r="K1683" s="69"/>
      <c r="L1683" s="84"/>
      <c r="M1683" s="82"/>
      <c r="N1683" s="319"/>
    </row>
    <row r="1684" spans="2:14" ht="15" x14ac:dyDescent="0.25">
      <c r="B1684" s="65"/>
      <c r="C1684" s="66"/>
      <c r="D1684" s="109"/>
      <c r="E1684" s="101"/>
      <c r="F1684" s="77"/>
      <c r="G1684" s="104"/>
      <c r="H1684" s="106"/>
      <c r="I1684" s="107"/>
      <c r="J1684" s="351"/>
      <c r="K1684" s="69"/>
      <c r="L1684" s="322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78"/>
      <c r="D1687" s="100"/>
      <c r="E1687" s="101"/>
      <c r="F1687" s="77"/>
      <c r="G1687" s="311"/>
      <c r="H1687" s="321"/>
      <c r="I1687" s="313"/>
      <c r="J1687" s="352"/>
      <c r="K1687" s="69"/>
      <c r="L1687" s="322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322"/>
      <c r="M1688" s="82"/>
      <c r="N1688" s="323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23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107"/>
      <c r="J1691" s="351"/>
      <c r="K1691" s="69"/>
      <c r="L1691" s="84"/>
      <c r="M1691" s="82"/>
      <c r="N1691" s="323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23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68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70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78"/>
      <c r="D1702" s="100"/>
      <c r="E1702" s="101"/>
      <c r="F1702" s="68"/>
      <c r="G1702" s="311"/>
      <c r="H1702" s="321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23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322"/>
      <c r="M1704" s="82"/>
      <c r="N1704" s="323"/>
    </row>
    <row r="1705" spans="2:14" ht="15" x14ac:dyDescent="0.25">
      <c r="B1705" s="65"/>
      <c r="C1705" s="66"/>
      <c r="D1705" s="100"/>
      <c r="E1705" s="101"/>
      <c r="F1705" s="68"/>
      <c r="G1705" s="104"/>
      <c r="H1705" s="106"/>
      <c r="I1705" s="107"/>
      <c r="J1705" s="351"/>
      <c r="K1705" s="69"/>
      <c r="L1705" s="84"/>
      <c r="M1705" s="82"/>
      <c r="N1705" s="323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x14ac:dyDescent="0.2">
      <c r="B1709" s="65"/>
      <c r="C1709" s="78"/>
      <c r="D1709" s="100"/>
      <c r="E1709" s="101"/>
      <c r="F1709" s="77"/>
      <c r="G1709" s="311"/>
      <c r="H1709" s="321"/>
      <c r="I1709" s="324"/>
      <c r="J1709" s="354"/>
      <c r="K1709" s="69"/>
      <c r="L1709" s="84"/>
      <c r="M1709" s="82"/>
      <c r="N1709" s="323"/>
    </row>
    <row r="1710" spans="2:14" x14ac:dyDescent="0.2">
      <c r="B1710" s="65"/>
      <c r="C1710" s="78"/>
      <c r="D1710" s="100"/>
      <c r="E1710" s="101"/>
      <c r="F1710" s="77"/>
      <c r="G1710" s="311"/>
      <c r="H1710" s="321"/>
      <c r="I1710" s="324"/>
      <c r="J1710" s="354"/>
      <c r="K1710" s="69"/>
      <c r="L1710" s="84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2"/>
      <c r="F1712" s="77"/>
      <c r="G1712" s="325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97"/>
      <c r="E1713" s="67"/>
      <c r="F1713" s="77"/>
      <c r="G1713" s="325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97"/>
      <c r="E1714" s="67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26"/>
      <c r="J1715" s="355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26"/>
      <c r="J1716" s="355"/>
      <c r="K1716" s="69"/>
      <c r="L1716" s="322"/>
      <c r="M1716" s="82"/>
      <c r="N1716" s="323"/>
    </row>
    <row r="1717" spans="2:14" x14ac:dyDescent="0.2">
      <c r="B1717" s="65"/>
      <c r="C1717" s="66"/>
      <c r="D1717" s="90"/>
      <c r="E1717" s="67"/>
      <c r="F1717" s="77"/>
      <c r="G1717" s="77"/>
      <c r="H1717" s="106"/>
      <c r="I1717" s="94"/>
      <c r="J1717" s="356"/>
      <c r="K1717" s="80"/>
      <c r="L1717" s="84"/>
      <c r="M1717" s="82"/>
      <c r="N1717" s="327"/>
    </row>
    <row r="1718" spans="2:14" ht="15" x14ac:dyDescent="0.25">
      <c r="B1718" s="65"/>
      <c r="C1718" s="78"/>
      <c r="D1718" s="90"/>
      <c r="E1718" s="67"/>
      <c r="F1718" s="77"/>
      <c r="G1718" s="328"/>
      <c r="H1718" s="321"/>
      <c r="I1718" s="326"/>
      <c r="J1718" s="355"/>
      <c r="K1718" s="69"/>
      <c r="L1718" s="322"/>
      <c r="M1718" s="82"/>
      <c r="N1718" s="327"/>
    </row>
    <row r="1719" spans="2:14" ht="15" x14ac:dyDescent="0.25">
      <c r="B1719" s="65"/>
      <c r="C1719" s="66"/>
      <c r="D1719" s="90"/>
      <c r="E1719" s="67"/>
      <c r="F1719" s="77"/>
      <c r="G1719" s="77"/>
      <c r="H1719" s="106"/>
      <c r="I1719" s="95"/>
      <c r="J1719" s="357"/>
      <c r="K1719" s="80"/>
      <c r="L1719" s="84"/>
      <c r="M1719" s="82"/>
      <c r="N1719" s="327"/>
    </row>
    <row r="1720" spans="2:14" ht="15" x14ac:dyDescent="0.25">
      <c r="B1720" s="91"/>
      <c r="C1720" s="66"/>
      <c r="D1720" s="90"/>
      <c r="E1720" s="67"/>
      <c r="F1720" s="77"/>
      <c r="G1720" s="77"/>
      <c r="H1720" s="106"/>
      <c r="I1720" s="95"/>
      <c r="J1720" s="357"/>
      <c r="K1720" s="69"/>
      <c r="L1720" s="84"/>
      <c r="M1720" s="82"/>
      <c r="N1720" s="327"/>
    </row>
    <row r="1721" spans="2:14" x14ac:dyDescent="0.2">
      <c r="B1721" s="91"/>
      <c r="C1721" s="66"/>
      <c r="D1721" s="90"/>
      <c r="E1721" s="67"/>
      <c r="F1721" s="77"/>
      <c r="G1721" s="77"/>
      <c r="H1721" s="106"/>
      <c r="I1721" s="94"/>
      <c r="J1721" s="356"/>
      <c r="K1721" s="69"/>
      <c r="L1721" s="84"/>
      <c r="M1721" s="82"/>
      <c r="N1721" s="327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6"/>
      <c r="K1722" s="69"/>
      <c r="L1722" s="84"/>
      <c r="M1722" s="82"/>
      <c r="N1722" s="327"/>
    </row>
    <row r="1723" spans="2:14" ht="15" x14ac:dyDescent="0.25">
      <c r="B1723" s="91"/>
      <c r="C1723" s="66"/>
      <c r="D1723" s="90"/>
      <c r="E1723" s="67"/>
      <c r="F1723" s="77"/>
      <c r="G1723" s="77"/>
      <c r="H1723" s="106"/>
      <c r="I1723" s="95"/>
      <c r="J1723" s="357"/>
      <c r="K1723" s="80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69"/>
      <c r="L1724" s="84"/>
      <c r="M1724" s="82"/>
      <c r="N1724" s="327"/>
    </row>
    <row r="1725" spans="2:14" ht="15" x14ac:dyDescent="0.25">
      <c r="B1725" s="91"/>
      <c r="C1725" s="78"/>
      <c r="D1725" s="90"/>
      <c r="E1725" s="67"/>
      <c r="F1725" s="77"/>
      <c r="G1725" s="328"/>
      <c r="H1725" s="321"/>
      <c r="I1725" s="326"/>
      <c r="J1725" s="355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80"/>
      <c r="L1728" s="84"/>
      <c r="M1728" s="82"/>
      <c r="N1728" s="327"/>
    </row>
    <row r="1729" spans="2:14" x14ac:dyDescent="0.2">
      <c r="B1729" s="91"/>
      <c r="C1729" s="66"/>
      <c r="D1729" s="90"/>
      <c r="E1729" s="67"/>
      <c r="F1729" s="77"/>
      <c r="G1729" s="77"/>
      <c r="H1729" s="106"/>
      <c r="I1729" s="94"/>
      <c r="J1729" s="356"/>
      <c r="K1729" s="69"/>
      <c r="L1729" s="84"/>
      <c r="M1729" s="82"/>
      <c r="N1729" s="323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69"/>
      <c r="L1730" s="322"/>
      <c r="M1730" s="82"/>
      <c r="N1730" s="323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84"/>
      <c r="M1731" s="82"/>
      <c r="N1731" s="323"/>
    </row>
    <row r="1732" spans="2:14" ht="15" x14ac:dyDescent="0.25">
      <c r="B1732" s="65"/>
      <c r="C1732" s="78"/>
      <c r="D1732" s="90"/>
      <c r="E1732" s="67"/>
      <c r="F1732" s="77"/>
      <c r="G1732" s="328"/>
      <c r="H1732" s="321"/>
      <c r="I1732" s="326"/>
      <c r="J1732" s="355"/>
      <c r="K1732" s="69"/>
      <c r="L1732" s="322"/>
      <c r="M1732" s="82"/>
      <c r="N1732" s="323"/>
    </row>
    <row r="1733" spans="2:14" ht="15" x14ac:dyDescent="0.25">
      <c r="B1733" s="37"/>
      <c r="C1733" s="52"/>
      <c r="D1733" s="24"/>
      <c r="E1733" s="25"/>
      <c r="F1733" s="26"/>
      <c r="G1733" s="26"/>
      <c r="H1733" s="329"/>
      <c r="I1733" s="41"/>
      <c r="J1733" s="358"/>
      <c r="K1733" s="27"/>
      <c r="L1733" s="330"/>
      <c r="M1733" s="34"/>
      <c r="N1733" s="331"/>
    </row>
    <row r="1734" spans="2:14" ht="15" x14ac:dyDescent="0.25">
      <c r="B1734" s="37"/>
      <c r="C1734" s="53"/>
      <c r="D1734" s="24"/>
      <c r="E1734" s="25"/>
      <c r="F1734" s="26"/>
      <c r="G1734" s="325"/>
      <c r="H1734" s="332"/>
      <c r="I1734" s="333"/>
      <c r="J1734" s="359"/>
      <c r="K1734" s="27"/>
      <c r="L1734" s="33"/>
      <c r="M1734" s="34"/>
      <c r="N1734" s="331"/>
    </row>
    <row r="1735" spans="2:14" ht="15" x14ac:dyDescent="0.25">
      <c r="B1735" s="37"/>
      <c r="C1735" s="53"/>
      <c r="D1735" s="24"/>
      <c r="E1735" s="25"/>
      <c r="F1735" s="26"/>
      <c r="G1735" s="325"/>
      <c r="H1735" s="332"/>
      <c r="I1735" s="333"/>
      <c r="J1735" s="359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0"/>
      <c r="C1738" s="52"/>
      <c r="D1738" s="24"/>
      <c r="E1738" s="25"/>
      <c r="F1738" s="26"/>
      <c r="G1738" s="26"/>
      <c r="H1738" s="329"/>
      <c r="I1738" s="41"/>
      <c r="J1738" s="358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5"/>
    </row>
    <row r="1742" spans="2:14" ht="15" x14ac:dyDescent="0.25">
      <c r="B1742" s="30"/>
      <c r="C1742" s="2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5"/>
    </row>
    <row r="1743" spans="2:14" ht="15" x14ac:dyDescent="0.25">
      <c r="B1743" s="30"/>
      <c r="C1743" s="52"/>
      <c r="D1743" s="24"/>
      <c r="E1743" s="25"/>
      <c r="F1743" s="26"/>
      <c r="G1743" s="26"/>
      <c r="H1743" s="329"/>
      <c r="I1743" s="41"/>
      <c r="J1743" s="358"/>
      <c r="K1743" s="27"/>
      <c r="L1743" s="33"/>
      <c r="M1743" s="34"/>
      <c r="N1743" s="35"/>
    </row>
    <row r="1744" spans="2:14" ht="15" x14ac:dyDescent="0.25">
      <c r="B1744" s="37"/>
      <c r="C1744" s="52"/>
      <c r="D1744" s="24"/>
      <c r="E1744" s="25"/>
      <c r="F1744" s="26"/>
      <c r="G1744" s="26"/>
      <c r="H1744" s="329"/>
      <c r="I1744" s="41"/>
      <c r="J1744" s="358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60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5"/>
    </row>
    <row r="1753" spans="2:14" x14ac:dyDescent="0.2">
      <c r="B1753" s="37"/>
      <c r="C1753" s="23"/>
      <c r="D1753" s="24"/>
      <c r="E1753" s="25"/>
      <c r="F1753" s="60"/>
      <c r="G1753" s="26"/>
      <c r="H1753" s="329"/>
      <c r="I1753" s="42"/>
      <c r="J1753" s="360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60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5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0"/>
      <c r="C1768" s="23"/>
      <c r="D1768" s="24"/>
      <c r="E1768" s="25"/>
      <c r="F1768" s="26"/>
      <c r="G1768" s="26"/>
      <c r="H1768" s="329"/>
      <c r="I1768" s="41"/>
      <c r="J1768" s="358"/>
      <c r="K1768" s="36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325"/>
      <c r="H1769" s="332"/>
      <c r="I1769" s="333"/>
      <c r="J1769" s="359"/>
      <c r="K1769" s="27"/>
      <c r="L1769" s="33"/>
      <c r="M1769" s="34"/>
      <c r="N1769" s="35"/>
    </row>
    <row r="1770" spans="2:14" ht="15" x14ac:dyDescent="0.25">
      <c r="B1770" s="30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2">
      <c r="B1771" s="37"/>
      <c r="C1771" s="52"/>
      <c r="D1771" s="24"/>
      <c r="E1771" s="25"/>
      <c r="F1771" s="26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60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2">
      <c r="B1774" s="37"/>
      <c r="C1774" s="52"/>
      <c r="D1774" s="24"/>
      <c r="E1774" s="25"/>
      <c r="F1774" s="26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x14ac:dyDescent="0.2">
      <c r="B1777" s="37"/>
      <c r="C1777" s="23"/>
      <c r="D1777" s="24"/>
      <c r="E1777" s="25"/>
      <c r="F1777" s="26"/>
      <c r="G1777" s="325"/>
      <c r="H1777" s="332"/>
      <c r="I1777" s="334"/>
      <c r="J1777" s="361"/>
      <c r="K1777" s="27"/>
      <c r="L1777" s="33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36"/>
      <c r="L1778" s="33"/>
      <c r="M1778" s="34"/>
      <c r="N1778" s="35"/>
    </row>
    <row r="1779" spans="2:14" x14ac:dyDescent="0.2">
      <c r="B1779" s="37"/>
      <c r="C1779" s="53"/>
      <c r="D1779" s="24"/>
      <c r="E1779" s="25"/>
      <c r="F1779" s="26"/>
      <c r="G1779" s="26"/>
      <c r="H1779" s="329"/>
      <c r="I1779" s="334"/>
      <c r="J1779" s="361"/>
      <c r="K1779" s="36"/>
      <c r="L1779" s="330"/>
      <c r="M1779" s="34"/>
      <c r="N1779" s="35"/>
    </row>
    <row r="1780" spans="2:14" ht="15" x14ac:dyDescent="0.25">
      <c r="B1780" s="37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0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26"/>
      <c r="H1782" s="329"/>
      <c r="I1782" s="333"/>
      <c r="J1782" s="359"/>
      <c r="K1782" s="36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36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36"/>
      <c r="L1792" s="33"/>
      <c r="M1792" s="34"/>
      <c r="N1792" s="35"/>
    </row>
    <row r="1793" spans="2:14" ht="15" x14ac:dyDescent="0.25">
      <c r="B1793" s="30"/>
      <c r="C1793" s="23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3"/>
      <c r="D1798" s="24"/>
      <c r="E1798" s="25"/>
      <c r="F1798" s="26"/>
      <c r="G1798" s="325"/>
      <c r="H1798" s="332"/>
      <c r="I1798" s="333"/>
      <c r="J1798" s="359"/>
      <c r="K1798" s="36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36"/>
      <c r="L1800" s="33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x14ac:dyDescent="0.2">
      <c r="B1802" s="37"/>
      <c r="C1802" s="23"/>
      <c r="D1802" s="24"/>
      <c r="E1802" s="25"/>
      <c r="F1802" s="26"/>
      <c r="G1802" s="26"/>
      <c r="H1802" s="329"/>
      <c r="I1802" s="42"/>
      <c r="J1802" s="360"/>
      <c r="K1802" s="36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9"/>
      <c r="I1803" s="42"/>
      <c r="J1803" s="360"/>
      <c r="K1803" s="36"/>
      <c r="L1803" s="33"/>
      <c r="M1803" s="34"/>
      <c r="N1803" s="35"/>
    </row>
    <row r="1804" spans="2:14" ht="15" x14ac:dyDescent="0.25">
      <c r="B1804" s="37"/>
      <c r="C1804" s="23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x14ac:dyDescent="0.2">
      <c r="B1805" s="37"/>
      <c r="C1805" s="52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0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9"/>
      <c r="I1808" s="41"/>
      <c r="J1808" s="358"/>
      <c r="K1808" s="27"/>
      <c r="L1808" s="330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0"/>
      <c r="M1809" s="34"/>
      <c r="N1809" s="35"/>
    </row>
    <row r="1810" spans="2:14" x14ac:dyDescent="0.2">
      <c r="B1810" s="37"/>
      <c r="C1810" s="23"/>
      <c r="D1810" s="24"/>
      <c r="E1810" s="25"/>
      <c r="F1810" s="26"/>
      <c r="G1810" s="325"/>
      <c r="H1810" s="332"/>
      <c r="I1810" s="334"/>
      <c r="J1810" s="361"/>
      <c r="K1810" s="27"/>
      <c r="L1810" s="33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x14ac:dyDescent="0.2">
      <c r="B1814" s="37"/>
      <c r="C1814" s="23"/>
      <c r="D1814" s="24"/>
      <c r="E1814" s="25"/>
      <c r="F1814" s="26"/>
      <c r="G1814" s="325"/>
      <c r="H1814" s="332"/>
      <c r="I1814" s="334"/>
      <c r="J1814" s="361"/>
      <c r="K1814" s="27"/>
      <c r="L1814" s="33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0"/>
      <c r="C1820" s="23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325"/>
      <c r="H1822" s="332"/>
      <c r="I1822" s="333"/>
      <c r="J1822" s="359"/>
      <c r="K1822" s="27"/>
      <c r="L1822" s="33"/>
      <c r="M1822" s="34"/>
      <c r="N1822" s="35"/>
    </row>
    <row r="1823" spans="2:14" x14ac:dyDescent="0.2">
      <c r="B1823" s="30"/>
      <c r="C1823" s="23"/>
      <c r="D1823" s="24"/>
      <c r="E1823" s="25"/>
      <c r="F1823" s="26"/>
      <c r="G1823" s="26"/>
      <c r="H1823" s="329"/>
      <c r="I1823" s="42"/>
      <c r="J1823" s="360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0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325"/>
      <c r="H1828" s="332"/>
      <c r="I1828" s="333"/>
      <c r="J1828" s="359"/>
      <c r="K1828" s="27"/>
      <c r="L1828" s="33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26"/>
      <c r="H1830" s="329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26"/>
      <c r="H1833" s="329"/>
      <c r="I1833" s="42"/>
      <c r="J1833" s="360"/>
      <c r="K1833" s="27"/>
      <c r="L1833" s="33"/>
      <c r="M1833" s="34"/>
      <c r="N1833" s="35"/>
    </row>
    <row r="1834" spans="2:14" x14ac:dyDescent="0.2">
      <c r="B1834" s="30"/>
      <c r="C1834" s="23"/>
      <c r="D1834" s="24"/>
      <c r="E1834" s="25"/>
      <c r="F1834" s="26"/>
      <c r="G1834" s="26"/>
      <c r="H1834" s="329"/>
      <c r="I1834" s="42"/>
      <c r="J1834" s="360"/>
      <c r="K1834" s="27"/>
      <c r="L1834" s="33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26"/>
      <c r="H1846" s="329"/>
      <c r="I1846" s="41"/>
      <c r="J1846" s="358"/>
      <c r="K1846" s="36"/>
      <c r="L1846" s="33"/>
      <c r="M1846" s="34"/>
      <c r="N1846" s="35"/>
    </row>
  </sheetData>
  <sortState xmlns:xlrd2="http://schemas.microsoft.com/office/spreadsheetml/2017/richdata2" ref="B7:I1048555">
    <sortCondition ref="C7:C25"/>
  </sortState>
  <mergeCells count="3">
    <mergeCell ref="D1:H1"/>
    <mergeCell ref="D2:K2"/>
    <mergeCell ref="B3:F4"/>
  </mergeCells>
  <phoneticPr fontId="19" type="noConversion"/>
  <conditionalFormatting sqref="H1819:H184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19:H184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19:H184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19:E184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19:E184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19:E184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19:E184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19:E184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19:E184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19:E184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19:E184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19:H184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19:H184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19:H184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19:E184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19:H184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19:E184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19:H1846">
    <cfRule type="iconSet" priority="282941">
      <iconSet>
        <cfvo type="percent" val="0"/>
        <cfvo type="percent" val="23"/>
        <cfvo type="percent" val="70"/>
      </iconSet>
    </cfRule>
  </conditionalFormatting>
  <conditionalFormatting sqref="H1819:H184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19:H184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19:H184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19:H184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19:E184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19:H184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19:H184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19:H184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19:H184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19:H184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19:E184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19:H184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19:H184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19:E184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19:E184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19:H184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19:H184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19:H184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19:E184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19:H184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19:H184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19:H184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19:H184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19:H184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19:H184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19:E184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19:H184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19:H184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19:H184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19:H184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19:H184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19:H184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19:H184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19:H184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19:E184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19:H184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19:E184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19:H184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19:E184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19:H184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19:H1846">
    <cfRule type="iconSet" priority="283409">
      <iconSet>
        <cfvo type="percent" val="0"/>
        <cfvo type="num" val="22"/>
        <cfvo type="num" val="26"/>
      </iconSet>
    </cfRule>
  </conditionalFormatting>
  <conditionalFormatting sqref="H1819:H184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19:H1846">
    <cfRule type="iconSet" priority="283415">
      <iconSet>
        <cfvo type="percent" val="0"/>
        <cfvo type="num" val="21"/>
        <cfvo type="num" val="25"/>
      </iconSet>
    </cfRule>
  </conditionalFormatting>
  <conditionalFormatting sqref="H1819:H1846">
    <cfRule type="iconSet" priority="283417">
      <iconSet>
        <cfvo type="percent" val="0"/>
        <cfvo type="num" val="19"/>
        <cfvo type="num" val="23"/>
      </iconSet>
    </cfRule>
  </conditionalFormatting>
  <conditionalFormatting sqref="H1819:H1846">
    <cfRule type="iconSet" priority="283419">
      <iconSet>
        <cfvo type="percent" val="0"/>
        <cfvo type="num" val="23"/>
        <cfvo type="num" val="27"/>
      </iconSet>
    </cfRule>
  </conditionalFormatting>
  <conditionalFormatting sqref="E1733:E173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8">
    <cfRule type="containsText" dxfId="64" priority="175" operator="containsText" text="M">
      <formula>NOT(ISERROR(SEARCH("M",M7)))</formula>
    </cfRule>
  </conditionalFormatting>
  <conditionalFormatting sqref="V6">
    <cfRule type="cellIs" dxfId="63" priority="172" operator="between">
      <formula>1</formula>
      <formula>4</formula>
    </cfRule>
  </conditionalFormatting>
  <conditionalFormatting sqref="E27:E1156 E7:E25">
    <cfRule type="cellIs" dxfId="62" priority="170" operator="greaterThan">
      <formula>7</formula>
    </cfRule>
  </conditionalFormatting>
  <conditionalFormatting sqref="E1466:E4744">
    <cfRule type="cellIs" dxfId="61" priority="137" operator="greaterThan">
      <formula>7</formula>
    </cfRule>
  </conditionalFormatting>
  <conditionalFormatting sqref="I27:I1228 G27:G29 I7:I25">
    <cfRule type="cellIs" dxfId="60" priority="41" operator="lessThan">
      <formula>E7</formula>
    </cfRule>
  </conditionalFormatting>
  <conditionalFormatting sqref="I1819:I184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19:I184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19:I184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19:I184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19:I184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19:I184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19:I184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19:I184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19:I184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19:I184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19:I184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19:I184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19:I184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19:I184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5:H1452 H1239:H1413 H27:H1228 H7:H25">
    <cfRule type="cellIs" dxfId="59" priority="297748" operator="greaterThan">
      <formula>$H$26</formula>
    </cfRule>
  </conditionalFormatting>
  <conditionalFormatting sqref="L7:L1228">
    <cfRule type="top10" dxfId="58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8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E1733:E1735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E1713:E1732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$H$26</xm:f>
              </x14:cfvo>
              <x14:cfIcon iconSet="NoIcons" iconId="0"/>
              <x14:cfIcon iconSet="NoIcons" iconId="0"/>
              <x14:cfIcon iconSet="3Stars" iconId="2"/>
            </x14:iconSet>
          </x14:cfRule>
          <xm:sqref>H1239:H1249 H27:H1228 H7:H25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2026-01-19T05:39:28Z</cp:lastPrinted>
  <dcterms:created xsi:type="dcterms:W3CDTF">2021-05-05T13:25:05Z</dcterms:created>
  <dcterms:modified xsi:type="dcterms:W3CDTF">2026-01-19T05:41:07Z</dcterms:modified>
</cp:coreProperties>
</file>