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06EE291E-025E-4B37-BBF4-F2C7268AF66F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Import!$B$6:$N$1868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Import!$B$1:$O$49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8" i="1" l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7" i="1"/>
  <c r="F48" i="1"/>
  <c r="C48" i="1"/>
  <c r="G48" i="1"/>
  <c r="E48" i="1"/>
  <c r="G11" i="6"/>
  <c r="F11" i="6"/>
  <c r="E11" i="6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P7" i="1"/>
  <c r="R7" i="1" s="1"/>
  <c r="P8" i="1"/>
  <c r="R8" i="1" s="1"/>
  <c r="P9" i="1"/>
  <c r="R9" i="1" s="1"/>
  <c r="P10" i="1"/>
  <c r="R10" i="1" s="1"/>
  <c r="P11" i="1"/>
  <c r="R11" i="1" s="1"/>
  <c r="P12" i="1"/>
  <c r="R12" i="1" s="1"/>
  <c r="P13" i="1"/>
  <c r="R13" i="1" s="1"/>
  <c r="P14" i="1"/>
  <c r="R14" i="1" s="1"/>
  <c r="P15" i="1"/>
  <c r="R15" i="1" s="1"/>
  <c r="P16" i="1"/>
  <c r="R16" i="1" s="1"/>
  <c r="P17" i="1"/>
  <c r="R17" i="1" s="1"/>
  <c r="P18" i="1"/>
  <c r="R18" i="1" s="1"/>
  <c r="P19" i="1"/>
  <c r="R19" i="1" s="1"/>
  <c r="P20" i="1"/>
  <c r="R20" i="1" s="1"/>
  <c r="P21" i="1"/>
  <c r="R21" i="1" s="1"/>
  <c r="P22" i="1"/>
  <c r="R22" i="1" s="1"/>
  <c r="P23" i="1"/>
  <c r="R23" i="1" s="1"/>
  <c r="P24" i="1"/>
  <c r="R24" i="1" s="1"/>
  <c r="P25" i="1"/>
  <c r="R25" i="1" s="1"/>
  <c r="P26" i="1"/>
  <c r="R26" i="1" s="1"/>
  <c r="P27" i="1"/>
  <c r="R27" i="1" s="1"/>
  <c r="P28" i="1"/>
  <c r="R28" i="1" s="1"/>
  <c r="P29" i="1"/>
  <c r="R29" i="1" s="1"/>
  <c r="P30" i="1"/>
  <c r="R30" i="1" s="1"/>
  <c r="P31" i="1"/>
  <c r="R31" i="1" s="1"/>
  <c r="P32" i="1"/>
  <c r="R32" i="1" s="1"/>
  <c r="P33" i="1"/>
  <c r="R33" i="1" s="1"/>
  <c r="P34" i="1"/>
  <c r="R34" i="1" s="1"/>
  <c r="P35" i="1"/>
  <c r="R35" i="1" s="1"/>
  <c r="P36" i="1"/>
  <c r="R36" i="1" s="1"/>
  <c r="P37" i="1"/>
  <c r="R37" i="1" s="1"/>
  <c r="P38" i="1"/>
  <c r="R38" i="1" s="1"/>
  <c r="P39" i="1"/>
  <c r="R39" i="1" s="1"/>
  <c r="P40" i="1"/>
  <c r="R40" i="1" s="1"/>
  <c r="P41" i="1"/>
  <c r="R41" i="1" s="1"/>
  <c r="P42" i="1"/>
  <c r="R42" i="1" s="1"/>
  <c r="P43" i="1"/>
  <c r="R43" i="1" s="1"/>
  <c r="P44" i="1"/>
  <c r="R44" i="1" s="1"/>
  <c r="P45" i="1"/>
  <c r="R45" i="1" s="1"/>
  <c r="P46" i="1"/>
  <c r="R46" i="1" s="1"/>
  <c r="P47" i="1"/>
  <c r="R47" i="1" s="1"/>
  <c r="M7" i="1"/>
  <c r="N9" i="1" s="1"/>
  <c r="M8" i="1"/>
  <c r="M9" i="1"/>
  <c r="M10" i="1"/>
  <c r="M11" i="1"/>
  <c r="M12" i="1"/>
  <c r="M13" i="1"/>
  <c r="M14" i="1"/>
  <c r="M47" i="1"/>
  <c r="M16" i="1"/>
  <c r="M17" i="1"/>
  <c r="M18" i="1"/>
  <c r="M19" i="1"/>
  <c r="M20" i="1"/>
  <c r="M21" i="1"/>
  <c r="M15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H7" i="1"/>
  <c r="H22" i="1"/>
  <c r="H44" i="1"/>
  <c r="H9" i="1"/>
  <c r="H46" i="1"/>
  <c r="H17" i="1"/>
  <c r="H41" i="1"/>
  <c r="H16" i="1"/>
  <c r="H23" i="1"/>
  <c r="H13" i="1"/>
  <c r="H31" i="1"/>
  <c r="H20" i="1"/>
  <c r="H34" i="1"/>
  <c r="H21" i="1"/>
  <c r="H43" i="1"/>
  <c r="H26" i="1"/>
  <c r="H24" i="1"/>
  <c r="H12" i="1"/>
  <c r="H36" i="1"/>
  <c r="H15" i="1"/>
  <c r="H42" i="1"/>
  <c r="H47" i="1"/>
  <c r="H30" i="1"/>
  <c r="H40" i="1"/>
  <c r="H45" i="1"/>
  <c r="H29" i="1"/>
  <c r="H38" i="1"/>
  <c r="H33" i="1"/>
  <c r="H27" i="1"/>
  <c r="H32" i="1"/>
  <c r="H39" i="1"/>
  <c r="H18" i="1"/>
  <c r="H35" i="1"/>
  <c r="H25" i="1"/>
  <c r="H11" i="1"/>
  <c r="H19" i="1"/>
  <c r="H37" i="1"/>
  <c r="H8" i="1"/>
  <c r="H28" i="1"/>
  <c r="H14" i="1"/>
  <c r="H10" i="1"/>
  <c r="P3" i="6"/>
  <c r="M9" i="6"/>
  <c r="U48" i="1"/>
  <c r="P48" i="1"/>
  <c r="R48" i="1" s="1"/>
  <c r="T49" i="1"/>
  <c r="Q49" i="1"/>
  <c r="H10" i="3"/>
  <c r="S152" i="6"/>
  <c r="V11" i="6"/>
  <c r="I11" i="6"/>
  <c r="H11" i="6"/>
  <c r="V10" i="6"/>
  <c r="V9" i="6"/>
  <c r="V8" i="6"/>
  <c r="V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Z47" i="1"/>
  <c r="Z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D13" i="3"/>
  <c r="E12" i="3"/>
  <c r="H11" i="3"/>
  <c r="E13" i="3"/>
  <c r="D12" i="3"/>
  <c r="AP6" i="3"/>
  <c r="I20" i="1" l="1"/>
  <c r="N36" i="1"/>
  <c r="N32" i="1"/>
  <c r="N20" i="1"/>
  <c r="N16" i="1"/>
  <c r="N43" i="1"/>
  <c r="N39" i="1"/>
  <c r="N35" i="1"/>
  <c r="N31" i="1"/>
  <c r="N27" i="1"/>
  <c r="N23" i="1"/>
  <c r="N19" i="1"/>
  <c r="N15" i="1"/>
  <c r="N11" i="1"/>
  <c r="N7" i="1"/>
  <c r="N40" i="1"/>
  <c r="N8" i="1"/>
  <c r="N47" i="1"/>
  <c r="N42" i="1"/>
  <c r="N38" i="1"/>
  <c r="N34" i="1"/>
  <c r="N30" i="1"/>
  <c r="N26" i="1"/>
  <c r="N22" i="1"/>
  <c r="N18" i="1"/>
  <c r="N14" i="1"/>
  <c r="N10" i="1"/>
  <c r="N46" i="1"/>
  <c r="N44" i="1"/>
  <c r="N28" i="1"/>
  <c r="N24" i="1"/>
  <c r="N12" i="1"/>
  <c r="N45" i="1"/>
  <c r="N41" i="1"/>
  <c r="N37" i="1"/>
  <c r="N33" i="1"/>
  <c r="N29" i="1"/>
  <c r="N25" i="1"/>
  <c r="N21" i="1"/>
  <c r="N17" i="1"/>
  <c r="N13" i="1"/>
  <c r="I19" i="1"/>
  <c r="I15" i="1"/>
  <c r="I18" i="1"/>
  <c r="Q18" i="1" s="1"/>
  <c r="L18" i="1" s="1"/>
  <c r="I26" i="1"/>
  <c r="Q26" i="1" s="1"/>
  <c r="I33" i="1"/>
  <c r="J33" i="1" s="1"/>
  <c r="I16" i="1"/>
  <c r="Q16" i="1" s="1"/>
  <c r="L16" i="1" s="1"/>
  <c r="I14" i="1"/>
  <c r="Q14" i="1" s="1"/>
  <c r="L14" i="1" s="1"/>
  <c r="I40" i="1"/>
  <c r="J40" i="1" s="1"/>
  <c r="I9" i="1"/>
  <c r="I7" i="1"/>
  <c r="J7" i="1" s="1"/>
  <c r="I28" i="1"/>
  <c r="J28" i="1" s="1"/>
  <c r="I11" i="1"/>
  <c r="Q11" i="1" s="1"/>
  <c r="L11" i="1" s="1"/>
  <c r="I39" i="1"/>
  <c r="J39" i="1" s="1"/>
  <c r="I38" i="1"/>
  <c r="I30" i="1"/>
  <c r="Q30" i="1" s="1"/>
  <c r="I36" i="1"/>
  <c r="Q36" i="1" s="1"/>
  <c r="I43" i="1"/>
  <c r="J43" i="1" s="1"/>
  <c r="I31" i="1"/>
  <c r="I41" i="1"/>
  <c r="I44" i="1"/>
  <c r="J44" i="1" s="1"/>
  <c r="I8" i="1"/>
  <c r="Q8" i="1" s="1"/>
  <c r="L8" i="1" s="1"/>
  <c r="I25" i="1"/>
  <c r="I32" i="1"/>
  <c r="J32" i="1" s="1"/>
  <c r="I29" i="1"/>
  <c r="J29" i="1" s="1"/>
  <c r="I47" i="1"/>
  <c r="Q47" i="1" s="1"/>
  <c r="I12" i="1"/>
  <c r="Q12" i="1" s="1"/>
  <c r="L12" i="1" s="1"/>
  <c r="I21" i="1"/>
  <c r="Q21" i="1" s="1"/>
  <c r="L21" i="1" s="1"/>
  <c r="I13" i="1"/>
  <c r="Q13" i="1" s="1"/>
  <c r="L13" i="1" s="1"/>
  <c r="I17" i="1"/>
  <c r="J17" i="1" s="1"/>
  <c r="I22" i="1"/>
  <c r="H48" i="1"/>
  <c r="V12" i="1" s="1"/>
  <c r="J41" i="1"/>
  <c r="I10" i="1"/>
  <c r="J10" i="1" s="1"/>
  <c r="I37" i="1"/>
  <c r="J37" i="1" s="1"/>
  <c r="I35" i="1"/>
  <c r="J35" i="1" s="1"/>
  <c r="I27" i="1"/>
  <c r="Q27" i="1" s="1"/>
  <c r="I45" i="1"/>
  <c r="I42" i="1"/>
  <c r="I24" i="1"/>
  <c r="Q24" i="1" s="1"/>
  <c r="I34" i="1"/>
  <c r="J19" i="1" s="1"/>
  <c r="I23" i="1"/>
  <c r="J47" i="1" s="1"/>
  <c r="I46" i="1"/>
  <c r="Q41" i="1"/>
  <c r="Q20" i="1"/>
  <c r="L20" i="1" s="1"/>
  <c r="J15" i="1"/>
  <c r="Q33" i="1"/>
  <c r="Q9" i="1"/>
  <c r="L9" i="1" s="1"/>
  <c r="V28" i="1"/>
  <c r="Q35" i="1"/>
  <c r="Q19" i="1"/>
  <c r="L19" i="1" s="1"/>
  <c r="Q15" i="1"/>
  <c r="J9" i="1"/>
  <c r="Q38" i="1"/>
  <c r="Q22" i="1"/>
  <c r="Q10" i="1"/>
  <c r="L10" i="1" s="1"/>
  <c r="J20" i="1"/>
  <c r="J12" i="1"/>
  <c r="M7" i="6"/>
  <c r="Q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V38" i="1" l="1"/>
  <c r="V10" i="1"/>
  <c r="V35" i="1"/>
  <c r="V33" i="1"/>
  <c r="V11" i="1"/>
  <c r="V44" i="1"/>
  <c r="V31" i="1"/>
  <c r="V30" i="1"/>
  <c r="V29" i="1"/>
  <c r="V24" i="1"/>
  <c r="J14" i="1"/>
  <c r="V15" i="1"/>
  <c r="V14" i="1"/>
  <c r="V13" i="1"/>
  <c r="Q28" i="1"/>
  <c r="J13" i="1"/>
  <c r="J36" i="1"/>
  <c r="Q34" i="1"/>
  <c r="J21" i="1"/>
  <c r="V47" i="1"/>
  <c r="V27" i="1"/>
  <c r="V46" i="1"/>
  <c r="V26" i="1"/>
  <c r="V45" i="1"/>
  <c r="V21" i="1"/>
  <c r="V40" i="1"/>
  <c r="V20" i="1"/>
  <c r="J18" i="1"/>
  <c r="J27" i="1"/>
  <c r="J24" i="1"/>
  <c r="V43" i="1"/>
  <c r="V19" i="1"/>
  <c r="V42" i="1"/>
  <c r="V22" i="1"/>
  <c r="V37" i="1"/>
  <c r="V17" i="1"/>
  <c r="V36" i="1"/>
  <c r="V8" i="1"/>
  <c r="V39" i="1"/>
  <c r="V23" i="1"/>
  <c r="V7" i="1"/>
  <c r="V34" i="1"/>
  <c r="V18" i="1"/>
  <c r="V41" i="1"/>
  <c r="V25" i="1"/>
  <c r="V9" i="1"/>
  <c r="V32" i="1"/>
  <c r="V16" i="1"/>
  <c r="Q29" i="1"/>
  <c r="L29" i="1" s="1"/>
  <c r="J11" i="1"/>
  <c r="J26" i="1"/>
  <c r="Q40" i="1"/>
  <c r="L40" i="1" s="1"/>
  <c r="J30" i="1"/>
  <c r="Q7" i="1"/>
  <c r="L7" i="1" s="1"/>
  <c r="Q32" i="1"/>
  <c r="L32" i="1" s="1"/>
  <c r="J16" i="1"/>
  <c r="L33" i="1"/>
  <c r="L34" i="1"/>
  <c r="Q39" i="1"/>
  <c r="Q44" i="1"/>
  <c r="I48" i="1"/>
  <c r="Q23" i="1"/>
  <c r="L23" i="1" s="1"/>
  <c r="Q43" i="1"/>
  <c r="L43" i="1" s="1"/>
  <c r="L47" i="1"/>
  <c r="J8" i="1"/>
  <c r="J23" i="1"/>
  <c r="L15" i="1"/>
  <c r="L26" i="1"/>
  <c r="L27" i="1"/>
  <c r="J45" i="1"/>
  <c r="L39" i="1"/>
  <c r="Q17" i="1"/>
  <c r="L17" i="1" s="1"/>
  <c r="L28" i="1"/>
  <c r="J31" i="1"/>
  <c r="Q42" i="1"/>
  <c r="L41" i="1" s="1"/>
  <c r="L22" i="1"/>
  <c r="L38" i="1"/>
  <c r="L35" i="1"/>
  <c r="J46" i="1"/>
  <c r="Q37" i="1"/>
  <c r="L36" i="1" s="1"/>
  <c r="J42" i="1"/>
  <c r="J34" i="1"/>
  <c r="Q46" i="1"/>
  <c r="Q31" i="1"/>
  <c r="L30" i="1" s="1"/>
  <c r="Q25" i="1"/>
  <c r="L24" i="1" s="1"/>
  <c r="J25" i="1"/>
  <c r="J22" i="1"/>
  <c r="J38" i="1"/>
  <c r="Q45" i="1"/>
  <c r="N48" i="1"/>
  <c r="M11" i="6"/>
  <c r="V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L37" i="1" l="1"/>
  <c r="L44" i="1"/>
  <c r="J48" i="1"/>
  <c r="L45" i="1"/>
  <c r="L25" i="1"/>
  <c r="L46" i="1"/>
  <c r="L31" i="1"/>
  <c r="L42" i="1"/>
  <c r="S10" i="1"/>
  <c r="T10" i="1" s="1"/>
  <c r="S14" i="1"/>
  <c r="T14" i="1" s="1"/>
  <c r="S18" i="1"/>
  <c r="T18" i="1" s="1"/>
  <c r="S22" i="1"/>
  <c r="T22" i="1" s="1"/>
  <c r="S26" i="1"/>
  <c r="T26" i="1" s="1"/>
  <c r="S30" i="1"/>
  <c r="T30" i="1" s="1"/>
  <c r="S34" i="1"/>
  <c r="T34" i="1" s="1"/>
  <c r="S38" i="1"/>
  <c r="T38" i="1" s="1"/>
  <c r="S42" i="1"/>
  <c r="T42" i="1" s="1"/>
  <c r="S46" i="1"/>
  <c r="T46" i="1" s="1"/>
  <c r="S7" i="1"/>
  <c r="T7" i="1" s="1"/>
  <c r="S11" i="1"/>
  <c r="T11" i="1" s="1"/>
  <c r="S15" i="1"/>
  <c r="T15" i="1" s="1"/>
  <c r="S19" i="1"/>
  <c r="T19" i="1" s="1"/>
  <c r="S23" i="1"/>
  <c r="T23" i="1" s="1"/>
  <c r="S27" i="1"/>
  <c r="T27" i="1" s="1"/>
  <c r="S31" i="1"/>
  <c r="T31" i="1" s="1"/>
  <c r="S35" i="1"/>
  <c r="T35" i="1" s="1"/>
  <c r="S39" i="1"/>
  <c r="T39" i="1" s="1"/>
  <c r="S43" i="1"/>
  <c r="T43" i="1" s="1"/>
  <c r="S47" i="1"/>
  <c r="T47" i="1" s="1"/>
  <c r="S8" i="1"/>
  <c r="T8" i="1" s="1"/>
  <c r="S12" i="1"/>
  <c r="T12" i="1" s="1"/>
  <c r="S16" i="1"/>
  <c r="T16" i="1" s="1"/>
  <c r="S20" i="1"/>
  <c r="T20" i="1" s="1"/>
  <c r="S24" i="1"/>
  <c r="T24" i="1" s="1"/>
  <c r="S28" i="1"/>
  <c r="T28" i="1" s="1"/>
  <c r="S32" i="1"/>
  <c r="T32" i="1" s="1"/>
  <c r="S36" i="1"/>
  <c r="T36" i="1" s="1"/>
  <c r="S40" i="1"/>
  <c r="T40" i="1" s="1"/>
  <c r="S44" i="1"/>
  <c r="T44" i="1" s="1"/>
  <c r="S9" i="1"/>
  <c r="T9" i="1" s="1"/>
  <c r="S13" i="1"/>
  <c r="T13" i="1" s="1"/>
  <c r="S17" i="1"/>
  <c r="T17" i="1" s="1"/>
  <c r="S21" i="1"/>
  <c r="T21" i="1" s="1"/>
  <c r="S25" i="1"/>
  <c r="T25" i="1" s="1"/>
  <c r="S29" i="1"/>
  <c r="T29" i="1" s="1"/>
  <c r="S33" i="1"/>
  <c r="T33" i="1" s="1"/>
  <c r="S37" i="1"/>
  <c r="T37" i="1" s="1"/>
  <c r="S41" i="1"/>
  <c r="T41" i="1" s="1"/>
  <c r="S45" i="1"/>
  <c r="T45" i="1" s="1"/>
  <c r="S48" i="1"/>
  <c r="T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<sst xmlns="http://schemas.openxmlformats.org/spreadsheetml/2006/main" count="311" uniqueCount="198">
  <si>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</si>
  <si>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</si>
  <si>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</si>
  <si>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</si>
  <si>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</si>
  <si>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</si>
  <si>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</si>
  <si>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</si>
  <si>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</si>
  <si>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</si>
  <si>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</si>
  <si>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</si>
  <si>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</si>
  <si>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</si>
  <si>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</si>
  <si>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</si>
  <si>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</si>
  <si>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</si>
  <si>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</si>
  <si>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</si>
  <si>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</si>
  <si>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</si>
  <si>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</si>
  <si>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</si>
  <si>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</si>
  <si>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</si>
  <si>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</si>
  <si>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</si>
  <si>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</si>
  <si>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</si>
  <si>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</si>
  <si>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</si>
  <si>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</si>
  <si>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</si>
  <si>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</si>
  <si>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</si>
  <si>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</si>
  <si>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</si>
  <si>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</si>
  <si>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</si>
  <si>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</si>
  <si>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</si>
  <si>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</si>
  <si>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</si>
  <si>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</si>
  <si>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</si>
  <si>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</si>
  <si>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</si>
  <si>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</si>
  <si>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</si>
  <si>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</si>
  <si>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</si>
  <si>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</si>
  <si>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</si>
  <si>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</si>
  <si>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</si>
  <si>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</si>
  <si>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</si>
  <si>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</si>
  <si>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</si>
  <si>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</si>
  <si>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</si>
  <si>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</si>
  <si>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</si>
  <si>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</si>
  <si>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</si>
  <si>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</si>
  <si>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</si>
  <si>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</si>
  <si>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</si>
  <si>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</si>
  <si>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</si>
  <si>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</si>
  <si>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</si>
  <si>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</si>
  <si>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</si>
  <si>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</si>
  <si>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</si>
  <si>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</si>
  <si>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</si>
  <si>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</si>
  <si>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</si>
  <si>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</si>
  <si>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</si>
  <si>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</si>
  <si>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</si>
  <si>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</si>
  <si>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</si>
  <si>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</si>
  <si>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</si>
  <si>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</si>
  <si>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</si>
  <si>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</si>
  <si>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</si>
  <si>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</si>
  <si>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</si>
  <si>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</si>
  <si>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</si>
  <si>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</si>
  <si>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</si>
  <si>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</si>
  <si>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</si>
  <si>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</si>
  <si>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</si>
  <si>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</si>
  <si>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</si>
  <si>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</si>
  <si>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</si>
  <si>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</si>
  <si>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</si>
  <si>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</si>
  <si>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</si>
  <si>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</si>
  <si>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</si>
  <si>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</si>
  <si>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</si>
  <si>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</si>
  <si>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</si>
  <si>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</si>
  <si>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</si>
  <si>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</si>
  <si>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</si>
  <si>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</si>
  <si>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</si>
  <si>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</si>
  <si>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</si>
  <si>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</si>
  <si>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</si>
  <si>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</si>
  <si>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</si>
  <si>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</si>
  <si>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</si>
  <si>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</si>
  <si>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</si>
  <si>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</si>
  <si>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</si>
  <si>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</si>
  <si>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</si>
  <si>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</si>
  <si>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</si>
  <si>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</si>
  <si>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</si>
  <si>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</si>
  <si>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</si>
  <si>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</si>
  <si>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</si>
  <si>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</si>
  <si>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</si>
  <si>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YEPES TORRES JHON ALEXANDER</t>
  </si>
  <si>
    <t>GONZALEZ IPUANA RENE</t>
  </si>
  <si>
    <t>MURILLO  YOIMAR ANDRES</t>
  </si>
  <si>
    <t>VERENZUELA MARTINEZ ALEXANDER</t>
  </si>
  <si>
    <t>FRANCO CARVAJAL GERARDO ANTONIO</t>
  </si>
  <si>
    <t>TUBERQUIA URREGO HAROL</t>
  </si>
  <si>
    <t>MARULANDA JARAMILLO DAWER ANDRES</t>
  </si>
  <si>
    <t>RUA CHAVARRIA YEFERSON ANDREY</t>
  </si>
  <si>
    <t>SALDARRIAGA PARRA LUIS ALBERTO</t>
  </si>
  <si>
    <t>MARIN  JAIR</t>
  </si>
  <si>
    <t>TORRES  JUAN DIEGO</t>
  </si>
  <si>
    <t>PALMAR PANA EDIXON JOSUE</t>
  </si>
  <si>
    <t>SANCHEZ BETANCOURT FRANSCISCO</t>
  </si>
  <si>
    <t>ALBERTO ARISTIZABAL RAFAEL</t>
  </si>
  <si>
    <t>JARAMILLO JARAMILLO FRANCISCO WBEIMAR</t>
  </si>
  <si>
    <t>LEON PEREZ RAUL ENRIQUE</t>
  </si>
  <si>
    <t>AGUDELO GARCIA LLORDIN ELIAS</t>
  </si>
  <si>
    <t>SUAREZ ESCUDERO JONATAN</t>
  </si>
  <si>
    <t>TABORDA ROJAS DIEGO ALEJANDRO</t>
  </si>
  <si>
    <t>QUIRAMA CASTAÑEDA JHON JADER</t>
  </si>
  <si>
    <t>JIMENEZ HURTADO CARLOS ESTIVEN</t>
  </si>
  <si>
    <t>OCAMPO OCAMPO ANTONIO JOSE</t>
  </si>
  <si>
    <t>PARRA VILLA YUBER ALONSO</t>
  </si>
  <si>
    <t>VALENCIA MENDOZA JHON</t>
  </si>
  <si>
    <t>MONTOYA OSPINA GILBERTO ANTONIO</t>
  </si>
  <si>
    <t>LAYOS JIMENEZ JOHAN CAMILO</t>
  </si>
  <si>
    <t>MACIAS HERNANDEZ JULIAN DAVID</t>
  </si>
  <si>
    <t>MARIN ALZATE KEVIN ANDRES</t>
  </si>
  <si>
    <t>MACEA ARBELAEZ MATEO</t>
  </si>
  <si>
    <t>ROJAS ESCOBAR CRISTIAN ESNEIDER</t>
  </si>
  <si>
    <t>CALLE  RICARDO</t>
  </si>
  <si>
    <t>DAVID  HENRY GIOVANNY</t>
  </si>
  <si>
    <t>HENAO MUÑOZ FERNEY</t>
  </si>
  <si>
    <t>LOPERA ALVAREZ ESTIVEN</t>
  </si>
  <si>
    <t>ARAQUE ARROYAVE JOSE ALBEIRO</t>
  </si>
  <si>
    <t>JIMENEZ JIMENEZ OMAR</t>
  </si>
  <si>
    <t>ESPINOZA ECHAVARRIA EMANUEL</t>
  </si>
  <si>
    <t>PARIAS MURIEL JHON FREDY</t>
  </si>
  <si>
    <t>CARTAGENA RAMIREZ FREDY ALONSO</t>
  </si>
  <si>
    <t>LONDOÑO LOPERA DUVAN ANDRES</t>
  </si>
  <si>
    <t xml:space="preserve">2 Descuentos (Jefe de ruta) </t>
  </si>
  <si>
    <t xml:space="preserve">6 Descuentos (Conducts, usuarios desubicados y despachador) </t>
  </si>
  <si>
    <t xml:space="preserve">7 Descuentos (Jefe de ruta, transbordo, conduct y despachador) </t>
  </si>
  <si>
    <t xml:space="preserve">1 Descuento (Despachador) </t>
  </si>
  <si>
    <t xml:space="preserve">2 Descuentos (Usuarios desubicados) </t>
  </si>
  <si>
    <t xml:space="preserve">2 Descuentos (Conducts) </t>
  </si>
  <si>
    <r>
      <t xml:space="preserve">PROMEDIO X VIAJE </t>
    </r>
    <r>
      <rPr>
        <b/>
        <sz val="11"/>
        <color theme="8" tint="-0.249977111117893"/>
        <rFont val="Verdana"/>
        <family val="2"/>
      </rPr>
      <t>20 USUARIOS</t>
    </r>
  </si>
  <si>
    <t xml:space="preserve">JORGE FLORES Realizó 3 viajes donde movilizó 62 Usuarios </t>
  </si>
  <si>
    <t>Se descuenta 0.5 viaje de 11 24 am ya que NO cumple con la ruta indicada</t>
  </si>
  <si>
    <t xml:space="preserve">FONDO (SIT)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</si>
</sst>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81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169" fontId="33" fillId="0" borderId="8" xfId="5" applyNumberFormat="1" applyFont="1" applyFill="1" applyBorder="1" applyAlignment="1">
      <alignment horizontal="right" vertical="center"/>
    </xf>
    <xf numFmtId="0" fontId="33" fillId="0" borderId="13" xfId="0" applyFont="1" applyBorder="1" applyAlignment="1">
      <alignment horizontal="center" vertical="center" wrapText="1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" fontId="33" fillId="0" borderId="8" xfId="1" applyNumberFormat="1" applyFont="1" applyFill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8"/>
    </tableStyle>
    <tableStyle name="Estilo de tabla 2" pivot="0" count="1" xr9:uid="{00000000-0011-0000-FFFF-FFFF01000000}">
      <tableStyleElement type="firstRowStripe" dxfId="67"/>
    </tableStyle>
    <tableStyle name="Estilo de tabla 3" pivot="0" count="2" xr9:uid="{00000000-0011-0000-FFFF-FFFF02000000}">
      <tableStyleElement type="firstRowStripe" dxfId="66"/>
      <tableStyleElement type="secondRowStripe" dxfId="65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Import!$C$7:$C$48</c:f>
              <c:numCache>
                <c:formatCode>0</c:formatCode>
                <c:ptCount val="41"/>
                <c:pt idx="0" formatCode="General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 formatCode="General">
                  <c:v>27</c:v>
                </c:pt>
                <c:pt idx="24">
                  <c:v>28</c:v>
                </c:pt>
                <c:pt idx="25" formatCode="General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34</c:v>
                </c:pt>
                <c:pt idx="31">
                  <c:v>35</c:v>
                </c:pt>
                <c:pt idx="32">
                  <c:v>36</c:v>
                </c:pt>
                <c:pt idx="33">
                  <c:v>37</c:v>
                </c:pt>
                <c:pt idx="34">
                  <c:v>38</c:v>
                </c:pt>
                <c:pt idx="35" formatCode="General">
                  <c:v>39</c:v>
                </c:pt>
                <c:pt idx="36">
                  <c:v>40</c:v>
                </c:pt>
                <c:pt idx="37">
                  <c:v>41</c:v>
                </c:pt>
                <c:pt idx="38">
                  <c:v>42</c:v>
                </c:pt>
                <c:pt idx="39" formatCode="General">
                  <c:v>43</c:v>
                </c:pt>
                <c:pt idx="40">
                  <c:v>44</c:v>
                </c:pt>
              </c:numCache>
            </c:numRef>
          </c:cat>
          <c:val>
            <c:numRef>
              <c:f>Import!$H$7:$H$48</c:f>
              <c:numCache>
                <c:formatCode>_-* #,##0.0_-;\-* #,##0.0_-;_-* "-"??_-;_-@_-</c:formatCode>
                <c:ptCount val="41"/>
                <c:pt idx="0">
                  <c:v>17.444444444444443</c:v>
                </c:pt>
                <c:pt idx="1">
                  <c:v>22.166666666666668</c:v>
                </c:pt>
                <c:pt idx="2">
                  <c:v>19.222222222222221</c:v>
                </c:pt>
                <c:pt idx="3">
                  <c:v>21.428571428571427</c:v>
                </c:pt>
                <c:pt idx="4">
                  <c:v>23.222222222222221</c:v>
                </c:pt>
                <c:pt idx="5">
                  <c:v>21.8</c:v>
                </c:pt>
                <c:pt idx="6">
                  <c:v>18.09090909090909</c:v>
                </c:pt>
                <c:pt idx="7">
                  <c:v>22.8</c:v>
                </c:pt>
                <c:pt idx="8">
                  <c:v>16.600000000000001</c:v>
                </c:pt>
                <c:pt idx="9">
                  <c:v>20</c:v>
                </c:pt>
                <c:pt idx="10">
                  <c:v>24.8</c:v>
                </c:pt>
                <c:pt idx="11">
                  <c:v>16.833333333333332</c:v>
                </c:pt>
                <c:pt idx="12">
                  <c:v>21.727272727272727</c:v>
                </c:pt>
                <c:pt idx="13">
                  <c:v>20.416666666666668</c:v>
                </c:pt>
                <c:pt idx="14">
                  <c:v>19.3</c:v>
                </c:pt>
                <c:pt idx="15">
                  <c:v>18.727272727272727</c:v>
                </c:pt>
                <c:pt idx="16">
                  <c:v>20.25</c:v>
                </c:pt>
                <c:pt idx="17">
                  <c:v>18.25</c:v>
                </c:pt>
                <c:pt idx="18">
                  <c:v>23.888888888888889</c:v>
                </c:pt>
                <c:pt idx="19">
                  <c:v>21</c:v>
                </c:pt>
                <c:pt idx="20">
                  <c:v>17.111111111111111</c:v>
                </c:pt>
                <c:pt idx="21">
                  <c:v>21</c:v>
                </c:pt>
                <c:pt idx="22">
                  <c:v>22.777777777777779</c:v>
                </c:pt>
                <c:pt idx="23">
                  <c:v>24.6</c:v>
                </c:pt>
                <c:pt idx="24">
                  <c:v>19</c:v>
                </c:pt>
                <c:pt idx="25">
                  <c:v>20.555555555555557</c:v>
                </c:pt>
                <c:pt idx="26">
                  <c:v>18.5</c:v>
                </c:pt>
                <c:pt idx="27">
                  <c:v>24.666666666666668</c:v>
                </c:pt>
                <c:pt idx="28">
                  <c:v>17</c:v>
                </c:pt>
                <c:pt idx="29">
                  <c:v>13.8</c:v>
                </c:pt>
                <c:pt idx="30">
                  <c:v>24.1</c:v>
                </c:pt>
                <c:pt idx="31">
                  <c:v>17.888888888888889</c:v>
                </c:pt>
                <c:pt idx="32">
                  <c:v>15.777777777777779</c:v>
                </c:pt>
                <c:pt idx="33">
                  <c:v>21.363636363636363</c:v>
                </c:pt>
                <c:pt idx="34">
                  <c:v>18.777777777777779</c:v>
                </c:pt>
                <c:pt idx="35">
                  <c:v>14.444444444444445</c:v>
                </c:pt>
                <c:pt idx="36">
                  <c:v>23</c:v>
                </c:pt>
                <c:pt idx="37">
                  <c:v>19.583333333333332</c:v>
                </c:pt>
                <c:pt idx="38">
                  <c:v>20.636363636363637</c:v>
                </c:pt>
                <c:pt idx="39">
                  <c:v>20.375</c:v>
                </c:pt>
                <c:pt idx="40">
                  <c:v>19.428571428571427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O48" totalsRowCount="1" headerRowDxfId="64" dataDxfId="63" totalsRowDxfId="62">
  <sortState xmlns:xlrd2="http://schemas.microsoft.com/office/spreadsheetml/2017/richdata2" ref="B7:N47">
    <sortCondition ref="C23:C47"/>
  </sortState>
  <tableColumns count="14">
    <tableColumn id="1" xr3:uid="{00000000-0010-0000-0000-000001000000}" name="RUTA" dataDxfId="27" totalsRowDxfId="13"/>
    <tableColumn id="2" xr3:uid="{00000000-0010-0000-0000-000002000000}" name="VEH" totalsRowFunction="countNums" dataDxfId="26" totalsRowDxfId="12"/>
    <tableColumn id="3" xr3:uid="{00000000-0010-0000-0000-000003000000}" name="CONDUCTOR" totalsRowLabel="Vehs " dataDxfId="25" totalsRowDxfId="11"/>
    <tableColumn id="4" xr3:uid="{00000000-0010-0000-0000-000004000000}" name="VIAJES" totalsRowFunction="sum" dataDxfId="24" totalsRowDxfId="10"/>
    <tableColumn id="5" xr3:uid="{00000000-0010-0000-0000-000005000000}" name="VIAJES PERD." totalsRowFunction="sum" dataDxfId="23" totalsRowDxfId="9"/>
    <tableColumn id="6" xr3:uid="{00000000-0010-0000-0000-000006000000}" name="USUARIOS" totalsRowFunction="sum" dataDxfId="22" totalsRowDxfId="8" dataCellStyle="Millares"/>
    <tableColumn id="12" xr3:uid="{00000000-0010-0000-0000-00000C000000}" name="PROM X VIAJE" totalsRowFunction="custom" dataDxfId="21" totalsRowDxfId="7" dataCellStyle="Millares">
      <calculatedColumnFormula>+G7/E7</calculatedColumnFormula>
      <totalsRowFormula>+Tabla2[[#Totals],[USUARIOS]]/Tabla2[[#Totals],[VIAJES]]</totalsRowFormula>
    </tableColumn>
    <tableColumn id="7" xr3:uid="{00000000-0010-0000-0000-000007000000}" name="PROM DE USUARIOS" totalsRowFunction="sum" dataDxfId="20" totalsRowDxfId="6" dataCellStyle="Millares">
      <calculatedColumnFormula>+(SUM($G$7:$G$1048576)/SUM($E$7:$E$1048576))*E7</calculatedColumnFormula>
    </tableColumn>
    <tableColumn id="13" xr3:uid="{FCD2DCC9-9A34-483A-B1DC-9E398E7F3EDE}" name="RECIBE / ENTREGA" totalsRowFunction="sum" dataDxfId="19" totalsRowDxfId="5" dataCellStyle="Millares">
      <calculatedColumnFormula>+Tabla2[[#This Row],[PROM DE USUARIOS]]-Tabla2[[#This Row],[USUARIOS]]</calculatedColumnFormula>
    </tableColumn>
    <tableColumn id="8" xr3:uid="{00000000-0010-0000-0000-000008000000}" name="NOVEDADES" totalsRowLabel="PROMEDIO X VIAJE 20 USUARIOS" dataDxfId="18" totalsRowDxfId="4"/>
    <tableColumn id="9" xr3:uid="{00000000-0010-0000-0000-000009000000}" name="VALOR OPERACIÓN" dataDxfId="17" totalsRowDxfId="3">
      <calculatedColumnFormula>Q7*635</calculatedColumnFormula>
    </tableColumn>
    <tableColumn id="10" xr3:uid="{00000000-0010-0000-0000-00000A000000}" name="CLASIFIC." dataDxfId="16" totalsRowDxfId="2">
      <calculatedColumnFormula>+VLOOKUP(C7,Lista!B:D,3,0)</calculatedColumnFormula>
    </tableColumn>
    <tableColumn id="11" xr3:uid="{00000000-0010-0000-0000-00000B000000}" name="DIFER. MICRO - BUS " totalsRowFunction="sum" dataDxfId="15" totalsRowDxfId="1" dataCellStyle="Millares">
      <calculatedColumnFormula>+(SUMIFS(G:G,M:M,"MICRO",E:E,"&gt;0")*100)/COUNTIF($E$7:$E$47,"&gt;0")</calculatedColumnFormula>
    </tableColumn>
    <tableColumn id="14" xr3:uid="{D9F32E0E-BAFD-40CE-9067-CEF725778F59}" name="FONDO (SIT) " totalsRowFunction="sum" dataDxfId="14" totalsRowDxfId="0" dataCellStyle="Millares">
      <calculatedColumnFormula>Tabla2[[#This Row],[USUARIOS]]*150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61" dataDxfId="60" totalsRowDxfId="59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58" totalsRowDxfId="57"/>
    <tableColumn id="2" xr3:uid="{7E9A4909-E53D-4F94-80A1-A675A394CC57}" name="VEH" totalsRowLabel="4" dataDxfId="56" totalsRowDxfId="55"/>
    <tableColumn id="3" xr3:uid="{32EB6A87-92EF-4CA2-B1E8-104D5D2326F5}" name="CONDUCTOR" totalsRowLabel="Vehs " dataDxfId="54" totalsRowDxfId="53"/>
    <tableColumn id="4" xr3:uid="{72FB169E-4910-4353-AF10-07DA297F0CD5}" name="VIAJES" totalsRowFunction="sum" dataDxfId="52" totalsRowDxfId="51"/>
    <tableColumn id="5" xr3:uid="{F323DE89-3087-4D39-B0ED-15680CB2FE01}" name="VIAJES PERD." totalsRowFunction="sum" dataDxfId="50" totalsRowDxfId="49"/>
    <tableColumn id="6" xr3:uid="{FF87B711-9A02-4FB5-B21F-73198A4385A8}" name="USUARIOS" totalsRowFunction="sum" dataDxfId="48" totalsRowDxfId="47" dataCellStyle="Millares"/>
    <tableColumn id="12" xr3:uid="{60E0DB3A-B7E4-44B6-BB26-D54278C24006}" name="PROM X VIAJE" totalsRowFunction="average" dataDxfId="46" totalsRowDxfId="45" dataCellStyle="Millares"/>
    <tableColumn id="7" xr3:uid="{12134CBA-AEEC-4025-BB5C-89B13D8F91D4}" name="PROM DE USUARIOS" totalsRowFunction="sum" dataDxfId="44" totalsRowDxfId="43" dataCellStyle="Millares"/>
    <tableColumn id="8" xr3:uid="{F35B2CED-DE3E-48D9-8E47-198F9B4F56C9}" name="NOVEDADES" dataDxfId="42" totalsRowDxfId="41"/>
    <tableColumn id="9" xr3:uid="{4BD57B08-79CF-4422-A880-91A289697DC2}" name="VALOR OPERACIÓN" dataDxfId="40" totalsRowDxfId="39" dataCellStyle="Millares"/>
    <tableColumn id="10" xr3:uid="{E8B6C5A5-759D-4901-BD5D-0ADA9540975C}" name="CLASIFIC." dataDxfId="38" totalsRowDxfId="37"/>
    <tableColumn id="11" xr3:uid="{CFA53866-4E21-473F-9C2D-8FB2962BACB5}" name="DIFER. MICRO - BUS " totalsRowFunction="sum" dataDxfId="36" totalsRowDxfId="35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8"/>
  <sheetViews>
    <sheetView showGridLines="0" tabSelected="1" showWhiteSpace="0" zoomScaleNormal="100" workbookViewId="0">
      <selection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9.375" style="362" hidden="1" customWidth="1"/>
    <col min="11" max="11" width="58.125" customWidth="1"/>
    <col min="12" max="12" width="10.5" style="337" bestFit="1" customWidth="1"/>
    <col min="13" max="13" width="9.625" customWidth="1"/>
    <col min="14" max="14" width="11.375" customWidth="1"/>
    <col min="15" max="15" width="13.37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8" t="s">
        <v>142</v>
      </c>
      <c r="E1" s="368"/>
      <c r="F1" s="368"/>
      <c r="G1" s="368"/>
      <c r="H1" s="368"/>
      <c r="I1" s="19"/>
      <c r="J1" s="338"/>
      <c r="K1" s="195"/>
      <c r="L1"/>
    </row>
    <row r="2" spans="1:32" ht="49.5" thickBot="1" x14ac:dyDescent="0.35">
      <c r="D2" s="369" t="s">
        <v>141</v>
      </c>
      <c r="E2" s="369"/>
      <c r="F2" s="369"/>
      <c r="G2" s="369"/>
      <c r="H2" s="369"/>
      <c r="I2" s="369"/>
      <c r="J2" s="369"/>
      <c r="K2" s="369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70"/>
      <c r="C3" s="370"/>
      <c r="D3" s="370"/>
      <c r="E3" s="370"/>
      <c r="F3" s="370"/>
      <c r="G3" s="241"/>
      <c r="H3" s="243"/>
      <c r="I3" s="19"/>
      <c r="J3" s="338"/>
      <c r="K3" s="195"/>
      <c r="L3" s="197"/>
      <c r="Q3" s="55">
        <f>+SUM(G6:G1859)/2</f>
        <v>7392</v>
      </c>
      <c r="R3" s="55">
        <f>+SUM(E6:E1859)/2</f>
        <v>368</v>
      </c>
      <c r="S3" s="55">
        <f>+Q3-R3</f>
        <v>7024</v>
      </c>
      <c r="T3" s="56">
        <f>+S3/R3</f>
        <v>19.086956521739129</v>
      </c>
      <c r="V3" s="15"/>
      <c r="X3" s="15"/>
      <c r="Z3" s="15"/>
      <c r="AB3" s="15"/>
      <c r="AD3" s="15"/>
      <c r="AF3" s="15"/>
    </row>
    <row r="4" spans="1:32" x14ac:dyDescent="0.2">
      <c r="B4" s="370"/>
      <c r="C4" s="370"/>
      <c r="D4" s="370"/>
      <c r="E4" s="370"/>
      <c r="F4" s="370"/>
      <c r="G4" s="194">
        <v>46064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67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193" t="s">
        <v>197</v>
      </c>
      <c r="P6" s="86" t="s">
        <v>99</v>
      </c>
      <c r="Q6" s="86" t="s">
        <v>100</v>
      </c>
      <c r="R6" s="87" t="s">
        <v>103</v>
      </c>
      <c r="S6" s="88" t="s">
        <v>105</v>
      </c>
      <c r="T6" s="88" t="s">
        <v>106</v>
      </c>
      <c r="U6" s="89" t="s">
        <v>107</v>
      </c>
      <c r="V6" s="130" t="s">
        <v>114</v>
      </c>
      <c r="W6" s="88" t="s">
        <v>135</v>
      </c>
      <c r="X6" s="88" t="s">
        <v>136</v>
      </c>
    </row>
    <row r="7" spans="1:32" s="2" customFormat="1" ht="22.5" x14ac:dyDescent="0.2">
      <c r="B7" s="136" t="s">
        <v>122</v>
      </c>
      <c r="C7" s="137">
        <v>1</v>
      </c>
      <c r="D7" s="136" t="s">
        <v>177</v>
      </c>
      <c r="E7" s="150">
        <v>9</v>
      </c>
      <c r="F7" s="150">
        <v>0.5</v>
      </c>
      <c r="G7" s="376">
        <v>157</v>
      </c>
      <c r="H7" s="377">
        <f>+G7/E7</f>
        <v>17.444444444444443</v>
      </c>
      <c r="I7" s="378">
        <f>+(SUM($G$7:$G$1048576)/SUM($E$7:$E$1048576))*E7</f>
        <v>180.78260869565216</v>
      </c>
      <c r="J7" s="379">
        <f>+Tabla2[[#This Row],[PROM DE USUARIOS]]-Tabla2[[#This Row],[USUARIOS]]</f>
        <v>23.782608695652158</v>
      </c>
      <c r="K7" s="380" t="s">
        <v>196</v>
      </c>
      <c r="L7" s="163">
        <f>Q7*635</f>
        <v>103021.83402173912</v>
      </c>
      <c r="M7" s="162" t="str">
        <f>+VLOOKUP(C7,Lista!B:D,3,0)</f>
        <v>MICRO</v>
      </c>
      <c r="N7" s="164">
        <f t="shared" ref="N7:N47" si="0">+(SUMIFS(G:G,M:M,"MICRO",E:E,"&gt;0")*100)/COUNTIF($E$7:$E$47,"&gt;0")</f>
        <v>9848.7804878048773</v>
      </c>
      <c r="O7" s="164">
        <f>Tabla2[[#This Row],[USUARIOS]]*150</f>
        <v>23550</v>
      </c>
      <c r="P7" s="50">
        <f>+(E7*1)-W7</f>
        <v>8.5</v>
      </c>
      <c r="Q7" s="47">
        <f>+I7-P7-X7</f>
        <v>162.23910869565216</v>
      </c>
      <c r="R7" s="49">
        <f>+G7-P7</f>
        <v>148.5</v>
      </c>
      <c r="S7" s="51">
        <f>+E7*$T$3</f>
        <v>171.78260869565216</v>
      </c>
      <c r="T7" s="46">
        <f t="shared" ref="T7:T47" si="1">+S7*550</f>
        <v>94480.434782608689</v>
      </c>
      <c r="U7" s="2" t="str">
        <f>+IF(K7&lt;&gt;"",K7,"")</f>
        <v>Se descuenta 0.5 viaje de 11 24 am ya que NO cumple con la ruta indicada</v>
      </c>
      <c r="V7" s="2">
        <f>+RANK(H7,$H$6:$H$1048576,1)</f>
        <v>8</v>
      </c>
      <c r="W7" s="2">
        <v>0.5</v>
      </c>
      <c r="X7" s="2">
        <v>10.0435</v>
      </c>
      <c r="Z7" s="2" t="str">
        <f>TRIM(Tabla2[[#This Row],[CONDUCTOR]])</f>
        <v>ROJAS ESCOBAR CRISTIAN ESNEIDER</v>
      </c>
    </row>
    <row r="8" spans="1:32" x14ac:dyDescent="0.2">
      <c r="B8" s="136" t="s">
        <v>121</v>
      </c>
      <c r="C8" s="166">
        <v>2</v>
      </c>
      <c r="D8" s="151" t="s">
        <v>185</v>
      </c>
      <c r="E8" s="150">
        <v>6</v>
      </c>
      <c r="F8" s="150">
        <v>0</v>
      </c>
      <c r="G8" s="146">
        <v>133</v>
      </c>
      <c r="H8" s="226">
        <f>+G8/E8</f>
        <v>22.166666666666668</v>
      </c>
      <c r="I8" s="227">
        <f>+(SUM($G$7:$G$1048576)/SUM($E$7:$E$1048576))*E8</f>
        <v>120.52173913043478</v>
      </c>
      <c r="J8" s="363">
        <f>+Tabla2[[#This Row],[PROM DE USUARIOS]]-Tabla2[[#This Row],[USUARIOS]]</f>
        <v>-12.478260869565219</v>
      </c>
      <c r="K8" s="151"/>
      <c r="L8" s="163">
        <f>Q8*635</f>
        <v>72721.304347826081</v>
      </c>
      <c r="M8" s="162">
        <f>+VLOOKUP(C8,Lista!B:D,3,0)</f>
        <v>0</v>
      </c>
      <c r="N8" s="164">
        <f t="shared" si="0"/>
        <v>9848.7804878048773</v>
      </c>
      <c r="O8" s="164">
        <f>Tabla2[[#This Row],[USUARIOS]]*150</f>
        <v>19950</v>
      </c>
      <c r="P8" s="50">
        <f>+(E8*1)-W8</f>
        <v>6</v>
      </c>
      <c r="Q8" s="47">
        <f>+I8-P8-X8</f>
        <v>114.52173913043478</v>
      </c>
      <c r="R8" s="49">
        <f>+G8-P8</f>
        <v>127</v>
      </c>
      <c r="S8" s="51">
        <f>+E8*$T$3</f>
        <v>114.52173913043478</v>
      </c>
      <c r="T8" s="46">
        <f t="shared" si="1"/>
        <v>62986.956521739128</v>
      </c>
      <c r="U8" t="str">
        <f>+IF(K8&lt;&gt;"",K8,"")</f>
        <v/>
      </c>
      <c r="V8">
        <f>+RANK(H8,$H$6:$H$1048576,1)</f>
        <v>33</v>
      </c>
      <c r="Z8" t="str">
        <f>TRIM(Tabla2[[#This Row],[CONDUCTOR]])</f>
        <v>PARIAS MURIEL JHON FREDY</v>
      </c>
    </row>
    <row r="9" spans="1:32" x14ac:dyDescent="0.2">
      <c r="B9" s="136" t="s">
        <v>122</v>
      </c>
      <c r="C9" s="166">
        <v>4</v>
      </c>
      <c r="D9" s="151" t="s">
        <v>160</v>
      </c>
      <c r="E9" s="150">
        <v>9</v>
      </c>
      <c r="F9" s="150">
        <v>0</v>
      </c>
      <c r="G9" s="146">
        <v>173</v>
      </c>
      <c r="H9" s="226">
        <f>+G9/E9</f>
        <v>19.222222222222221</v>
      </c>
      <c r="I9" s="227">
        <f>+(SUM($G$7:$G$1048576)/SUM($E$7:$E$1048576))*E9</f>
        <v>180.78260869565216</v>
      </c>
      <c r="J9" s="363">
        <f>+Tabla2[[#This Row],[PROM DE USUARIOS]]-Tabla2[[#This Row],[USUARIOS]]</f>
        <v>7.7826086956521578</v>
      </c>
      <c r="K9" s="151"/>
      <c r="L9" s="163">
        <f>Q9*635</f>
        <v>109081.95652173912</v>
      </c>
      <c r="M9" s="162" t="str">
        <f>+VLOOKUP(C9,Lista!B:D,3,0)</f>
        <v>MICRO</v>
      </c>
      <c r="N9" s="164">
        <f t="shared" si="0"/>
        <v>9848.7804878048773</v>
      </c>
      <c r="O9" s="164">
        <f>Tabla2[[#This Row],[USUARIOS]]*150</f>
        <v>25950</v>
      </c>
      <c r="P9" s="50">
        <f>+(E9*1)-W9</f>
        <v>9</v>
      </c>
      <c r="Q9" s="47">
        <f>+I9-P9-X9</f>
        <v>171.78260869565216</v>
      </c>
      <c r="R9" s="49">
        <f>+G9-P9</f>
        <v>164</v>
      </c>
      <c r="S9" s="51">
        <f>+E9*$T$3</f>
        <v>171.78260869565216</v>
      </c>
      <c r="T9" s="46">
        <f t="shared" si="1"/>
        <v>94480.434782608689</v>
      </c>
      <c r="U9" t="str">
        <f>+IF(K9&lt;&gt;"",K9,"")</f>
        <v/>
      </c>
      <c r="V9">
        <f>+RANK(H9,$H$6:$H$1048576,1)</f>
        <v>16</v>
      </c>
      <c r="Z9" t="str">
        <f>TRIM(Tabla2[[#This Row],[CONDUCTOR]])</f>
        <v>SANCHEZ BETANCOURT FRANSCISCO</v>
      </c>
    </row>
    <row r="10" spans="1:32" x14ac:dyDescent="0.2">
      <c r="B10" s="136" t="s">
        <v>121</v>
      </c>
      <c r="C10" s="166">
        <v>5</v>
      </c>
      <c r="D10" s="151" t="s">
        <v>187</v>
      </c>
      <c r="E10" s="150">
        <v>7</v>
      </c>
      <c r="F10" s="150">
        <v>0</v>
      </c>
      <c r="G10" s="165">
        <v>150</v>
      </c>
      <c r="H10" s="226">
        <f>+G10/E10</f>
        <v>21.428571428571427</v>
      </c>
      <c r="I10" s="227">
        <f>+(SUM($G$7:$G$1048576)/SUM($E$7:$E$1048576))*E10</f>
        <v>140.60869565217391</v>
      </c>
      <c r="J10" s="363">
        <f>+Tabla2[[#This Row],[PROM DE USUARIOS]]-Tabla2[[#This Row],[USUARIOS]]</f>
        <v>-9.3913043478260931</v>
      </c>
      <c r="K10" s="151"/>
      <c r="L10" s="163">
        <f>Q10*635</f>
        <v>84841.521739130432</v>
      </c>
      <c r="M10" s="162">
        <f>+VLOOKUP(C10,Lista!B:D,3,0)</f>
        <v>0</v>
      </c>
      <c r="N10" s="164">
        <f t="shared" si="0"/>
        <v>9848.7804878048773</v>
      </c>
      <c r="O10" s="164">
        <f>Tabla2[[#This Row],[USUARIOS]]*150</f>
        <v>22500</v>
      </c>
      <c r="P10" s="50">
        <f>+(E10*1)-W10</f>
        <v>7</v>
      </c>
      <c r="Q10" s="47">
        <f>+I10-P10-X10</f>
        <v>133.60869565217391</v>
      </c>
      <c r="R10" s="49">
        <f>+G10-P10</f>
        <v>143</v>
      </c>
      <c r="S10" s="51">
        <f>+E10*$T$3</f>
        <v>133.60869565217391</v>
      </c>
      <c r="T10" s="46">
        <f t="shared" si="1"/>
        <v>73484.782608695648</v>
      </c>
      <c r="U10" t="str">
        <f>+IF(K10&lt;&gt;"",K10,"")</f>
        <v/>
      </c>
      <c r="V10">
        <f>+RANK(H10,$H$6:$H$1048576,1)</f>
        <v>30</v>
      </c>
      <c r="Z10" t="str">
        <f>TRIM(Tabla2[[#This Row],[CONDUCTOR]])</f>
        <v>LONDOÑO LOPERA DUVAN ANDRES</v>
      </c>
    </row>
    <row r="11" spans="1:32" x14ac:dyDescent="0.2">
      <c r="B11" s="136" t="s">
        <v>122</v>
      </c>
      <c r="C11" s="166">
        <v>6</v>
      </c>
      <c r="D11" s="151" t="s">
        <v>184</v>
      </c>
      <c r="E11" s="150">
        <v>9</v>
      </c>
      <c r="F11" s="150">
        <v>0</v>
      </c>
      <c r="G11" s="146">
        <v>209</v>
      </c>
      <c r="H11" s="226">
        <f>+G11/E11</f>
        <v>23.222222222222221</v>
      </c>
      <c r="I11" s="364">
        <f>+(SUM($G$7:$G$1048576)/SUM($E$7:$E$1048576))*E11</f>
        <v>180.78260869565216</v>
      </c>
      <c r="J11" s="363">
        <f>+Tabla2[[#This Row],[PROM DE USUARIOS]]-Tabla2[[#This Row],[USUARIOS]]</f>
        <v>-28.217391304347842</v>
      </c>
      <c r="K11" s="151" t="s">
        <v>188</v>
      </c>
      <c r="L11" s="163">
        <f>Q11*635</f>
        <v>109081.95652173912</v>
      </c>
      <c r="M11" s="162" t="str">
        <f>+VLOOKUP(C11,Lista!B:D,3,0)</f>
        <v>MICRO</v>
      </c>
      <c r="N11" s="164">
        <f t="shared" si="0"/>
        <v>9848.7804878048773</v>
      </c>
      <c r="O11" s="164">
        <f>Tabla2[[#This Row],[USUARIOS]]*150</f>
        <v>31350</v>
      </c>
      <c r="P11" s="50">
        <f>+(E11*1)-W11</f>
        <v>9</v>
      </c>
      <c r="Q11" s="47">
        <f>+I11-P11-X11</f>
        <v>171.78260869565216</v>
      </c>
      <c r="R11" s="49">
        <f>+G11-P11</f>
        <v>200</v>
      </c>
      <c r="S11" s="51">
        <f>+E11*$T$3</f>
        <v>171.78260869565216</v>
      </c>
      <c r="T11" s="46">
        <f t="shared" si="1"/>
        <v>94480.434782608689</v>
      </c>
      <c r="U11" t="str">
        <f>+IF(K11&lt;&gt;"",K11,"")</f>
        <v xml:space="preserve">2 Descuentos (Jefe de ruta) </v>
      </c>
      <c r="V11">
        <f>+RANK(H11,$H$6:$H$1048576,1)</f>
        <v>37</v>
      </c>
      <c r="Z11" t="str">
        <f>TRIM(Tabla2[[#This Row],[CONDUCTOR]])</f>
        <v>ESPINOZA ECHAVARRIA EMANUEL</v>
      </c>
    </row>
    <row r="12" spans="1:32" x14ac:dyDescent="0.2">
      <c r="B12" s="136" t="s">
        <v>121</v>
      </c>
      <c r="C12" s="166">
        <v>7</v>
      </c>
      <c r="D12" s="151" t="s">
        <v>153</v>
      </c>
      <c r="E12" s="150">
        <v>10</v>
      </c>
      <c r="F12" s="150">
        <v>0</v>
      </c>
      <c r="G12" s="146">
        <v>218</v>
      </c>
      <c r="H12" s="226">
        <f>+G12/E12</f>
        <v>21.8</v>
      </c>
      <c r="I12" s="364">
        <f>+(SUM($G$7:$G$1048576)/SUM($E$7:$E$1048576))*E12</f>
        <v>200.86956521739128</v>
      </c>
      <c r="J12" s="363">
        <f>+Tabla2[[#This Row],[PROM DE USUARIOS]]-Tabla2[[#This Row],[USUARIOS]]</f>
        <v>-17.130434782608717</v>
      </c>
      <c r="K12" s="151" t="s">
        <v>189</v>
      </c>
      <c r="L12" s="163">
        <f>Q12*635</f>
        <v>121202.17391304346</v>
      </c>
      <c r="M12" s="162">
        <f>+VLOOKUP(C12,Lista!B:D,3,0)</f>
        <v>0</v>
      </c>
      <c r="N12" s="164">
        <f t="shared" si="0"/>
        <v>9848.7804878048773</v>
      </c>
      <c r="O12" s="164">
        <f>Tabla2[[#This Row],[USUARIOS]]*150</f>
        <v>32700</v>
      </c>
      <c r="P12" s="50">
        <f>+(E12*1)-W12</f>
        <v>10</v>
      </c>
      <c r="Q12" s="47">
        <f>+I12-P12-X12</f>
        <v>190.86956521739128</v>
      </c>
      <c r="R12" s="49">
        <f>+G12-P12</f>
        <v>208</v>
      </c>
      <c r="S12" s="51">
        <f>+E12*$T$3</f>
        <v>190.86956521739128</v>
      </c>
      <c r="T12" s="46">
        <f t="shared" si="1"/>
        <v>104978.2608695652</v>
      </c>
      <c r="U12" t="str">
        <f>+IF(K12&lt;&gt;"",K12,"")</f>
        <v xml:space="preserve">6 Descuentos (Conducts, usuarios desubicados y despachador) </v>
      </c>
      <c r="V12">
        <f>+RANK(H12,$H$6:$H$1048576,1)</f>
        <v>32</v>
      </c>
      <c r="Z12" t="str">
        <f>TRIM(Tabla2[[#This Row],[CONDUCTOR]])</f>
        <v>TUBERQUIA URREGO HAROL</v>
      </c>
    </row>
    <row r="13" spans="1:32" x14ac:dyDescent="0.2">
      <c r="B13" s="136" t="s">
        <v>122</v>
      </c>
      <c r="C13" s="166">
        <v>8</v>
      </c>
      <c r="D13" s="151" t="s">
        <v>149</v>
      </c>
      <c r="E13" s="150">
        <v>11</v>
      </c>
      <c r="F13" s="150">
        <v>0</v>
      </c>
      <c r="G13" s="165">
        <v>199</v>
      </c>
      <c r="H13" s="226">
        <f>+G13/E13</f>
        <v>18.09090909090909</v>
      </c>
      <c r="I13" s="227">
        <f>+(SUM($G$7:$G$1048576)/SUM($E$7:$E$1048576))*E13</f>
        <v>220.95652173913041</v>
      </c>
      <c r="J13" s="363">
        <f>+Tabla2[[#This Row],[PROM DE USUARIOS]]-Tabla2[[#This Row],[USUARIOS]]</f>
        <v>21.956521739130409</v>
      </c>
      <c r="K13" s="151" t="s">
        <v>190</v>
      </c>
      <c r="L13" s="163">
        <f>Q13*635</f>
        <v>133322.39130434781</v>
      </c>
      <c r="M13" s="162">
        <f>+VLOOKUP(C13,Lista!B:D,3,0)</f>
        <v>0</v>
      </c>
      <c r="N13" s="164">
        <f t="shared" si="0"/>
        <v>9848.7804878048773</v>
      </c>
      <c r="O13" s="164">
        <f>Tabla2[[#This Row],[USUARIOS]]*150</f>
        <v>29850</v>
      </c>
      <c r="P13" s="50">
        <f>+(E13*1)-W13</f>
        <v>11</v>
      </c>
      <c r="Q13" s="47">
        <f>+I13-P13-X13</f>
        <v>209.95652173913041</v>
      </c>
      <c r="R13" s="49">
        <f>+G13-P13</f>
        <v>188</v>
      </c>
      <c r="S13" s="51">
        <f>+E13*$T$3</f>
        <v>209.95652173913041</v>
      </c>
      <c r="T13" s="46">
        <f t="shared" si="1"/>
        <v>115476.08695652173</v>
      </c>
      <c r="U13" t="str">
        <f>+IF(K13&lt;&gt;"",K13,"")</f>
        <v xml:space="preserve">7 Descuentos (Jefe de ruta, transbordo, conduct y despachador) </v>
      </c>
      <c r="V13">
        <f>+RANK(H13,$H$6:$H$1048576,1)</f>
        <v>10</v>
      </c>
      <c r="Z13" t="str">
        <f>TRIM(Tabla2[[#This Row],[CONDUCTOR]])</f>
        <v>GONZALEZ IPUANA RENE</v>
      </c>
    </row>
    <row r="14" spans="1:32" x14ac:dyDescent="0.2">
      <c r="B14" s="136" t="s">
        <v>121</v>
      </c>
      <c r="C14" s="166">
        <v>9</v>
      </c>
      <c r="D14" s="151" t="s">
        <v>186</v>
      </c>
      <c r="E14" s="150">
        <v>10</v>
      </c>
      <c r="F14" s="150">
        <v>0</v>
      </c>
      <c r="G14" s="146">
        <v>228</v>
      </c>
      <c r="H14" s="226">
        <f>+G14/E14</f>
        <v>22.8</v>
      </c>
      <c r="I14" s="364">
        <f>+(SUM($G$7:$G$1048576)/SUM($E$7:$E$1048576))*E14</f>
        <v>200.86956521739128</v>
      </c>
      <c r="J14" s="363">
        <f>+Tabla2[[#This Row],[PROM DE USUARIOS]]-Tabla2[[#This Row],[USUARIOS]]</f>
        <v>-27.130434782608717</v>
      </c>
      <c r="K14" s="151" t="s">
        <v>191</v>
      </c>
      <c r="L14" s="163">
        <f>Q14*635</f>
        <v>121202.17391304346</v>
      </c>
      <c r="M14" s="162" t="str">
        <f>+VLOOKUP(C14,Lista!B:D,3,0)</f>
        <v>MICRO</v>
      </c>
      <c r="N14" s="164">
        <f t="shared" si="0"/>
        <v>9848.7804878048773</v>
      </c>
      <c r="O14" s="164">
        <f>Tabla2[[#This Row],[USUARIOS]]*150</f>
        <v>34200</v>
      </c>
      <c r="P14" s="50">
        <f>+(E14*1)-W14</f>
        <v>10</v>
      </c>
      <c r="Q14" s="47">
        <f>+I14-P14-X14</f>
        <v>190.86956521739128</v>
      </c>
      <c r="R14" s="49">
        <f>+G14-P14</f>
        <v>218</v>
      </c>
      <c r="S14" s="51">
        <f>+E14*$T$3</f>
        <v>190.86956521739128</v>
      </c>
      <c r="T14" s="46">
        <f t="shared" si="1"/>
        <v>104978.2608695652</v>
      </c>
      <c r="U14" t="str">
        <f>+IF(K14&lt;&gt;"",K14,"")</f>
        <v xml:space="preserve">1 Descuento (Despachador) </v>
      </c>
      <c r="V14">
        <f>+RANK(H14,$H$6:$H$1048576,1)</f>
        <v>35</v>
      </c>
      <c r="Z14" t="str">
        <f>TRIM(Tabla2[[#This Row],[CONDUCTOR]])</f>
        <v>CARTAGENA RAMIREZ FREDY ALONSO</v>
      </c>
    </row>
    <row r="15" spans="1:32" x14ac:dyDescent="0.2">
      <c r="B15" s="136" t="s">
        <v>122</v>
      </c>
      <c r="C15" s="166">
        <v>10</v>
      </c>
      <c r="D15" s="151" t="s">
        <v>170</v>
      </c>
      <c r="E15" s="150">
        <v>10</v>
      </c>
      <c r="F15" s="150">
        <v>0</v>
      </c>
      <c r="G15" s="165">
        <v>166</v>
      </c>
      <c r="H15" s="226">
        <f>+G15/E15</f>
        <v>16.600000000000001</v>
      </c>
      <c r="I15" s="227">
        <f>+(SUM($G$7:$G$1048576)/SUM($E$7:$E$1048576))*E15</f>
        <v>200.86956521739128</v>
      </c>
      <c r="J15" s="363">
        <f>+Tabla2[[#This Row],[PROM DE USUARIOS]]-Tabla2[[#This Row],[USUARIOS]]</f>
        <v>34.869565217391283</v>
      </c>
      <c r="K15" s="151" t="s">
        <v>192</v>
      </c>
      <c r="L15" s="163">
        <f>Q15*635</f>
        <v>121202.17391304346</v>
      </c>
      <c r="M15" s="162" t="str">
        <f>+VLOOKUP(C15,Lista!B:D,3,0)</f>
        <v>MICRO</v>
      </c>
      <c r="N15" s="164">
        <f t="shared" si="0"/>
        <v>9848.7804878048773</v>
      </c>
      <c r="O15" s="164">
        <f>Tabla2[[#This Row],[USUARIOS]]*150</f>
        <v>24900</v>
      </c>
      <c r="P15" s="50">
        <f>+(E15*1)-W15</f>
        <v>10</v>
      </c>
      <c r="Q15" s="47">
        <f>+I15-P15-X15</f>
        <v>190.86956521739128</v>
      </c>
      <c r="R15" s="49">
        <f>+G15-P15</f>
        <v>156</v>
      </c>
      <c r="S15" s="51">
        <f>+E15*$T$3</f>
        <v>190.86956521739128</v>
      </c>
      <c r="T15" s="46">
        <f t="shared" si="1"/>
        <v>104978.2608695652</v>
      </c>
      <c r="U15" t="str">
        <f>+IF(K15&lt;&gt;"",K15,"")</f>
        <v xml:space="preserve">2 Descuentos (Usuarios desubicados) </v>
      </c>
      <c r="V15">
        <f>+RANK(H15,$H$6:$H$1048576,1)</f>
        <v>4</v>
      </c>
      <c r="Z15" t="str">
        <f>TRIM(Tabla2[[#This Row],[CONDUCTOR]])</f>
        <v>PARRA VILLA YUBER ALONSO</v>
      </c>
    </row>
    <row r="16" spans="1:32" x14ac:dyDescent="0.2">
      <c r="B16" s="136" t="s">
        <v>121</v>
      </c>
      <c r="C16" s="166">
        <v>11</v>
      </c>
      <c r="D16" s="151" t="s">
        <v>148</v>
      </c>
      <c r="E16" s="150">
        <v>6</v>
      </c>
      <c r="F16" s="150">
        <v>0</v>
      </c>
      <c r="G16" s="146">
        <v>120</v>
      </c>
      <c r="H16" s="226">
        <f>+G16/E16</f>
        <v>20</v>
      </c>
      <c r="I16" s="364">
        <f>+(SUM($G$7:$G$1048576)/SUM($E$7:$E$1048576))*E16</f>
        <v>120.52173913043478</v>
      </c>
      <c r="J16" s="363">
        <f>+Tabla2[[#This Row],[PROM DE USUARIOS]]-Tabla2[[#This Row],[USUARIOS]]</f>
        <v>0.52173913043478137</v>
      </c>
      <c r="K16" s="151"/>
      <c r="L16" s="163">
        <f>Q16*635</f>
        <v>72721.304347826081</v>
      </c>
      <c r="M16" s="162" t="str">
        <f>+VLOOKUP(C16,Lista!B:D,3,0)</f>
        <v>MICRO</v>
      </c>
      <c r="N16" s="164">
        <f t="shared" si="0"/>
        <v>9848.7804878048773</v>
      </c>
      <c r="O16" s="164">
        <f>Tabla2[[#This Row],[USUARIOS]]*150</f>
        <v>18000</v>
      </c>
      <c r="P16" s="50">
        <f>+(E16*1)-W16</f>
        <v>6</v>
      </c>
      <c r="Q16" s="47">
        <f>+I16-P16-X16</f>
        <v>114.52173913043478</v>
      </c>
      <c r="R16" s="49">
        <f>+G16-P16</f>
        <v>114</v>
      </c>
      <c r="S16" s="51">
        <f>+E16*$T$3</f>
        <v>114.52173913043478</v>
      </c>
      <c r="T16" s="46">
        <f t="shared" si="1"/>
        <v>62986.956521739128</v>
      </c>
      <c r="U16" t="str">
        <f>+IF(K16&lt;&gt;"",K16,"")</f>
        <v/>
      </c>
      <c r="V16">
        <f>+RANK(H16,$H$6:$H$1048576,1)</f>
        <v>20</v>
      </c>
      <c r="Z16" t="str">
        <f>TRIM(Tabla2[[#This Row],[CONDUCTOR]])</f>
        <v>YEPES TORRES JHON ALEXANDER</v>
      </c>
    </row>
    <row r="17" spans="2:26" x14ac:dyDescent="0.2">
      <c r="B17" s="136" t="s">
        <v>122</v>
      </c>
      <c r="C17" s="166">
        <v>12</v>
      </c>
      <c r="D17" s="151" t="s">
        <v>179</v>
      </c>
      <c r="E17" s="150">
        <v>5</v>
      </c>
      <c r="F17" s="150">
        <v>0</v>
      </c>
      <c r="G17" s="146">
        <v>124</v>
      </c>
      <c r="H17" s="226">
        <f>+G17/E17</f>
        <v>24.8</v>
      </c>
      <c r="I17" s="364">
        <f>+(SUM($G$7:$G$1048576)/SUM($E$7:$E$1048576))*E17</f>
        <v>100.43478260869564</v>
      </c>
      <c r="J17" s="363">
        <f>+Tabla2[[#This Row],[PROM DE USUARIOS]]-Tabla2[[#This Row],[USUARIOS]]</f>
        <v>-23.565217391304358</v>
      </c>
      <c r="K17" s="151"/>
      <c r="L17" s="163">
        <f>Q17*635</f>
        <v>60601.086956521729</v>
      </c>
      <c r="M17" s="162">
        <f>+VLOOKUP(C17,Lista!B:D,3,0)</f>
        <v>0</v>
      </c>
      <c r="N17" s="164">
        <f t="shared" si="0"/>
        <v>9848.7804878048773</v>
      </c>
      <c r="O17" s="164">
        <f>Tabla2[[#This Row],[USUARIOS]]*150</f>
        <v>18600</v>
      </c>
      <c r="P17" s="50">
        <f>+(E17*1)-W17</f>
        <v>5</v>
      </c>
      <c r="Q17" s="47">
        <f>+I17-P17-X17</f>
        <v>95.434782608695642</v>
      </c>
      <c r="R17" s="49">
        <f>+G17-P17</f>
        <v>119</v>
      </c>
      <c r="S17" s="51">
        <f>+E17*$T$3</f>
        <v>95.434782608695642</v>
      </c>
      <c r="T17" s="46">
        <f t="shared" si="1"/>
        <v>52489.130434782601</v>
      </c>
      <c r="U17" t="str">
        <f>+IF(K17&lt;&gt;"",K17,"")</f>
        <v/>
      </c>
      <c r="V17">
        <f>+RANK(H17,$H$6:$H$1048576,1)</f>
        <v>42</v>
      </c>
      <c r="Z17" t="str">
        <f>TRIM(Tabla2[[#This Row],[CONDUCTOR]])</f>
        <v>DAVID HENRY GIOVANNY</v>
      </c>
    </row>
    <row r="18" spans="2:26" x14ac:dyDescent="0.2">
      <c r="B18" s="136" t="s">
        <v>121</v>
      </c>
      <c r="C18" s="166">
        <v>13</v>
      </c>
      <c r="D18" s="151" t="s">
        <v>157</v>
      </c>
      <c r="E18" s="150">
        <v>6</v>
      </c>
      <c r="F18" s="150">
        <v>0</v>
      </c>
      <c r="G18" s="165">
        <v>101</v>
      </c>
      <c r="H18" s="226">
        <f>+G18/E18</f>
        <v>16.833333333333332</v>
      </c>
      <c r="I18" s="227">
        <f>+(SUM($G$7:$G$1048576)/SUM($E$7:$E$1048576))*E18</f>
        <v>120.52173913043478</v>
      </c>
      <c r="J18" s="363">
        <f>+Tabla2[[#This Row],[PROM DE USUARIOS]]-Tabla2[[#This Row],[USUARIOS]]</f>
        <v>19.521739130434781</v>
      </c>
      <c r="K18" s="151" t="s">
        <v>192</v>
      </c>
      <c r="L18" s="163">
        <f>Q18*635</f>
        <v>72721.304347826081</v>
      </c>
      <c r="M18" s="162" t="str">
        <f>+VLOOKUP(C18,Lista!B:D,3,0)</f>
        <v>MICRO</v>
      </c>
      <c r="N18" s="164">
        <f t="shared" si="0"/>
        <v>9848.7804878048773</v>
      </c>
      <c r="O18" s="164">
        <f>Tabla2[[#This Row],[USUARIOS]]*150</f>
        <v>15150</v>
      </c>
      <c r="P18" s="50">
        <f>+(E18*1)-W18</f>
        <v>6</v>
      </c>
      <c r="Q18" s="47">
        <f>+I18-P18-X18</f>
        <v>114.52173913043478</v>
      </c>
      <c r="R18" s="49">
        <f>+G18-P18</f>
        <v>95</v>
      </c>
      <c r="S18" s="51">
        <f>+E18*$T$3</f>
        <v>114.52173913043478</v>
      </c>
      <c r="T18" s="46">
        <f t="shared" si="1"/>
        <v>62986.956521739128</v>
      </c>
      <c r="U18" t="str">
        <f>+IF(K18&lt;&gt;"",K18,"")</f>
        <v xml:space="preserve">2 Descuentos (Usuarios desubicados) </v>
      </c>
      <c r="V18">
        <f>+RANK(H18,$H$6:$H$1048576,1)</f>
        <v>5</v>
      </c>
      <c r="Z18" t="str">
        <f>TRIM(Tabla2[[#This Row],[CONDUCTOR]])</f>
        <v>MARIN JAIR</v>
      </c>
    </row>
    <row r="19" spans="2:26" x14ac:dyDescent="0.2">
      <c r="B19" s="136" t="s">
        <v>122</v>
      </c>
      <c r="C19" s="166">
        <v>14</v>
      </c>
      <c r="D19" s="151" t="s">
        <v>151</v>
      </c>
      <c r="E19" s="150">
        <v>11</v>
      </c>
      <c r="F19" s="150">
        <v>0</v>
      </c>
      <c r="G19" s="146">
        <v>239</v>
      </c>
      <c r="H19" s="226">
        <f>+G19/E19</f>
        <v>21.727272727272727</v>
      </c>
      <c r="I19" s="364">
        <f>+(SUM($G$7:$G$1048576)/SUM($E$7:$E$1048576))*E19</f>
        <v>220.95652173913041</v>
      </c>
      <c r="J19" s="363">
        <f>+Tabla2[[#This Row],[PROM DE USUARIOS]]-Tabla2[[#This Row],[USUARIOS]]</f>
        <v>-18.043478260869591</v>
      </c>
      <c r="K19" s="151" t="s">
        <v>192</v>
      </c>
      <c r="L19" s="163">
        <f>Q19*635</f>
        <v>133322.39130434781</v>
      </c>
      <c r="M19" s="162">
        <f>+VLOOKUP(C19,Lista!B:D,3,0)</f>
        <v>0</v>
      </c>
      <c r="N19" s="164">
        <f t="shared" si="0"/>
        <v>9848.7804878048773</v>
      </c>
      <c r="O19" s="164">
        <f>Tabla2[[#This Row],[USUARIOS]]*150</f>
        <v>35850</v>
      </c>
      <c r="P19" s="50">
        <f>+(E19*1)-W19</f>
        <v>11</v>
      </c>
      <c r="Q19" s="47">
        <f>+I19-P19-X19</f>
        <v>209.95652173913041</v>
      </c>
      <c r="R19" s="49">
        <f>+G19-P19</f>
        <v>228</v>
      </c>
      <c r="S19" s="51">
        <f>+E19*$T$3</f>
        <v>209.95652173913041</v>
      </c>
      <c r="T19" s="46">
        <f t="shared" si="1"/>
        <v>115476.08695652173</v>
      </c>
      <c r="U19" t="str">
        <f>+IF(K19&lt;&gt;"",K19,"")</f>
        <v xml:space="preserve">2 Descuentos (Usuarios desubicados) </v>
      </c>
      <c r="V19">
        <f>+RANK(H19,$H$6:$H$1048576,1)</f>
        <v>31</v>
      </c>
      <c r="Z19" t="str">
        <f>TRIM(Tabla2[[#This Row],[CONDUCTOR]])</f>
        <v>VERENZUELA MARTINEZ ALEXANDER</v>
      </c>
    </row>
    <row r="20" spans="2:26" x14ac:dyDescent="0.2">
      <c r="B20" s="136" t="s">
        <v>121</v>
      </c>
      <c r="C20" s="166">
        <v>15</v>
      </c>
      <c r="D20" s="151" t="s">
        <v>174</v>
      </c>
      <c r="E20" s="150">
        <v>12</v>
      </c>
      <c r="F20" s="150">
        <v>0</v>
      </c>
      <c r="G20" s="165">
        <v>245</v>
      </c>
      <c r="H20" s="226">
        <f>+G20/E20</f>
        <v>20.416666666666668</v>
      </c>
      <c r="I20" s="227">
        <f>+(SUM($G$7:$G$1048576)/SUM($E$7:$E$1048576))*E20</f>
        <v>241.04347826086956</v>
      </c>
      <c r="J20" s="363">
        <f>+Tabla2[[#This Row],[PROM DE USUARIOS]]-Tabla2[[#This Row],[USUARIOS]]</f>
        <v>-3.9565217391304373</v>
      </c>
      <c r="K20" s="151"/>
      <c r="L20" s="163">
        <f>Q20*635</f>
        <v>145442.60869565216</v>
      </c>
      <c r="M20" s="162">
        <f>+VLOOKUP(C20,Lista!B:D,3,0)</f>
        <v>0</v>
      </c>
      <c r="N20" s="164">
        <f t="shared" si="0"/>
        <v>9848.7804878048773</v>
      </c>
      <c r="O20" s="164">
        <f>Tabla2[[#This Row],[USUARIOS]]*150</f>
        <v>36750</v>
      </c>
      <c r="P20" s="50">
        <f>+(E20*1)-W20</f>
        <v>12</v>
      </c>
      <c r="Q20" s="47">
        <f>+I20-P20-X20</f>
        <v>229.04347826086956</v>
      </c>
      <c r="R20" s="49">
        <f>+G20-P20</f>
        <v>233</v>
      </c>
      <c r="S20" s="51">
        <f>+E20*$T$3</f>
        <v>229.04347826086956</v>
      </c>
      <c r="T20" s="46">
        <f t="shared" si="1"/>
        <v>125973.91304347826</v>
      </c>
      <c r="U20" t="str">
        <f>+IF(K20&lt;&gt;"",K20,"")</f>
        <v/>
      </c>
      <c r="V20">
        <f>+RANK(H20,$H$6:$H$1048576,1)</f>
        <v>24</v>
      </c>
      <c r="Z20" t="str">
        <f>TRIM(Tabla2[[#This Row],[CONDUCTOR]])</f>
        <v>MACIAS HERNANDEZ JULIAN DAVID</v>
      </c>
    </row>
    <row r="21" spans="2:26" x14ac:dyDescent="0.2">
      <c r="B21" s="136" t="s">
        <v>122</v>
      </c>
      <c r="C21" s="166">
        <v>16</v>
      </c>
      <c r="D21" s="151" t="s">
        <v>150</v>
      </c>
      <c r="E21" s="150">
        <v>10</v>
      </c>
      <c r="F21" s="150">
        <v>0</v>
      </c>
      <c r="G21" s="146">
        <v>193</v>
      </c>
      <c r="H21" s="226">
        <f>+G21/E21</f>
        <v>19.3</v>
      </c>
      <c r="I21" s="364">
        <f>+(SUM($G$7:$G$1048576)/SUM($E$7:$E$1048576))*E21</f>
        <v>200.86956521739128</v>
      </c>
      <c r="J21" s="363">
        <f>+Tabla2[[#This Row],[PROM DE USUARIOS]]-Tabla2[[#This Row],[USUARIOS]]</f>
        <v>7.8695652173912833</v>
      </c>
      <c r="K21" s="151"/>
      <c r="L21" s="163">
        <f>Q21*635</f>
        <v>121202.17391304346</v>
      </c>
      <c r="M21" s="162" t="str">
        <f>+VLOOKUP(C21,Lista!B:D,3,0)</f>
        <v>MICRO</v>
      </c>
      <c r="N21" s="164">
        <f t="shared" si="0"/>
        <v>9848.7804878048773</v>
      </c>
      <c r="O21" s="164">
        <f>Tabla2[[#This Row],[USUARIOS]]*150</f>
        <v>28950</v>
      </c>
      <c r="P21" s="50">
        <f>+(E21*1)-W21</f>
        <v>10</v>
      </c>
      <c r="Q21" s="47">
        <f>+I21-P21-X21</f>
        <v>190.86956521739128</v>
      </c>
      <c r="R21" s="49">
        <f>+G21-P21</f>
        <v>183</v>
      </c>
      <c r="S21" s="51">
        <f>+E21*$T$3</f>
        <v>190.86956521739128</v>
      </c>
      <c r="T21" s="46">
        <f t="shared" si="1"/>
        <v>104978.2608695652</v>
      </c>
      <c r="U21" t="str">
        <f>+IF(K21&lt;&gt;"",K21,"")</f>
        <v/>
      </c>
      <c r="V21">
        <f>+RANK(H21,$H$6:$H$1048576,1)</f>
        <v>17</v>
      </c>
      <c r="Z21" t="str">
        <f>TRIM(Tabla2[[#This Row],[CONDUCTOR]])</f>
        <v>MURILLO YOIMAR ANDRES</v>
      </c>
    </row>
    <row r="22" spans="2:26" x14ac:dyDescent="0.2">
      <c r="B22" s="136" t="s">
        <v>121</v>
      </c>
      <c r="C22" s="166">
        <v>18</v>
      </c>
      <c r="D22" s="151" t="s">
        <v>161</v>
      </c>
      <c r="E22" s="150">
        <v>11</v>
      </c>
      <c r="F22" s="150">
        <v>0</v>
      </c>
      <c r="G22" s="165">
        <v>206</v>
      </c>
      <c r="H22" s="226">
        <f>+G22/E22</f>
        <v>18.727272727272727</v>
      </c>
      <c r="I22" s="227">
        <f>+(SUM($G$7:$G$1048576)/SUM($E$7:$E$1048576))*E22</f>
        <v>220.95652173913041</v>
      </c>
      <c r="J22" s="363">
        <f>+Tabla2[[#This Row],[PROM DE USUARIOS]]-Tabla2[[#This Row],[USUARIOS]]</f>
        <v>14.956521739130409</v>
      </c>
      <c r="K22" s="151" t="s">
        <v>192</v>
      </c>
      <c r="L22" s="163">
        <f>Q22*635</f>
        <v>133322.39130434781</v>
      </c>
      <c r="M22" s="162" t="str">
        <f>+VLOOKUP(C22,Lista!B:D,3,0)</f>
        <v>MICRO</v>
      </c>
      <c r="N22" s="164">
        <f t="shared" si="0"/>
        <v>9848.7804878048773</v>
      </c>
      <c r="O22" s="164">
        <f>Tabla2[[#This Row],[USUARIOS]]*150</f>
        <v>30900</v>
      </c>
      <c r="P22" s="50">
        <f>+(E22*1)-W22</f>
        <v>11</v>
      </c>
      <c r="Q22" s="47">
        <f>+I22-P22-X22</f>
        <v>209.95652173913041</v>
      </c>
      <c r="R22" s="49">
        <f>+G22-P22</f>
        <v>195</v>
      </c>
      <c r="S22" s="51">
        <f>+E22*$T$3</f>
        <v>209.95652173913041</v>
      </c>
      <c r="T22" s="46">
        <f t="shared" si="1"/>
        <v>115476.08695652173</v>
      </c>
      <c r="U22" t="str">
        <f>+IF(K22&lt;&gt;"",K22,"")</f>
        <v xml:space="preserve">2 Descuentos (Usuarios desubicados) </v>
      </c>
      <c r="V22">
        <f>+RANK(H22,$H$6:$H$1048576,1)</f>
        <v>13</v>
      </c>
      <c r="Z22" t="str">
        <f>TRIM(Tabla2[[#This Row],[CONDUCTOR]])</f>
        <v>ALBERTO ARISTIZABAL RAFAEL</v>
      </c>
    </row>
    <row r="23" spans="2:26" x14ac:dyDescent="0.2">
      <c r="B23" s="136" t="s">
        <v>122</v>
      </c>
      <c r="C23" s="166">
        <v>19</v>
      </c>
      <c r="D23" s="151" t="s">
        <v>176</v>
      </c>
      <c r="E23" s="150">
        <v>8</v>
      </c>
      <c r="F23" s="150">
        <v>0</v>
      </c>
      <c r="G23" s="146">
        <v>162</v>
      </c>
      <c r="H23" s="226">
        <f>+G23/E23</f>
        <v>20.25</v>
      </c>
      <c r="I23" s="364">
        <f>+(SUM($G$7:$G$1048576)/SUM($E$7:$E$1048576))*E23</f>
        <v>160.69565217391303</v>
      </c>
      <c r="J23" s="363">
        <f>+Tabla2[[#This Row],[PROM DE USUARIOS]]-Tabla2[[#This Row],[USUARIOS]]</f>
        <v>-1.3043478260869676</v>
      </c>
      <c r="K23" s="151"/>
      <c r="L23" s="163">
        <f>Q23*635</f>
        <v>96961.739130434769</v>
      </c>
      <c r="M23" s="162" t="str">
        <f>+VLOOKUP(C23,Lista!B:D,3,0)</f>
        <v>MICRO</v>
      </c>
      <c r="N23" s="164">
        <f t="shared" si="0"/>
        <v>9848.7804878048773</v>
      </c>
      <c r="O23" s="164">
        <f>Tabla2[[#This Row],[USUARIOS]]*150</f>
        <v>24300</v>
      </c>
      <c r="P23" s="50">
        <f>+(E23*1)-W23</f>
        <v>8</v>
      </c>
      <c r="Q23" s="47">
        <f>+I23-P23-X23</f>
        <v>152.69565217391303</v>
      </c>
      <c r="R23" s="49">
        <f>+G23-P23</f>
        <v>154</v>
      </c>
      <c r="S23" s="51">
        <f>+E23*$T$3</f>
        <v>152.69565217391303</v>
      </c>
      <c r="T23" s="46">
        <f t="shared" si="1"/>
        <v>83982.608695652161</v>
      </c>
      <c r="U23" t="str">
        <f>+IF(K23&lt;&gt;"",K23,"")</f>
        <v/>
      </c>
      <c r="V23">
        <f>+RANK(H23,$H$6:$H$1048576,1)</f>
        <v>22</v>
      </c>
      <c r="Z23" t="str">
        <f>TRIM(Tabla2[[#This Row],[CONDUCTOR]])</f>
        <v>MACEA ARBELAEZ MATEO</v>
      </c>
    </row>
    <row r="24" spans="2:26" x14ac:dyDescent="0.2">
      <c r="B24" s="136" t="s">
        <v>121</v>
      </c>
      <c r="C24" s="166">
        <v>20</v>
      </c>
      <c r="D24" s="151" t="s">
        <v>171</v>
      </c>
      <c r="E24" s="150">
        <v>4</v>
      </c>
      <c r="F24" s="150">
        <v>0</v>
      </c>
      <c r="G24" s="165">
        <v>73</v>
      </c>
      <c r="H24" s="226">
        <f>+G24/E24</f>
        <v>18.25</v>
      </c>
      <c r="I24" s="227">
        <f>+(SUM($G$7:$G$1048576)/SUM($E$7:$E$1048576))*E24</f>
        <v>80.347826086956516</v>
      </c>
      <c r="J24" s="363">
        <f>+Tabla2[[#This Row],[PROM DE USUARIOS]]-Tabla2[[#This Row],[USUARIOS]]</f>
        <v>7.3478260869565162</v>
      </c>
      <c r="K24" s="151"/>
      <c r="L24" s="163">
        <f>Q24*635</f>
        <v>48480.869565217385</v>
      </c>
      <c r="M24" s="162" t="str">
        <f>+VLOOKUP(C24,Lista!B:D,3,0)</f>
        <v>MICRO</v>
      </c>
      <c r="N24" s="164">
        <f t="shared" si="0"/>
        <v>9848.7804878048773</v>
      </c>
      <c r="O24" s="164">
        <f>Tabla2[[#This Row],[USUARIOS]]*150</f>
        <v>10950</v>
      </c>
      <c r="P24" s="50">
        <f>+(E24*1)-W24</f>
        <v>4</v>
      </c>
      <c r="Q24" s="47">
        <f>+I24-P24-X24</f>
        <v>76.347826086956516</v>
      </c>
      <c r="R24" s="49">
        <f>+G24-P24</f>
        <v>69</v>
      </c>
      <c r="S24" s="51">
        <f>+E24*$T$3</f>
        <v>76.347826086956516</v>
      </c>
      <c r="T24" s="46">
        <f t="shared" si="1"/>
        <v>41991.304347826081</v>
      </c>
      <c r="U24" t="str">
        <f>+IF(K24&lt;&gt;"",K24,"")</f>
        <v/>
      </c>
      <c r="V24">
        <f>+RANK(H24,$H$6:$H$1048576,1)</f>
        <v>11</v>
      </c>
      <c r="Z24" t="str">
        <f>TRIM(Tabla2[[#This Row],[CONDUCTOR]])</f>
        <v>VALENCIA MENDOZA JHON</v>
      </c>
    </row>
    <row r="25" spans="2:26" x14ac:dyDescent="0.2">
      <c r="B25" s="136" t="s">
        <v>122</v>
      </c>
      <c r="C25" s="166">
        <v>21</v>
      </c>
      <c r="D25" s="151" t="s">
        <v>183</v>
      </c>
      <c r="E25" s="150">
        <v>9</v>
      </c>
      <c r="F25" s="150">
        <v>0</v>
      </c>
      <c r="G25" s="165">
        <v>215</v>
      </c>
      <c r="H25" s="226">
        <f>+G25/E25</f>
        <v>23.888888888888889</v>
      </c>
      <c r="I25" s="227">
        <f>+(SUM($G$7:$G$1048576)/SUM($E$7:$E$1048576))*E25</f>
        <v>180.78260869565216</v>
      </c>
      <c r="J25" s="363">
        <f>+Tabla2[[#This Row],[PROM DE USUARIOS]]-Tabla2[[#This Row],[USUARIOS]]</f>
        <v>-34.217391304347842</v>
      </c>
      <c r="K25" s="151"/>
      <c r="L25" s="163">
        <f>Q25*635</f>
        <v>109081.95652173912</v>
      </c>
      <c r="M25" s="162" t="str">
        <f>+VLOOKUP(C25,Lista!B:D,3,0)</f>
        <v>MICRO</v>
      </c>
      <c r="N25" s="164">
        <f t="shared" si="0"/>
        <v>9848.7804878048773</v>
      </c>
      <c r="O25" s="164">
        <f>Tabla2[[#This Row],[USUARIOS]]*150</f>
        <v>32250</v>
      </c>
      <c r="P25" s="50">
        <f>+(E25*1)-W25</f>
        <v>9</v>
      </c>
      <c r="Q25" s="47">
        <f>+I25-P25-X25</f>
        <v>171.78260869565216</v>
      </c>
      <c r="R25" s="49">
        <f>+G25-P25</f>
        <v>206</v>
      </c>
      <c r="S25" s="51">
        <f>+E25*$T$3</f>
        <v>171.78260869565216</v>
      </c>
      <c r="T25" s="46">
        <f t="shared" si="1"/>
        <v>94480.434782608689</v>
      </c>
      <c r="U25" t="str">
        <f>+IF(K25&lt;&gt;"",K25,"")</f>
        <v/>
      </c>
      <c r="V25">
        <f>+RANK(H25,$H$6:$H$1048576,1)</f>
        <v>38</v>
      </c>
      <c r="Z25" t="str">
        <f>TRIM(Tabla2[[#This Row],[CONDUCTOR]])</f>
        <v>JIMENEZ JIMENEZ OMAR</v>
      </c>
    </row>
    <row r="26" spans="2:26" x14ac:dyDescent="0.2">
      <c r="B26" s="136" t="s">
        <v>121</v>
      </c>
      <c r="C26" s="166">
        <v>22</v>
      </c>
      <c r="D26" s="151" t="s">
        <v>167</v>
      </c>
      <c r="E26" s="150">
        <v>10</v>
      </c>
      <c r="F26" s="150">
        <v>0</v>
      </c>
      <c r="G26" s="146">
        <v>210</v>
      </c>
      <c r="H26" s="226">
        <f>+G26/E26</f>
        <v>21</v>
      </c>
      <c r="I26" s="364">
        <f>+(SUM($G$7:$G$1048576)/SUM($E$7:$E$1048576))*E26</f>
        <v>200.86956521739128</v>
      </c>
      <c r="J26" s="363">
        <f>+Tabla2[[#This Row],[PROM DE USUARIOS]]-Tabla2[[#This Row],[USUARIOS]]</f>
        <v>-9.1304347826087167</v>
      </c>
      <c r="K26" s="151"/>
      <c r="L26" s="163">
        <f>Q26*635</f>
        <v>121202.17391304346</v>
      </c>
      <c r="M26" s="162">
        <f>+VLOOKUP(C26,Lista!B:D,3,0)</f>
        <v>0</v>
      </c>
      <c r="N26" s="164">
        <f t="shared" si="0"/>
        <v>9848.7804878048773</v>
      </c>
      <c r="O26" s="164">
        <f>Tabla2[[#This Row],[USUARIOS]]*150</f>
        <v>31500</v>
      </c>
      <c r="P26" s="50">
        <f>+(E26*1)-W26</f>
        <v>10</v>
      </c>
      <c r="Q26" s="47">
        <f>+I26-P26-X26</f>
        <v>190.86956521739128</v>
      </c>
      <c r="R26" s="49">
        <f>+G26-P26</f>
        <v>200</v>
      </c>
      <c r="S26" s="51">
        <f>+E26*$T$3</f>
        <v>190.86956521739128</v>
      </c>
      <c r="T26" s="46">
        <f t="shared" si="1"/>
        <v>104978.2608695652</v>
      </c>
      <c r="U26" t="str">
        <f>+IF(K26&lt;&gt;"",K26,"")</f>
        <v/>
      </c>
      <c r="V26">
        <f>+RANK(H26,$H$6:$H$1048576,1)</f>
        <v>27</v>
      </c>
      <c r="Z26" t="str">
        <f>TRIM(Tabla2[[#This Row],[CONDUCTOR]])</f>
        <v>QUIRAMA CASTAÑEDA JHON JADER</v>
      </c>
    </row>
    <row r="27" spans="2:26" x14ac:dyDescent="0.2">
      <c r="B27" s="136" t="s">
        <v>122</v>
      </c>
      <c r="C27" s="166">
        <v>23</v>
      </c>
      <c r="D27" s="151" t="s">
        <v>156</v>
      </c>
      <c r="E27" s="150">
        <v>9</v>
      </c>
      <c r="F27" s="150">
        <v>0</v>
      </c>
      <c r="G27" s="165">
        <v>154</v>
      </c>
      <c r="H27" s="226">
        <f>+G27/E27</f>
        <v>17.111111111111111</v>
      </c>
      <c r="I27" s="227">
        <f>+(SUM($G$7:$G$1048576)/SUM($E$7:$E$1048576))*E27</f>
        <v>180.78260869565216</v>
      </c>
      <c r="J27" s="363">
        <f>+Tabla2[[#This Row],[PROM DE USUARIOS]]-Tabla2[[#This Row],[USUARIOS]]</f>
        <v>26.782608695652158</v>
      </c>
      <c r="K27" s="151"/>
      <c r="L27" s="163">
        <f>Q27*635</f>
        <v>109081.95652173912</v>
      </c>
      <c r="M27" s="162" t="str">
        <f>+VLOOKUP(C27,Lista!B:D,3,0)</f>
        <v xml:space="preserve">MICRO </v>
      </c>
      <c r="N27" s="164">
        <f t="shared" si="0"/>
        <v>9848.7804878048773</v>
      </c>
      <c r="O27" s="164">
        <f>Tabla2[[#This Row],[USUARIOS]]*150</f>
        <v>23100</v>
      </c>
      <c r="P27" s="50">
        <f>+(E27*1)-W27</f>
        <v>9</v>
      </c>
      <c r="Q27" s="47">
        <f>+I27-P27-X27</f>
        <v>171.78260869565216</v>
      </c>
      <c r="R27" s="49">
        <f>+G27-P27</f>
        <v>145</v>
      </c>
      <c r="S27" s="51">
        <f>+E27*$T$3</f>
        <v>171.78260869565216</v>
      </c>
      <c r="T27" s="46">
        <f t="shared" si="1"/>
        <v>94480.434782608689</v>
      </c>
      <c r="U27" t="str">
        <f>+IF(K27&lt;&gt;"",K27,"")</f>
        <v/>
      </c>
      <c r="V27">
        <f>+RANK(H27,$H$6:$H$1048576,1)</f>
        <v>7</v>
      </c>
      <c r="Z27" t="str">
        <f>TRIM(Tabla2[[#This Row],[CONDUCTOR]])</f>
        <v>SALDARRIAGA PARRA LUIS ALBERTO</v>
      </c>
    </row>
    <row r="28" spans="2:26" x14ac:dyDescent="0.2">
      <c r="B28" s="136" t="s">
        <v>121</v>
      </c>
      <c r="C28" s="166">
        <v>24</v>
      </c>
      <c r="D28" s="151" t="s">
        <v>178</v>
      </c>
      <c r="E28" s="150">
        <v>11</v>
      </c>
      <c r="F28" s="150">
        <v>0</v>
      </c>
      <c r="G28" s="165">
        <v>231</v>
      </c>
      <c r="H28" s="226">
        <f>+G28/E28</f>
        <v>21</v>
      </c>
      <c r="I28" s="227">
        <f>+(SUM($G$7:$G$1048576)/SUM($E$7:$E$1048576))*E28</f>
        <v>220.95652173913041</v>
      </c>
      <c r="J28" s="363">
        <f>+Tabla2[[#This Row],[PROM DE USUARIOS]]-Tabla2[[#This Row],[USUARIOS]]</f>
        <v>-10.043478260869591</v>
      </c>
      <c r="K28" s="151"/>
      <c r="L28" s="163">
        <f>Q28*635</f>
        <v>133322.39130434781</v>
      </c>
      <c r="M28" s="162" t="str">
        <f>+VLOOKUP(C28,Lista!B:D,3,0)</f>
        <v>MICRO</v>
      </c>
      <c r="N28" s="164">
        <f t="shared" si="0"/>
        <v>9848.7804878048773</v>
      </c>
      <c r="O28" s="164">
        <f>Tabla2[[#This Row],[USUARIOS]]*150</f>
        <v>34650</v>
      </c>
      <c r="P28" s="50">
        <f>+(E28*1)-W28</f>
        <v>11</v>
      </c>
      <c r="Q28" s="47">
        <f>+I28-P28-X28</f>
        <v>209.95652173913041</v>
      </c>
      <c r="R28" s="49">
        <f>+G28-P28</f>
        <v>220</v>
      </c>
      <c r="S28" s="51">
        <f>+E28*$T$3</f>
        <v>209.95652173913041</v>
      </c>
      <c r="T28" s="46">
        <f t="shared" si="1"/>
        <v>115476.08695652173</v>
      </c>
      <c r="U28" t="str">
        <f>+IF(K28&lt;&gt;"",K28,"")</f>
        <v/>
      </c>
      <c r="V28">
        <f>+RANK(H28,$H$6:$H$1048576,1)</f>
        <v>27</v>
      </c>
      <c r="Z28" t="str">
        <f>TRIM(Tabla2[[#This Row],[CONDUCTOR]])</f>
        <v>CALLE RICARDO</v>
      </c>
    </row>
    <row r="29" spans="2:26" x14ac:dyDescent="0.2">
      <c r="B29" s="136" t="s">
        <v>122</v>
      </c>
      <c r="C29" s="166">
        <v>25</v>
      </c>
      <c r="D29" s="151" t="s">
        <v>168</v>
      </c>
      <c r="E29" s="150">
        <v>9</v>
      </c>
      <c r="F29" s="150">
        <v>0</v>
      </c>
      <c r="G29" s="165">
        <v>205</v>
      </c>
      <c r="H29" s="226">
        <f>+G29/E29</f>
        <v>22.777777777777779</v>
      </c>
      <c r="I29" s="227">
        <f>+(SUM($G$7:$G$1048576)/SUM($E$7:$E$1048576))*E29</f>
        <v>180.78260869565216</v>
      </c>
      <c r="J29" s="363">
        <f>+Tabla2[[#This Row],[PROM DE USUARIOS]]-Tabla2[[#This Row],[USUARIOS]]</f>
        <v>-24.217391304347842</v>
      </c>
      <c r="K29" s="151"/>
      <c r="L29" s="163">
        <f>Q29*635</f>
        <v>109081.95652173912</v>
      </c>
      <c r="M29" s="367">
        <f>+VLOOKUP(C29,Lista!B:D,3,0)</f>
        <v>0</v>
      </c>
      <c r="N29" s="164">
        <f t="shared" si="0"/>
        <v>9848.7804878048773</v>
      </c>
      <c r="O29" s="164">
        <f>Tabla2[[#This Row],[USUARIOS]]*150</f>
        <v>30750</v>
      </c>
      <c r="P29" s="50">
        <f>+(E29*1)-W29</f>
        <v>9</v>
      </c>
      <c r="Q29" s="47">
        <f>+I29-P29-X29</f>
        <v>171.78260869565216</v>
      </c>
      <c r="R29" s="49">
        <f>+G29-P29</f>
        <v>196</v>
      </c>
      <c r="S29" s="51">
        <f>+E29*$T$3</f>
        <v>171.78260869565216</v>
      </c>
      <c r="T29" s="46">
        <f t="shared" si="1"/>
        <v>94480.434782608689</v>
      </c>
      <c r="U29" t="str">
        <f>+IF(K29&lt;&gt;"",K29,"")</f>
        <v/>
      </c>
      <c r="V29">
        <f>+RANK(H29,$H$6:$H$1048576,1)</f>
        <v>34</v>
      </c>
      <c r="Z29" t="str">
        <f>TRIM(Tabla2[[#This Row],[CONDUCTOR]])</f>
        <v>JIMENEZ HURTADO CARLOS ESTIVEN</v>
      </c>
    </row>
    <row r="30" spans="2:26" s="2" customFormat="1" x14ac:dyDescent="0.2">
      <c r="B30" s="136" t="s">
        <v>121</v>
      </c>
      <c r="C30" s="137">
        <v>27</v>
      </c>
      <c r="D30" s="151" t="s">
        <v>180</v>
      </c>
      <c r="E30" s="150">
        <v>10</v>
      </c>
      <c r="F30" s="150">
        <v>0</v>
      </c>
      <c r="G30" s="165">
        <v>246</v>
      </c>
      <c r="H30" s="226">
        <f>+G30/E30</f>
        <v>24.6</v>
      </c>
      <c r="I30" s="227">
        <f>+(SUM($G$7:$G$1048576)/SUM($E$7:$E$1048576))*E30</f>
        <v>200.86956521739128</v>
      </c>
      <c r="J30" s="363">
        <f>+Tabla2[[#This Row],[PROM DE USUARIOS]]-Tabla2[[#This Row],[USUARIOS]]</f>
        <v>-45.130434782608717</v>
      </c>
      <c r="K30" s="151" t="s">
        <v>195</v>
      </c>
      <c r="L30" s="163">
        <f>Q30*635</f>
        <v>121202.17391304346</v>
      </c>
      <c r="M30" s="367">
        <f>+VLOOKUP(C30,Lista!B:D,3,0)</f>
        <v>0</v>
      </c>
      <c r="N30" s="164">
        <f t="shared" si="0"/>
        <v>9848.7804878048773</v>
      </c>
      <c r="O30" s="164">
        <f>Tabla2[[#This Row],[USUARIOS]]*150</f>
        <v>36900</v>
      </c>
      <c r="P30" s="50">
        <f>+(E30*1)-W30</f>
        <v>10</v>
      </c>
      <c r="Q30" s="47">
        <f>+I30-P30-X30</f>
        <v>190.86956521739128</v>
      </c>
      <c r="R30" s="49">
        <f>+G30-P30</f>
        <v>236</v>
      </c>
      <c r="S30" s="51">
        <f>+E30*$T$3</f>
        <v>190.86956521739128</v>
      </c>
      <c r="T30" s="46">
        <f t="shared" si="1"/>
        <v>104978.2608695652</v>
      </c>
      <c r="U30" t="str">
        <f>+IF(K30&lt;&gt;"",K30,"")</f>
        <v xml:space="preserve">JORGE FLORES Realizó 3 viajes donde movilizó 62 Usuarios </v>
      </c>
      <c r="V30">
        <f>+RANK(H30,$H$6:$H$1048576,1)</f>
        <v>40</v>
      </c>
      <c r="Z30" t="str">
        <f>TRIM(Tabla2[[#This Row],[CONDUCTOR]])</f>
        <v>HENAO MUÑOZ FERNEY</v>
      </c>
    </row>
    <row r="31" spans="2:26" x14ac:dyDescent="0.2">
      <c r="B31" s="136" t="s">
        <v>122</v>
      </c>
      <c r="C31" s="166">
        <v>28</v>
      </c>
      <c r="D31" s="151" t="s">
        <v>165</v>
      </c>
      <c r="E31" s="150">
        <v>9</v>
      </c>
      <c r="F31" s="150">
        <v>0</v>
      </c>
      <c r="G31" s="146">
        <v>171</v>
      </c>
      <c r="H31" s="226">
        <f>+G31/E31</f>
        <v>19</v>
      </c>
      <c r="I31" s="364">
        <f>+(SUM($G$7:$G$1048576)/SUM($E$7:$E$1048576))*E31</f>
        <v>180.78260869565216</v>
      </c>
      <c r="J31" s="363">
        <f>+Tabla2[[#This Row],[PROM DE USUARIOS]]-Tabla2[[#This Row],[USUARIOS]]</f>
        <v>9.7826086956521578</v>
      </c>
      <c r="K31" s="151"/>
      <c r="L31" s="163">
        <f>Q31*635</f>
        <v>109081.95652173912</v>
      </c>
      <c r="M31" s="367" t="str">
        <f>+VLOOKUP(C31,Lista!B:D,3,0)</f>
        <v>MICRO</v>
      </c>
      <c r="N31" s="164">
        <f t="shared" si="0"/>
        <v>9848.7804878048773</v>
      </c>
      <c r="O31" s="164">
        <f>Tabla2[[#This Row],[USUARIOS]]*150</f>
        <v>25650</v>
      </c>
      <c r="P31" s="50">
        <f>+(E31*1)-W31</f>
        <v>9</v>
      </c>
      <c r="Q31" s="47">
        <f>+I31-P31-X31</f>
        <v>171.78260869565216</v>
      </c>
      <c r="R31" s="49">
        <f>+G31-P31</f>
        <v>162</v>
      </c>
      <c r="S31" s="51">
        <f>+E31*$T$3</f>
        <v>171.78260869565216</v>
      </c>
      <c r="T31" s="46">
        <f t="shared" si="1"/>
        <v>94480.434782608689</v>
      </c>
      <c r="U31" t="str">
        <f>+IF(K31&lt;&gt;"",K31,"")</f>
        <v/>
      </c>
      <c r="V31">
        <f>+RANK(H31,$H$6:$H$1048576,1)</f>
        <v>15</v>
      </c>
      <c r="Z31" t="str">
        <f>TRIM(Tabla2[[#This Row],[CONDUCTOR]])</f>
        <v>SUAREZ ESCUDERO JONATAN</v>
      </c>
    </row>
    <row r="32" spans="2:26" x14ac:dyDescent="0.2">
      <c r="B32" s="136" t="s">
        <v>121</v>
      </c>
      <c r="C32" s="137">
        <v>29</v>
      </c>
      <c r="D32" s="151" t="s">
        <v>163</v>
      </c>
      <c r="E32" s="150">
        <v>9</v>
      </c>
      <c r="F32" s="150">
        <v>0</v>
      </c>
      <c r="G32" s="146">
        <v>185</v>
      </c>
      <c r="H32" s="226">
        <f>+G32/E32</f>
        <v>20.555555555555557</v>
      </c>
      <c r="I32" s="227">
        <f>+(SUM($G$7:$G$1048576)/SUM($E$7:$E$1048576))*E32</f>
        <v>180.78260869565216</v>
      </c>
      <c r="J32" s="363">
        <f>+Tabla2[[#This Row],[PROM DE USUARIOS]]-Tabla2[[#This Row],[USUARIOS]]</f>
        <v>-4.2173913043478422</v>
      </c>
      <c r="K32" s="151"/>
      <c r="L32" s="163">
        <f>Q32*635</f>
        <v>109081.95652173912</v>
      </c>
      <c r="M32" s="367" t="str">
        <f>+VLOOKUP(C32,Lista!B:D,3,0)</f>
        <v>MICRO</v>
      </c>
      <c r="N32" s="164">
        <f t="shared" si="0"/>
        <v>9848.7804878048773</v>
      </c>
      <c r="O32" s="164">
        <f>Tabla2[[#This Row],[USUARIOS]]*150</f>
        <v>27750</v>
      </c>
      <c r="P32" s="50">
        <f>+(E32*1)-W32</f>
        <v>9</v>
      </c>
      <c r="Q32" s="47">
        <f>+I32-P32-X32</f>
        <v>171.78260869565216</v>
      </c>
      <c r="R32" s="49">
        <f>+G32-P32</f>
        <v>176</v>
      </c>
      <c r="S32" s="51">
        <f>+E32*$T$3</f>
        <v>171.78260869565216</v>
      </c>
      <c r="T32" s="46">
        <f t="shared" si="1"/>
        <v>94480.434782608689</v>
      </c>
      <c r="U32" t="str">
        <f>+IF(K32&lt;&gt;"",K32,"")</f>
        <v/>
      </c>
      <c r="V32">
        <f>+RANK(H32,$H$6:$H$1048576,1)</f>
        <v>25</v>
      </c>
      <c r="Z32" t="str">
        <f>TRIM(Tabla2[[#This Row],[CONDUCTOR]])</f>
        <v>LEON PEREZ RAUL ENRIQUE</v>
      </c>
    </row>
    <row r="33" spans="2:26" x14ac:dyDescent="0.2">
      <c r="B33" s="136" t="s">
        <v>122</v>
      </c>
      <c r="C33" s="166">
        <v>30</v>
      </c>
      <c r="D33" s="151" t="s">
        <v>164</v>
      </c>
      <c r="E33" s="150">
        <v>4</v>
      </c>
      <c r="F33" s="150">
        <v>0</v>
      </c>
      <c r="G33" s="146">
        <v>74</v>
      </c>
      <c r="H33" s="226">
        <f>+G33/E33</f>
        <v>18.5</v>
      </c>
      <c r="I33" s="364">
        <f>+(SUM($G$7:$G$1048576)/SUM($E$7:$E$1048576))*E33</f>
        <v>80.347826086956516</v>
      </c>
      <c r="J33" s="363">
        <f>+Tabla2[[#This Row],[PROM DE USUARIOS]]-Tabla2[[#This Row],[USUARIOS]]</f>
        <v>6.3478260869565162</v>
      </c>
      <c r="K33" s="151"/>
      <c r="L33" s="163">
        <f>Q33*635</f>
        <v>48480.869565217385</v>
      </c>
      <c r="M33" s="367">
        <f>+VLOOKUP(C33,Lista!B:D,3,0)</f>
        <v>0</v>
      </c>
      <c r="N33" s="164">
        <f t="shared" si="0"/>
        <v>9848.7804878048773</v>
      </c>
      <c r="O33" s="164">
        <f>Tabla2[[#This Row],[USUARIOS]]*150</f>
        <v>11100</v>
      </c>
      <c r="P33" s="50">
        <f>+(E33*1)-W33</f>
        <v>4</v>
      </c>
      <c r="Q33" s="47">
        <f>+I33-P33-X33</f>
        <v>76.347826086956516</v>
      </c>
      <c r="R33" s="49">
        <f>+G33-P33</f>
        <v>70</v>
      </c>
      <c r="S33" s="51">
        <f>+E33*$T$3</f>
        <v>76.347826086956516</v>
      </c>
      <c r="T33" s="46">
        <f t="shared" si="1"/>
        <v>41991.304347826081</v>
      </c>
      <c r="U33" t="str">
        <f>+IF(K33&lt;&gt;"",K33,"")</f>
        <v/>
      </c>
      <c r="V33">
        <f>+RANK(H33,$H$6:$H$1048576,1)</f>
        <v>12</v>
      </c>
      <c r="Z33" t="str">
        <f>TRIM(Tabla2[[#This Row],[CONDUCTOR]])</f>
        <v>AGUDELO GARCIA LLORDIN ELIAS</v>
      </c>
    </row>
    <row r="34" spans="2:26" x14ac:dyDescent="0.2">
      <c r="B34" s="136" t="s">
        <v>121</v>
      </c>
      <c r="C34" s="166">
        <v>31</v>
      </c>
      <c r="D34" s="151" t="s">
        <v>152</v>
      </c>
      <c r="E34" s="150">
        <v>9</v>
      </c>
      <c r="F34" s="150">
        <v>0</v>
      </c>
      <c r="G34" s="146">
        <v>222</v>
      </c>
      <c r="H34" s="226">
        <f>+G34/E34</f>
        <v>24.666666666666668</v>
      </c>
      <c r="I34" s="364">
        <f>+(SUM($G$7:$G$1048576)/SUM($E$7:$E$1048576))*E34</f>
        <v>180.78260869565216</v>
      </c>
      <c r="J34" s="363">
        <f>+Tabla2[[#This Row],[PROM DE USUARIOS]]-Tabla2[[#This Row],[USUARIOS]]</f>
        <v>-41.217391304347842</v>
      </c>
      <c r="K34" s="151"/>
      <c r="L34" s="163">
        <f>Q34*635</f>
        <v>109081.95652173912</v>
      </c>
      <c r="M34" s="367" t="str">
        <f>+VLOOKUP(C34,Lista!B:D,3,0)</f>
        <v>MICRO</v>
      </c>
      <c r="N34" s="164">
        <f t="shared" si="0"/>
        <v>9848.7804878048773</v>
      </c>
      <c r="O34" s="164">
        <f>Tabla2[[#This Row],[USUARIOS]]*150</f>
        <v>33300</v>
      </c>
      <c r="P34" s="50">
        <f>+(E34*1)-W34</f>
        <v>9</v>
      </c>
      <c r="Q34" s="47">
        <f>+I34-P34-X34</f>
        <v>171.78260869565216</v>
      </c>
      <c r="R34" s="49">
        <f>+G34-P34</f>
        <v>213</v>
      </c>
      <c r="S34" s="51">
        <f>+E34*$T$3</f>
        <v>171.78260869565216</v>
      </c>
      <c r="T34" s="46">
        <f t="shared" si="1"/>
        <v>94480.434782608689</v>
      </c>
      <c r="U34" t="str">
        <f>+IF(K34&lt;&gt;"",K34,"")</f>
        <v/>
      </c>
      <c r="V34">
        <f>+RANK(H34,$H$6:$H$1048576,1)</f>
        <v>41</v>
      </c>
      <c r="Z34" t="str">
        <f>TRIM(Tabla2[[#This Row],[CONDUCTOR]])</f>
        <v>FRANCO CARVAJAL GERARDO ANTONIO</v>
      </c>
    </row>
    <row r="35" spans="2:26" x14ac:dyDescent="0.2">
      <c r="B35" s="136" t="s">
        <v>122</v>
      </c>
      <c r="C35" s="166">
        <v>32</v>
      </c>
      <c r="D35" s="151" t="s">
        <v>173</v>
      </c>
      <c r="E35" s="150">
        <v>9</v>
      </c>
      <c r="F35" s="150">
        <v>0</v>
      </c>
      <c r="G35" s="146">
        <v>153</v>
      </c>
      <c r="H35" s="226">
        <f>+G35/E35</f>
        <v>17</v>
      </c>
      <c r="I35" s="364">
        <f>+(SUM($G$7:$G$1048576)/SUM($E$7:$E$1048576))*E35</f>
        <v>180.78260869565216</v>
      </c>
      <c r="J35" s="363">
        <f>+Tabla2[[#This Row],[PROM DE USUARIOS]]-Tabla2[[#This Row],[USUARIOS]]</f>
        <v>27.782608695652158</v>
      </c>
      <c r="K35" s="151"/>
      <c r="L35" s="163">
        <f>Q35*635</f>
        <v>109081.95652173912</v>
      </c>
      <c r="M35" s="367" t="str">
        <f>+VLOOKUP(C35,Lista!B:D,3,0)</f>
        <v>MICRO</v>
      </c>
      <c r="N35" s="164">
        <f t="shared" si="0"/>
        <v>9848.7804878048773</v>
      </c>
      <c r="O35" s="164">
        <f>Tabla2[[#This Row],[USUARIOS]]*150</f>
        <v>22950</v>
      </c>
      <c r="P35" s="50">
        <f>+(E35*1)-W35</f>
        <v>9</v>
      </c>
      <c r="Q35" s="47">
        <f>+I35-P35-X35</f>
        <v>171.78260869565216</v>
      </c>
      <c r="R35" s="49">
        <f>+G35-P35</f>
        <v>144</v>
      </c>
      <c r="S35" s="51">
        <f>+E35*$T$3</f>
        <v>171.78260869565216</v>
      </c>
      <c r="T35" s="46">
        <f t="shared" si="1"/>
        <v>94480.434782608689</v>
      </c>
      <c r="U35" t="str">
        <f>+IF(K35&lt;&gt;"",K35,"")</f>
        <v/>
      </c>
      <c r="V35">
        <f>+RANK(H35,$H$6:$H$1048576,1)</f>
        <v>6</v>
      </c>
      <c r="Z35" t="str">
        <f>TRIM(Tabla2[[#This Row],[CONDUCTOR]])</f>
        <v>LAYOS JIMENEZ JOHAN CAMILO</v>
      </c>
    </row>
    <row r="36" spans="2:26" x14ac:dyDescent="0.2">
      <c r="B36" s="136" t="s">
        <v>121</v>
      </c>
      <c r="C36" s="166">
        <v>33</v>
      </c>
      <c r="D36" s="151" t="s">
        <v>154</v>
      </c>
      <c r="E36" s="150">
        <v>10</v>
      </c>
      <c r="F36" s="150">
        <v>0</v>
      </c>
      <c r="G36" s="146">
        <v>138</v>
      </c>
      <c r="H36" s="226">
        <f>+G36/E36</f>
        <v>13.8</v>
      </c>
      <c r="I36" s="364">
        <f>+(SUM($G$7:$G$1048576)/SUM($E$7:$E$1048576))*E36</f>
        <v>200.86956521739128</v>
      </c>
      <c r="J36" s="363">
        <f>+Tabla2[[#This Row],[PROM DE USUARIOS]]-Tabla2[[#This Row],[USUARIOS]]</f>
        <v>62.869565217391283</v>
      </c>
      <c r="K36" s="151"/>
      <c r="L36" s="163">
        <f>Q36*635</f>
        <v>121202.17391304346</v>
      </c>
      <c r="M36" s="367" t="str">
        <f>+VLOOKUP(C36,Lista!B:D,3,0)</f>
        <v>MICRO</v>
      </c>
      <c r="N36" s="164">
        <f t="shared" si="0"/>
        <v>9848.7804878048773</v>
      </c>
      <c r="O36" s="164">
        <f>Tabla2[[#This Row],[USUARIOS]]*150</f>
        <v>20700</v>
      </c>
      <c r="P36" s="50">
        <f>+(E36*1)-W36</f>
        <v>10</v>
      </c>
      <c r="Q36" s="47">
        <f>+I36-P36-X36</f>
        <v>190.86956521739128</v>
      </c>
      <c r="R36" s="49">
        <f>+G36-P36</f>
        <v>128</v>
      </c>
      <c r="S36" s="51">
        <f>+E36*$T$3</f>
        <v>190.86956521739128</v>
      </c>
      <c r="T36" s="46">
        <f t="shared" si="1"/>
        <v>104978.2608695652</v>
      </c>
      <c r="U36" t="str">
        <f>+IF(K36&lt;&gt;"",K36,"")</f>
        <v/>
      </c>
      <c r="V36">
        <f>+RANK(H36,$H$6:$H$1048576,1)</f>
        <v>1</v>
      </c>
      <c r="Z36" t="str">
        <f>TRIM(Tabla2[[#This Row],[CONDUCTOR]])</f>
        <v>MARULANDA JARAMILLO DAWER ANDRES</v>
      </c>
    </row>
    <row r="37" spans="2:26" x14ac:dyDescent="0.2">
      <c r="B37" s="136" t="s">
        <v>122</v>
      </c>
      <c r="C37" s="166">
        <v>34</v>
      </c>
      <c r="D37" s="151" t="s">
        <v>172</v>
      </c>
      <c r="E37" s="150">
        <v>10</v>
      </c>
      <c r="F37" s="150">
        <v>0</v>
      </c>
      <c r="G37" s="146">
        <v>241</v>
      </c>
      <c r="H37" s="226">
        <f>+G37/E37</f>
        <v>24.1</v>
      </c>
      <c r="I37" s="364">
        <f>+(SUM($G$7:$G$1048576)/SUM($E$7:$E$1048576))*E37</f>
        <v>200.86956521739128</v>
      </c>
      <c r="J37" s="363">
        <f>+Tabla2[[#This Row],[PROM DE USUARIOS]]-Tabla2[[#This Row],[USUARIOS]]</f>
        <v>-40.130434782608717</v>
      </c>
      <c r="K37" s="151"/>
      <c r="L37" s="163">
        <f>Q37*635</f>
        <v>121202.17391304346</v>
      </c>
      <c r="M37" s="367" t="str">
        <f>+VLOOKUP(C37,Lista!B:D,3,0)</f>
        <v>MICRO</v>
      </c>
      <c r="N37" s="164">
        <f t="shared" si="0"/>
        <v>9848.7804878048773</v>
      </c>
      <c r="O37" s="164">
        <f>Tabla2[[#This Row],[USUARIOS]]*150</f>
        <v>36150</v>
      </c>
      <c r="P37" s="50">
        <f>+(E37*1)-W37</f>
        <v>10</v>
      </c>
      <c r="Q37" s="47">
        <f>+I37-P37-X37</f>
        <v>190.86956521739128</v>
      </c>
      <c r="R37" s="49">
        <f>+G37-P37</f>
        <v>231</v>
      </c>
      <c r="S37" s="51">
        <f>+E37*$T$3</f>
        <v>190.86956521739128</v>
      </c>
      <c r="T37" s="46">
        <f t="shared" si="1"/>
        <v>104978.2608695652</v>
      </c>
      <c r="U37" t="str">
        <f>+IF(K37&lt;&gt;"",K37,"")</f>
        <v/>
      </c>
      <c r="V37">
        <f>+RANK(H37,$H$6:$H$1048576,1)</f>
        <v>39</v>
      </c>
      <c r="Z37" t="str">
        <f>TRIM(Tabla2[[#This Row],[CONDUCTOR]])</f>
        <v>MONTOYA OSPINA GILBERTO ANTONIO</v>
      </c>
    </row>
    <row r="38" spans="2:26" x14ac:dyDescent="0.2">
      <c r="B38" s="136" t="s">
        <v>121</v>
      </c>
      <c r="C38" s="166">
        <v>35</v>
      </c>
      <c r="D38" s="151" t="s">
        <v>182</v>
      </c>
      <c r="E38" s="150">
        <v>9</v>
      </c>
      <c r="F38" s="150">
        <v>0</v>
      </c>
      <c r="G38" s="165">
        <v>161</v>
      </c>
      <c r="H38" s="226">
        <f>+G38/E38</f>
        <v>17.888888888888889</v>
      </c>
      <c r="I38" s="227">
        <f>+(SUM($G$7:$G$1048576)/SUM($E$7:$E$1048576))*E38</f>
        <v>180.78260869565216</v>
      </c>
      <c r="J38" s="363">
        <f>+Tabla2[[#This Row],[PROM DE USUARIOS]]-Tabla2[[#This Row],[USUARIOS]]</f>
        <v>19.782608695652158</v>
      </c>
      <c r="K38" s="151"/>
      <c r="L38" s="163">
        <f>Q38*635</f>
        <v>109081.95652173912</v>
      </c>
      <c r="M38" s="367">
        <f>+VLOOKUP(C38,Lista!B:D,3,0)</f>
        <v>0</v>
      </c>
      <c r="N38" s="164">
        <f t="shared" si="0"/>
        <v>9848.7804878048773</v>
      </c>
      <c r="O38" s="164">
        <f>Tabla2[[#This Row],[USUARIOS]]*150</f>
        <v>24150</v>
      </c>
      <c r="P38" s="50">
        <f>+(E38*1)-W38</f>
        <v>9</v>
      </c>
      <c r="Q38" s="47">
        <f>+I38-P38-X38</f>
        <v>171.78260869565216</v>
      </c>
      <c r="R38" s="49">
        <f>+G38-P38</f>
        <v>152</v>
      </c>
      <c r="S38" s="51">
        <f>+E38*$T$3</f>
        <v>171.78260869565216</v>
      </c>
      <c r="T38" s="46">
        <f t="shared" si="1"/>
        <v>94480.434782608689</v>
      </c>
      <c r="U38" t="str">
        <f>+IF(K38&lt;&gt;"",K38,"")</f>
        <v/>
      </c>
      <c r="V38">
        <f>+RANK(H38,$H$6:$H$1048576,1)</f>
        <v>9</v>
      </c>
      <c r="Z38" t="str">
        <f>TRIM(Tabla2[[#This Row],[CONDUCTOR]])</f>
        <v>ARAQUE ARROYAVE JOSE ALBEIRO</v>
      </c>
    </row>
    <row r="39" spans="2:26" x14ac:dyDescent="0.2">
      <c r="B39" s="136" t="s">
        <v>122</v>
      </c>
      <c r="C39" s="166">
        <v>36</v>
      </c>
      <c r="D39" s="151" t="s">
        <v>162</v>
      </c>
      <c r="E39" s="150">
        <v>9</v>
      </c>
      <c r="F39" s="150">
        <v>0</v>
      </c>
      <c r="G39" s="165">
        <v>142</v>
      </c>
      <c r="H39" s="226">
        <f>+G39/E39</f>
        <v>15.777777777777779</v>
      </c>
      <c r="I39" s="227">
        <f>+(SUM($G$7:$G$1048576)/SUM($E$7:$E$1048576))*E39</f>
        <v>180.78260869565216</v>
      </c>
      <c r="J39" s="363">
        <f>+Tabla2[[#This Row],[PROM DE USUARIOS]]-Tabla2[[#This Row],[USUARIOS]]</f>
        <v>38.782608695652158</v>
      </c>
      <c r="K39" s="151"/>
      <c r="L39" s="163">
        <f>Q39*635</f>
        <v>109081.95652173912</v>
      </c>
      <c r="M39" s="367" t="str">
        <f>+VLOOKUP(C39,Lista!B:D,3,0)</f>
        <v>MICRO</v>
      </c>
      <c r="N39" s="164">
        <f t="shared" si="0"/>
        <v>9848.7804878048773</v>
      </c>
      <c r="O39" s="164">
        <f>Tabla2[[#This Row],[USUARIOS]]*150</f>
        <v>21300</v>
      </c>
      <c r="P39" s="50">
        <f>+(E39*1)-W39</f>
        <v>9</v>
      </c>
      <c r="Q39" s="47">
        <f>+I39-P39-X39</f>
        <v>171.78260869565216</v>
      </c>
      <c r="R39" s="49">
        <f>+G39-P39</f>
        <v>133</v>
      </c>
      <c r="S39" s="51">
        <f>+E39*$T$3</f>
        <v>171.78260869565216</v>
      </c>
      <c r="T39" s="46">
        <f t="shared" si="1"/>
        <v>94480.434782608689</v>
      </c>
      <c r="U39" t="str">
        <f>+IF(K39&lt;&gt;"",K39,"")</f>
        <v/>
      </c>
      <c r="V39">
        <f>+RANK(H39,$H$6:$H$1048576,1)</f>
        <v>3</v>
      </c>
      <c r="Z39" t="str">
        <f>TRIM(Tabla2[[#This Row],[CONDUCTOR]])</f>
        <v>JARAMILLO JARAMILLO FRANCISCO WBEIMAR</v>
      </c>
    </row>
    <row r="40" spans="2:26" x14ac:dyDescent="0.2">
      <c r="B40" s="136" t="s">
        <v>121</v>
      </c>
      <c r="C40" s="166">
        <v>37</v>
      </c>
      <c r="D40" s="151" t="s">
        <v>166</v>
      </c>
      <c r="E40" s="150">
        <v>11</v>
      </c>
      <c r="F40" s="150">
        <v>0</v>
      </c>
      <c r="G40" s="165">
        <v>235</v>
      </c>
      <c r="H40" s="226">
        <f>+G40/E40</f>
        <v>21.363636363636363</v>
      </c>
      <c r="I40" s="227">
        <f>+(SUM($G$7:$G$1048576)/SUM($E$7:$E$1048576))*E40</f>
        <v>220.95652173913041</v>
      </c>
      <c r="J40" s="363">
        <f>+Tabla2[[#This Row],[PROM DE USUARIOS]]-Tabla2[[#This Row],[USUARIOS]]</f>
        <v>-14.043478260869591</v>
      </c>
      <c r="K40" s="151"/>
      <c r="L40" s="163">
        <f>Q40*635</f>
        <v>133322.39130434781</v>
      </c>
      <c r="M40" s="367">
        <f>+VLOOKUP(C40,Lista!B:D,3,0)</f>
        <v>0</v>
      </c>
      <c r="N40" s="164">
        <f t="shared" si="0"/>
        <v>9848.7804878048773</v>
      </c>
      <c r="O40" s="164">
        <f>Tabla2[[#This Row],[USUARIOS]]*150</f>
        <v>35250</v>
      </c>
      <c r="P40" s="50">
        <f>+(E40*1)-W40</f>
        <v>11</v>
      </c>
      <c r="Q40" s="47">
        <f>+I40-P40-X40</f>
        <v>209.95652173913041</v>
      </c>
      <c r="R40" s="49">
        <f>+G40-P40</f>
        <v>224</v>
      </c>
      <c r="S40" s="51">
        <f>+E40*$T$3</f>
        <v>209.95652173913041</v>
      </c>
      <c r="T40" s="46">
        <f t="shared" si="1"/>
        <v>115476.08695652173</v>
      </c>
      <c r="U40" t="str">
        <f>+IF(K40&lt;&gt;"",K40,"")</f>
        <v/>
      </c>
      <c r="V40">
        <f>+RANK(H40,$H$6:$H$1048576,1)</f>
        <v>29</v>
      </c>
      <c r="Z40" t="str">
        <f>TRIM(Tabla2[[#This Row],[CONDUCTOR]])</f>
        <v>TABORDA ROJAS DIEGO ALEJANDRO</v>
      </c>
    </row>
    <row r="41" spans="2:26" x14ac:dyDescent="0.2">
      <c r="B41" s="136" t="s">
        <v>122</v>
      </c>
      <c r="C41" s="166">
        <v>38</v>
      </c>
      <c r="D41" s="151" t="s">
        <v>149</v>
      </c>
      <c r="E41" s="150">
        <v>9</v>
      </c>
      <c r="F41" s="150">
        <v>0</v>
      </c>
      <c r="G41" s="165">
        <v>169</v>
      </c>
      <c r="H41" s="226">
        <f>+G41/E41</f>
        <v>18.777777777777779</v>
      </c>
      <c r="I41" s="227">
        <f>+(SUM($G$7:$G$1048576)/SUM($E$7:$E$1048576))*E41</f>
        <v>180.78260869565216</v>
      </c>
      <c r="J41" s="363">
        <f>+Tabla2[[#This Row],[PROM DE USUARIOS]]-Tabla2[[#This Row],[USUARIOS]]</f>
        <v>11.782608695652158</v>
      </c>
      <c r="K41" s="151"/>
      <c r="L41" s="163">
        <f>Q41*635</f>
        <v>109081.95652173912</v>
      </c>
      <c r="M41" s="367" t="str">
        <f>+VLOOKUP(C41,Lista!B:D,3,0)</f>
        <v>MICRO</v>
      </c>
      <c r="N41" s="164">
        <f t="shared" si="0"/>
        <v>9848.7804878048773</v>
      </c>
      <c r="O41" s="164">
        <f>Tabla2[[#This Row],[USUARIOS]]*150</f>
        <v>25350</v>
      </c>
      <c r="P41" s="50">
        <f>+(E41*1)-W41</f>
        <v>9</v>
      </c>
      <c r="Q41" s="47">
        <f>+I41-P41-X41</f>
        <v>171.78260869565216</v>
      </c>
      <c r="R41" s="49">
        <f>+G41-P41</f>
        <v>160</v>
      </c>
      <c r="S41" s="51">
        <f>+E41*$T$3</f>
        <v>171.78260869565216</v>
      </c>
      <c r="T41" s="46">
        <f t="shared" si="1"/>
        <v>94480.434782608689</v>
      </c>
      <c r="U41" t="str">
        <f>+IF(K41&lt;&gt;"",K41,"")</f>
        <v/>
      </c>
      <c r="V41">
        <f>+RANK(H41,$H$6:$H$1048576,1)</f>
        <v>14</v>
      </c>
      <c r="Z41" t="str">
        <f>TRIM(Tabla2[[#This Row],[CONDUCTOR]])</f>
        <v>GONZALEZ IPUANA RENE</v>
      </c>
    </row>
    <row r="42" spans="2:26" x14ac:dyDescent="0.2">
      <c r="B42" s="136" t="s">
        <v>121</v>
      </c>
      <c r="C42" s="137">
        <v>39</v>
      </c>
      <c r="D42" s="151" t="s">
        <v>159</v>
      </c>
      <c r="E42" s="150">
        <v>9</v>
      </c>
      <c r="F42" s="150">
        <v>0</v>
      </c>
      <c r="G42" s="146">
        <v>130</v>
      </c>
      <c r="H42" s="226">
        <f>+G42/E42</f>
        <v>14.444444444444445</v>
      </c>
      <c r="I42" s="227">
        <f>+(SUM($G$7:$G$1048576)/SUM($E$7:$E$1048576))*E42</f>
        <v>180.78260869565216</v>
      </c>
      <c r="J42" s="363">
        <f>+Tabla2[[#This Row],[PROM DE USUARIOS]]-Tabla2[[#This Row],[USUARIOS]]</f>
        <v>50.782608695652158</v>
      </c>
      <c r="K42" s="151"/>
      <c r="L42" s="163">
        <f>Q42*635</f>
        <v>109081.95652173912</v>
      </c>
      <c r="M42" s="367" t="str">
        <f>+VLOOKUP(C42,Lista!B:D,3,0)</f>
        <v>MICRO</v>
      </c>
      <c r="N42" s="164">
        <f t="shared" si="0"/>
        <v>9848.7804878048773</v>
      </c>
      <c r="O42" s="164">
        <f>Tabla2[[#This Row],[USUARIOS]]*150</f>
        <v>19500</v>
      </c>
      <c r="P42" s="50">
        <f>+(E42*1)-W42</f>
        <v>9</v>
      </c>
      <c r="Q42" s="47">
        <f>+I42-P42-X42</f>
        <v>171.78260869565216</v>
      </c>
      <c r="R42" s="49">
        <f>+G42-P42</f>
        <v>121</v>
      </c>
      <c r="S42" s="51">
        <f>+E42*$T$3</f>
        <v>171.78260869565216</v>
      </c>
      <c r="T42" s="46">
        <f t="shared" si="1"/>
        <v>94480.434782608689</v>
      </c>
      <c r="U42" t="str">
        <f>+IF(K42&lt;&gt;"",K42,"")</f>
        <v/>
      </c>
      <c r="V42">
        <f>+RANK(H42,$H$6:$H$1048576,1)</f>
        <v>2</v>
      </c>
      <c r="Z42" t="str">
        <f>TRIM(Tabla2[[#This Row],[CONDUCTOR]])</f>
        <v>PALMAR PANA EDIXON JOSUE</v>
      </c>
    </row>
    <row r="43" spans="2:26" x14ac:dyDescent="0.2">
      <c r="B43" s="136" t="s">
        <v>122</v>
      </c>
      <c r="C43" s="166">
        <v>40</v>
      </c>
      <c r="D43" s="151" t="s">
        <v>169</v>
      </c>
      <c r="E43" s="150">
        <v>11</v>
      </c>
      <c r="F43" s="150">
        <v>0</v>
      </c>
      <c r="G43" s="165">
        <v>253</v>
      </c>
      <c r="H43" s="226">
        <f>+G43/E43</f>
        <v>23</v>
      </c>
      <c r="I43" s="227">
        <f>+(SUM($G$7:$G$1048576)/SUM($E$7:$E$1048576))*E43</f>
        <v>220.95652173913041</v>
      </c>
      <c r="J43" s="363">
        <f>+Tabla2[[#This Row],[PROM DE USUARIOS]]-Tabla2[[#This Row],[USUARIOS]]</f>
        <v>-32.043478260869591</v>
      </c>
      <c r="K43" s="151"/>
      <c r="L43" s="163">
        <f>Q43*635</f>
        <v>133322.39130434781</v>
      </c>
      <c r="M43" s="367" t="str">
        <f>+VLOOKUP(C43,Lista!B:D,3,0)</f>
        <v>MICRO</v>
      </c>
      <c r="N43" s="164">
        <f t="shared" si="0"/>
        <v>9848.7804878048773</v>
      </c>
      <c r="O43" s="164">
        <f>Tabla2[[#This Row],[USUARIOS]]*150</f>
        <v>37950</v>
      </c>
      <c r="P43" s="50">
        <f>+(E43*1)-W43</f>
        <v>11</v>
      </c>
      <c r="Q43" s="47">
        <f>+I43-P43-X43</f>
        <v>209.95652173913041</v>
      </c>
      <c r="R43" s="49">
        <f>+G43-P43</f>
        <v>242</v>
      </c>
      <c r="S43" s="51">
        <f>+E43*$T$3</f>
        <v>209.95652173913041</v>
      </c>
      <c r="T43" s="46">
        <f t="shared" si="1"/>
        <v>115476.08695652173</v>
      </c>
      <c r="U43" t="str">
        <f>+IF(K43&lt;&gt;"",K43,"")</f>
        <v/>
      </c>
      <c r="V43">
        <f>+RANK(H43,$H$6:$H$1048576,1)</f>
        <v>36</v>
      </c>
      <c r="Z43" t="str">
        <f>TRIM(Tabla2[[#This Row],[CONDUCTOR]])</f>
        <v>OCAMPO OCAMPO ANTONIO JOSE</v>
      </c>
    </row>
    <row r="44" spans="2:26" x14ac:dyDescent="0.2">
      <c r="B44" s="136" t="s">
        <v>121</v>
      </c>
      <c r="C44" s="166">
        <v>41</v>
      </c>
      <c r="D44" s="151" t="s">
        <v>155</v>
      </c>
      <c r="E44" s="150">
        <v>12</v>
      </c>
      <c r="F44" s="150">
        <v>0</v>
      </c>
      <c r="G44" s="146">
        <v>235</v>
      </c>
      <c r="H44" s="226">
        <f>+G44/E44</f>
        <v>19.583333333333332</v>
      </c>
      <c r="I44" s="364">
        <f>+(SUM($G$7:$G$1048576)/SUM($E$7:$E$1048576))*E44</f>
        <v>241.04347826086956</v>
      </c>
      <c r="J44" s="363">
        <f>+Tabla2[[#This Row],[PROM DE USUARIOS]]-Tabla2[[#This Row],[USUARIOS]]</f>
        <v>6.0434782608695627</v>
      </c>
      <c r="K44" s="151" t="s">
        <v>192</v>
      </c>
      <c r="L44" s="163">
        <f>Q44*635</f>
        <v>145442.60869565216</v>
      </c>
      <c r="M44" s="367">
        <f>+VLOOKUP(C44,Lista!B:D,3,0)</f>
        <v>0</v>
      </c>
      <c r="N44" s="164">
        <f t="shared" si="0"/>
        <v>9848.7804878048773</v>
      </c>
      <c r="O44" s="164">
        <f>Tabla2[[#This Row],[USUARIOS]]*150</f>
        <v>35250</v>
      </c>
      <c r="P44" s="50">
        <f>+(E44*1)-W44</f>
        <v>12</v>
      </c>
      <c r="Q44" s="47">
        <f>+I44-P44-X44</f>
        <v>229.04347826086956</v>
      </c>
      <c r="R44" s="49">
        <f>+G44-P44</f>
        <v>223</v>
      </c>
      <c r="S44" s="51">
        <f>+E44*$T$3</f>
        <v>229.04347826086956</v>
      </c>
      <c r="T44" s="46">
        <f t="shared" si="1"/>
        <v>125973.91304347826</v>
      </c>
      <c r="U44" t="str">
        <f>+IF(K44&lt;&gt;"",K44,"")</f>
        <v xml:space="preserve">2 Descuentos (Usuarios desubicados) </v>
      </c>
      <c r="V44">
        <f>+RANK(H44,$H$6:$H$1048576,1)</f>
        <v>19</v>
      </c>
      <c r="Z44" t="str">
        <f>TRIM(Tabla2[[#This Row],[CONDUCTOR]])</f>
        <v>RUA CHAVARRIA YEFERSON ANDREY</v>
      </c>
    </row>
    <row r="45" spans="2:26" x14ac:dyDescent="0.2">
      <c r="B45" s="136" t="s">
        <v>122</v>
      </c>
      <c r="C45" s="166">
        <v>42</v>
      </c>
      <c r="D45" s="151" t="s">
        <v>181</v>
      </c>
      <c r="E45" s="150">
        <v>11</v>
      </c>
      <c r="F45" s="150">
        <v>0</v>
      </c>
      <c r="G45" s="146">
        <v>227</v>
      </c>
      <c r="H45" s="226">
        <f>+G45/E45</f>
        <v>20.636363636363637</v>
      </c>
      <c r="I45" s="364">
        <f>+(SUM($G$7:$G$1048576)/SUM($E$7:$E$1048576))*E45</f>
        <v>220.95652173913041</v>
      </c>
      <c r="J45" s="363">
        <f>+Tabla2[[#This Row],[PROM DE USUARIOS]]-Tabla2[[#This Row],[USUARIOS]]</f>
        <v>-6.0434782608695912</v>
      </c>
      <c r="K45" s="151" t="s">
        <v>193</v>
      </c>
      <c r="L45" s="163">
        <f>Q45*635</f>
        <v>133322.39130434781</v>
      </c>
      <c r="M45" s="367">
        <f>+VLOOKUP(C45,Lista!B:D,3,0)</f>
        <v>0</v>
      </c>
      <c r="N45" s="164">
        <f t="shared" si="0"/>
        <v>9848.7804878048773</v>
      </c>
      <c r="O45" s="164">
        <f>Tabla2[[#This Row],[USUARIOS]]*150</f>
        <v>34050</v>
      </c>
      <c r="P45" s="50">
        <f>+(E45*1)-W45</f>
        <v>11</v>
      </c>
      <c r="Q45" s="47">
        <f>+I45-P45-X45</f>
        <v>209.95652173913041</v>
      </c>
      <c r="R45" s="49">
        <f>+G45-P45</f>
        <v>216</v>
      </c>
      <c r="S45" s="51">
        <f>+E45*$T$3</f>
        <v>209.95652173913041</v>
      </c>
      <c r="T45" s="46">
        <f t="shared" si="1"/>
        <v>115476.08695652173</v>
      </c>
      <c r="U45" t="str">
        <f>+IF(K45&lt;&gt;"",K45,"")</f>
        <v xml:space="preserve">2 Descuentos (Conducts) </v>
      </c>
      <c r="V45">
        <f>+RANK(H45,$H$6:$H$1048576,1)</f>
        <v>26</v>
      </c>
      <c r="Z45" t="str">
        <f>TRIM(Tabla2[[#This Row],[CONDUCTOR]])</f>
        <v>LOPERA ALVAREZ ESTIVEN</v>
      </c>
    </row>
    <row r="46" spans="2:26" x14ac:dyDescent="0.2">
      <c r="B46" s="136" t="s">
        <v>121</v>
      </c>
      <c r="C46" s="137">
        <v>43</v>
      </c>
      <c r="D46" s="151" t="s">
        <v>158</v>
      </c>
      <c r="E46" s="150">
        <v>8</v>
      </c>
      <c r="F46" s="150">
        <v>0</v>
      </c>
      <c r="G46" s="146">
        <v>163</v>
      </c>
      <c r="H46" s="226">
        <f>+G46/E46</f>
        <v>20.375</v>
      </c>
      <c r="I46" s="227">
        <f>+(SUM($G$7:$G$1048576)/SUM($E$7:$E$1048576))*E46</f>
        <v>160.69565217391303</v>
      </c>
      <c r="J46" s="363">
        <f>+Tabla2[[#This Row],[PROM DE USUARIOS]]-Tabla2[[#This Row],[USUARIOS]]</f>
        <v>-2.3043478260869676</v>
      </c>
      <c r="K46" s="151"/>
      <c r="L46" s="366">
        <f>Q46*635</f>
        <v>96961.739130434769</v>
      </c>
      <c r="M46" s="367">
        <f>+VLOOKUP(C46,Lista!B:D,3,0)</f>
        <v>0</v>
      </c>
      <c r="N46" s="164">
        <f>+(SUMIFS(G:G,M:M,"MICRO",E:E,"&gt;0")*100)/COUNTIF($E$7:$E$47,"&gt;0")</f>
        <v>9848.7804878048773</v>
      </c>
      <c r="O46" s="164">
        <f>Tabla2[[#This Row],[USUARIOS]]*150</f>
        <v>24450</v>
      </c>
      <c r="P46" s="50">
        <f>+(E46*1)-W46</f>
        <v>8</v>
      </c>
      <c r="Q46" s="47">
        <f>+I46-P46-X46</f>
        <v>152.69565217391303</v>
      </c>
      <c r="R46" s="49">
        <f>+G46-P46</f>
        <v>155</v>
      </c>
      <c r="S46" s="51">
        <f>+E46*$T$3</f>
        <v>152.69565217391303</v>
      </c>
      <c r="T46" s="46">
        <f t="shared" si="1"/>
        <v>83982.608695652161</v>
      </c>
      <c r="U46" t="str">
        <f>+IF(K46&lt;&gt;"",K46,"")</f>
        <v/>
      </c>
      <c r="V46">
        <f>+RANK(H46,$H$6:$H$1048576,1)</f>
        <v>23</v>
      </c>
      <c r="Z46" t="str">
        <f>TRIM(Tabla2[[#This Row],[CONDUCTOR]])</f>
        <v>TORRES JUAN DIEGO</v>
      </c>
    </row>
    <row r="47" spans="2:26" x14ac:dyDescent="0.2">
      <c r="B47" s="136" t="s">
        <v>122</v>
      </c>
      <c r="C47" s="166">
        <v>44</v>
      </c>
      <c r="D47" s="151" t="s">
        <v>175</v>
      </c>
      <c r="E47" s="150">
        <v>7</v>
      </c>
      <c r="F47" s="150">
        <v>0</v>
      </c>
      <c r="G47" s="146">
        <v>136</v>
      </c>
      <c r="H47" s="226">
        <f>+G47/E47</f>
        <v>19.428571428571427</v>
      </c>
      <c r="I47" s="364">
        <f>+(SUM($G$7:$G$1048576)/SUM($E$7:$E$1048576))*E47</f>
        <v>140.60869565217391</v>
      </c>
      <c r="J47" s="363">
        <f>+Tabla2[[#This Row],[PROM DE USUARIOS]]-Tabla2[[#This Row],[USUARIOS]]</f>
        <v>4.6086956521739069</v>
      </c>
      <c r="K47" s="151"/>
      <c r="L47" s="163">
        <f>Q47*635</f>
        <v>84841.521739130432</v>
      </c>
      <c r="M47" s="367">
        <f>+VLOOKUP(C47,Lista!B:D,3,0)</f>
        <v>0</v>
      </c>
      <c r="N47" s="164">
        <f t="shared" si="0"/>
        <v>9848.7804878048773</v>
      </c>
      <c r="O47" s="164">
        <f>Tabla2[[#This Row],[USUARIOS]]*150</f>
        <v>20400</v>
      </c>
      <c r="P47" s="50">
        <f>+(E47*1)-W47</f>
        <v>7</v>
      </c>
      <c r="Q47" s="47">
        <f>+I47-P47-X47</f>
        <v>133.60869565217391</v>
      </c>
      <c r="R47" s="49">
        <f>+G47-P47</f>
        <v>129</v>
      </c>
      <c r="S47" s="51">
        <f>+E47*$T$3</f>
        <v>133.60869565217391</v>
      </c>
      <c r="T47" s="46">
        <f t="shared" si="1"/>
        <v>73484.782608695648</v>
      </c>
      <c r="U47" t="str">
        <f>+IF(K47&lt;&gt;"",K47,"")</f>
        <v/>
      </c>
      <c r="V47">
        <f>+RANK(H47,$H$6:$H$1048576,1)</f>
        <v>18</v>
      </c>
      <c r="Z47" t="str">
        <f>TRIM(Tabla2[[#This Row],[CONDUCTOR]])</f>
        <v>MARIN ALZATE KEVIN ANDRES</v>
      </c>
    </row>
    <row r="48" spans="2:26" x14ac:dyDescent="0.2">
      <c r="B48" s="232"/>
      <c r="C48" s="239">
        <f>SUBTOTAL(102,Tabla2[VEH])</f>
        <v>41</v>
      </c>
      <c r="D48" s="233" t="s">
        <v>127</v>
      </c>
      <c r="E48" s="234">
        <f>SUBTOTAL(109,Tabla2[VIAJES])</f>
        <v>368</v>
      </c>
      <c r="F48" s="234">
        <f>SUBTOTAL(109,Tabla2[VIAJES PERD.])</f>
        <v>0.5</v>
      </c>
      <c r="G48" s="240">
        <f>SUBTOTAL(109,Tabla2[USUARIOS])</f>
        <v>7392</v>
      </c>
      <c r="H48" s="375">
        <f>+Tabla2[[#Totals],[USUARIOS]]/Tabla2[[#Totals],[VIAJES]]</f>
        <v>20.086956521739129</v>
      </c>
      <c r="I48" s="240">
        <f>SUBTOTAL(109,Tabla2[PROM DE USUARIOS])</f>
        <v>7391.9999999999973</v>
      </c>
      <c r="J48" s="374">
        <f>SUBTOTAL(109,Tabla2[RECIBE / ENTREGA])</f>
        <v>-6.3948846218409017E-13</v>
      </c>
      <c r="K48" s="235" t="s">
        <v>194</v>
      </c>
      <c r="L48" s="236"/>
      <c r="M48" s="237"/>
      <c r="N48" s="238">
        <f>SUBTOTAL(109,Tabla2[DIFER. MICRO - BUS ])</f>
        <v>403800.00000000035</v>
      </c>
      <c r="O48" s="238">
        <f>SUBTOTAL(109,Tabla2[FONDO (SIT) ])</f>
        <v>1108800</v>
      </c>
      <c r="P48" t="e">
        <f>+(#REF!*1)-W48</f>
        <v>#REF!</v>
      </c>
      <c r="Q48" s="134" t="e">
        <f>+#REF!-P48-X48</f>
        <v>#REF!</v>
      </c>
      <c r="R48" s="11" t="e">
        <f>+#REF!-P48</f>
        <v>#REF!</v>
      </c>
      <c r="S48" t="e">
        <f>+#REF!*$T$3</f>
        <v>#REF!</v>
      </c>
      <c r="T48" t="e">
        <f t="shared" ref="T48" si="2">+S48*550</f>
        <v>#REF!</v>
      </c>
      <c r="U48" t="e">
        <f>+IF(#REF!&lt;&gt;"",#REF!,"")</f>
        <v>#REF!</v>
      </c>
      <c r="V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49"/>
      <c r="H49" s="250"/>
      <c r="I49" s="251"/>
      <c r="J49" s="341"/>
      <c r="K49" s="247"/>
      <c r="L49" s="252"/>
      <c r="M49" s="253"/>
      <c r="N49" s="203"/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3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49"/>
      <c r="H50" s="250"/>
      <c r="I50" s="251"/>
      <c r="J50" s="341"/>
      <c r="K50" s="247"/>
      <c r="L50" s="252"/>
      <c r="M50" s="253"/>
      <c r="N50" s="203"/>
      <c r="O50">
        <f t="shared" ref="O50:O55" si="4">+(E111*1)-V50</f>
        <v>0</v>
      </c>
      <c r="P50" s="134">
        <f t="shared" ref="P50:P55" si="5">+I111-O50-W50</f>
        <v>0</v>
      </c>
      <c r="Q50" s="11">
        <f t="shared" ref="Q50:Q55" si="6">+G111-O50</f>
        <v>0</v>
      </c>
      <c r="R50">
        <f t="shared" ref="R50:R55" si="7">+E111*$T$3</f>
        <v>0</v>
      </c>
      <c r="S50">
        <f t="shared" ref="S50:S55" si="8">+R50*550</f>
        <v>0</v>
      </c>
      <c r="T50" t="str">
        <f t="shared" ref="T50:T55" si="9">+IF(K111&lt;&gt;"",K111,"")</f>
        <v/>
      </c>
      <c r="U50" t="e">
        <f t="shared" ref="U50:U55" si="10">+RANK(H111,$H$6:$H$1048576,1)</f>
        <v>#N/A</v>
      </c>
    </row>
    <row r="51" spans="2:21" x14ac:dyDescent="0.2">
      <c r="B51" s="245"/>
      <c r="C51" s="246"/>
      <c r="D51" s="247"/>
      <c r="E51" s="248"/>
      <c r="F51" s="248"/>
      <c r="G51" s="249"/>
      <c r="H51" s="250"/>
      <c r="I51" s="251"/>
      <c r="J51" s="341"/>
      <c r="K51" s="247"/>
      <c r="L51" s="252"/>
      <c r="M51" s="253"/>
      <c r="N51" s="203"/>
      <c r="O51">
        <f t="shared" si="4"/>
        <v>0</v>
      </c>
      <c r="P51" s="134">
        <f t="shared" si="5"/>
        <v>0</v>
      </c>
      <c r="Q51" s="11">
        <f t="shared" si="6"/>
        <v>0</v>
      </c>
      <c r="R51">
        <f t="shared" si="7"/>
        <v>0</v>
      </c>
      <c r="S51">
        <f t="shared" si="8"/>
        <v>0</v>
      </c>
      <c r="T51" t="str">
        <f t="shared" si="9"/>
        <v/>
      </c>
      <c r="U51" t="e">
        <f t="shared" si="10"/>
        <v>#N/A</v>
      </c>
    </row>
    <row r="52" spans="2:21" x14ac:dyDescent="0.2">
      <c r="B52" s="245"/>
      <c r="C52" s="246"/>
      <c r="D52" s="247"/>
      <c r="E52" s="248"/>
      <c r="F52" s="248"/>
      <c r="G52" s="254"/>
      <c r="H52" s="250"/>
      <c r="I52" s="251"/>
      <c r="J52" s="341"/>
      <c r="K52" s="247"/>
      <c r="L52" s="252"/>
      <c r="M52" s="253"/>
      <c r="N52" s="203"/>
      <c r="O52">
        <f t="shared" si="4"/>
        <v>0</v>
      </c>
      <c r="P52" s="134">
        <f t="shared" si="5"/>
        <v>0</v>
      </c>
      <c r="Q52" s="11">
        <f t="shared" si="6"/>
        <v>0</v>
      </c>
      <c r="R52">
        <f t="shared" si="7"/>
        <v>0</v>
      </c>
      <c r="S52">
        <f t="shared" si="8"/>
        <v>0</v>
      </c>
      <c r="T52" t="str">
        <f t="shared" si="9"/>
        <v/>
      </c>
      <c r="U52" t="e">
        <f t="shared" si="10"/>
        <v>#N/A</v>
      </c>
    </row>
    <row r="53" spans="2:21" x14ac:dyDescent="0.2">
      <c r="B53" s="245"/>
      <c r="C53" s="246"/>
      <c r="D53" s="247"/>
      <c r="E53" s="248"/>
      <c r="F53" s="248"/>
      <c r="G53" s="254"/>
      <c r="H53" s="250"/>
      <c r="I53" s="251"/>
      <c r="J53" s="341"/>
      <c r="K53" s="247"/>
      <c r="L53" s="252"/>
      <c r="M53" s="253"/>
      <c r="N53" s="203"/>
      <c r="O53">
        <f t="shared" si="4"/>
        <v>0</v>
      </c>
      <c r="P53" s="134">
        <f t="shared" si="5"/>
        <v>0</v>
      </c>
      <c r="Q53" s="11">
        <f t="shared" si="6"/>
        <v>0</v>
      </c>
      <c r="R53">
        <f t="shared" si="7"/>
        <v>0</v>
      </c>
      <c r="S53">
        <f t="shared" si="8"/>
        <v>0</v>
      </c>
      <c r="T53" t="str">
        <f t="shared" si="9"/>
        <v/>
      </c>
      <c r="U53" t="e">
        <f t="shared" si="10"/>
        <v>#N/A</v>
      </c>
    </row>
    <row r="54" spans="2:21" x14ac:dyDescent="0.2">
      <c r="B54" s="245"/>
      <c r="C54" s="255"/>
      <c r="D54" s="247"/>
      <c r="E54" s="248"/>
      <c r="F54" s="248"/>
      <c r="G54" s="199"/>
      <c r="H54" s="250"/>
      <c r="I54" s="251"/>
      <c r="J54" s="341"/>
      <c r="K54" s="247"/>
      <c r="L54" s="252"/>
      <c r="M54" s="253"/>
      <c r="N54" s="203"/>
      <c r="O54">
        <f t="shared" si="4"/>
        <v>0</v>
      </c>
      <c r="P54" s="134">
        <f t="shared" si="5"/>
        <v>0</v>
      </c>
      <c r="Q54" s="11">
        <f t="shared" si="6"/>
        <v>0</v>
      </c>
      <c r="R54">
        <f t="shared" si="7"/>
        <v>0</v>
      </c>
      <c r="S54">
        <f t="shared" si="8"/>
        <v>0</v>
      </c>
      <c r="T54" t="str">
        <f t="shared" si="9"/>
        <v/>
      </c>
      <c r="U54" t="e">
        <f t="shared" si="10"/>
        <v>#N/A</v>
      </c>
    </row>
    <row r="55" spans="2:21" x14ac:dyDescent="0.2">
      <c r="B55" s="245"/>
      <c r="C55" s="255"/>
      <c r="D55" s="247"/>
      <c r="E55" s="248"/>
      <c r="F55" s="248"/>
      <c r="G55" s="199"/>
      <c r="H55" s="250"/>
      <c r="I55" s="251"/>
      <c r="J55" s="341"/>
      <c r="K55" s="247"/>
      <c r="L55" s="252"/>
      <c r="M55" s="253"/>
      <c r="N55" s="203"/>
      <c r="O55">
        <f t="shared" si="4"/>
        <v>0</v>
      </c>
      <c r="P55" s="134">
        <f t="shared" si="5"/>
        <v>0</v>
      </c>
      <c r="Q55" s="11">
        <f t="shared" si="6"/>
        <v>0</v>
      </c>
      <c r="R55">
        <f t="shared" si="7"/>
        <v>0</v>
      </c>
      <c r="S55">
        <f t="shared" si="8"/>
        <v>0</v>
      </c>
      <c r="T55" t="str">
        <f t="shared" si="9"/>
        <v/>
      </c>
      <c r="U55" t="e">
        <f t="shared" si="10"/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55"/>
      <c r="D57" s="247"/>
      <c r="E57" s="248"/>
      <c r="F57" s="248"/>
      <c r="G57" s="199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11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11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11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11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+(E80*1)-V65</f>
        <v>0</v>
      </c>
      <c r="P65" s="134">
        <f>+I80-O65-W65</f>
        <v>0</v>
      </c>
      <c r="Q65" s="11">
        <f>+G80-O65</f>
        <v>0</v>
      </c>
      <c r="R65">
        <f>+E80*$T$3</f>
        <v>0</v>
      </c>
      <c r="S65">
        <f t="shared" si="11"/>
        <v>0</v>
      </c>
      <c r="T65" t="str">
        <f>+IF(K80&lt;&gt;"",K80,"")</f>
        <v/>
      </c>
      <c r="U65" t="e">
        <f>+RANK(H80,$H$6:$H$1048576,1)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+(E81*1)-V66</f>
        <v>0</v>
      </c>
      <c r="P66" s="134">
        <f>+I81-O66-W66</f>
        <v>0</v>
      </c>
      <c r="Q66" s="11">
        <f>+G81-O66</f>
        <v>0</v>
      </c>
      <c r="R66">
        <f>+E81*$T$3</f>
        <v>0</v>
      </c>
      <c r="S66">
        <f t="shared" si="11"/>
        <v>0</v>
      </c>
      <c r="T66" t="str">
        <f>+IF(K81&lt;&gt;"",K81,"")</f>
        <v/>
      </c>
      <c r="U66" t="e">
        <f>+RANK(H81,$H$6:$H$1048576,1)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+(E82*1)-V67</f>
        <v>0</v>
      </c>
      <c r="P67" s="134">
        <f>+I82-O67-W67</f>
        <v>0</v>
      </c>
      <c r="Q67" s="11">
        <f>+G82-O67</f>
        <v>0</v>
      </c>
      <c r="R67">
        <f>+E82*$T$3</f>
        <v>0</v>
      </c>
      <c r="S67">
        <f t="shared" si="11"/>
        <v>0</v>
      </c>
      <c r="T67" t="str">
        <f>+IF(K82&lt;&gt;"",K82,"")</f>
        <v/>
      </c>
      <c r="U67" t="e">
        <f>+RANK(H82,$H$6:$H$1048576,1)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+(E83*1)-V68</f>
        <v>0</v>
      </c>
      <c r="P68" s="134">
        <f>+I83-O68-W68</f>
        <v>0</v>
      </c>
      <c r="Q68" s="11">
        <f>+G83-O68</f>
        <v>0</v>
      </c>
      <c r="R68">
        <f>+E83*$T$3</f>
        <v>0</v>
      </c>
      <c r="S68">
        <f t="shared" si="11"/>
        <v>0</v>
      </c>
      <c r="T68" t="str">
        <f>+IF(K83&lt;&gt;"",K83,"")</f>
        <v/>
      </c>
      <c r="U68" t="e">
        <f>+RANK(H83,$H$6:$H$1048576,1)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+(E84*1)-V69</f>
        <v>0</v>
      </c>
      <c r="P69" s="134">
        <f>+I84-O69-W69</f>
        <v>0</v>
      </c>
      <c r="Q69" s="11">
        <f>+G84-O69</f>
        <v>0</v>
      </c>
      <c r="R69">
        <f>+E84*$T$3</f>
        <v>0</v>
      </c>
      <c r="S69">
        <f t="shared" si="11"/>
        <v>0</v>
      </c>
      <c r="T69" t="str">
        <f>+IF(K84&lt;&gt;"",K84,"")</f>
        <v/>
      </c>
      <c r="U69" t="e">
        <f>+RANK(H84,$H$6:$H$1048576,1)</f>
        <v>#N/A</v>
      </c>
    </row>
    <row r="70" spans="2:21" x14ac:dyDescent="0.2">
      <c r="B70" s="245"/>
      <c r="C70" s="246"/>
      <c r="D70" s="247"/>
      <c r="E70" s="248"/>
      <c r="F70" s="248"/>
      <c r="G70" s="254"/>
      <c r="H70" s="250"/>
      <c r="I70" s="251"/>
      <c r="J70" s="341"/>
      <c r="K70" s="247"/>
      <c r="L70" s="252"/>
      <c r="M70" s="253"/>
      <c r="N70" s="203"/>
    </row>
    <row r="71" spans="2:21" x14ac:dyDescent="0.2">
      <c r="B71" s="245"/>
      <c r="C71" s="246"/>
      <c r="D71" s="247"/>
      <c r="E71" s="248"/>
      <c r="F71" s="248"/>
      <c r="G71" s="254"/>
      <c r="H71" s="250"/>
      <c r="I71" s="251"/>
      <c r="J71" s="341"/>
      <c r="K71" s="247"/>
      <c r="L71" s="252"/>
      <c r="M71" s="253"/>
      <c r="N71" s="203"/>
    </row>
    <row r="72" spans="2:21" x14ac:dyDescent="0.2">
      <c r="B72" s="245"/>
      <c r="C72" s="246"/>
      <c r="D72" s="247"/>
      <c r="E72" s="248"/>
      <c r="F72" s="248"/>
      <c r="G72" s="254"/>
      <c r="H72" s="250"/>
      <c r="I72" s="251"/>
      <c r="J72" s="341"/>
      <c r="K72" s="247"/>
      <c r="L72" s="252"/>
      <c r="M72" s="253"/>
      <c r="N72" s="203"/>
    </row>
    <row r="73" spans="2:21" x14ac:dyDescent="0.2">
      <c r="B73" s="245"/>
      <c r="C73" s="255"/>
      <c r="D73" s="247"/>
      <c r="E73" s="248"/>
      <c r="F73" s="248"/>
      <c r="G73" s="256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6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03"/>
    </row>
    <row r="76" spans="2:21" x14ac:dyDescent="0.2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52"/>
      <c r="M76" s="253"/>
      <c r="N76" s="203"/>
    </row>
    <row r="77" spans="2:21" x14ac:dyDescent="0.2">
      <c r="B77" s="245"/>
      <c r="C77" s="246"/>
      <c r="D77" s="247"/>
      <c r="E77" s="248"/>
      <c r="F77" s="248"/>
      <c r="G77" s="254"/>
      <c r="H77" s="250"/>
      <c r="I77" s="221"/>
      <c r="J77" s="342"/>
      <c r="K77" s="247"/>
      <c r="L77" s="252"/>
      <c r="M77" s="253"/>
      <c r="N77" s="203"/>
    </row>
    <row r="78" spans="2:21" x14ac:dyDescent="0.2">
      <c r="B78" s="245"/>
      <c r="C78" s="255"/>
      <c r="D78" s="247"/>
      <c r="E78" s="248"/>
      <c r="F78" s="248"/>
      <c r="G78" s="199"/>
      <c r="H78" s="257"/>
      <c r="I78" s="222"/>
      <c r="J78" s="343"/>
      <c r="K78" s="247"/>
      <c r="L78" s="252"/>
      <c r="M78" s="253"/>
      <c r="N78" s="203"/>
    </row>
    <row r="79" spans="2:21" x14ac:dyDescent="0.2">
      <c r="B79" s="245"/>
      <c r="C79" s="246"/>
      <c r="D79" s="247"/>
      <c r="E79" s="248"/>
      <c r="F79" s="248"/>
      <c r="G79" s="254"/>
      <c r="H79" s="250"/>
      <c r="I79" s="221"/>
      <c r="J79" s="342"/>
      <c r="K79" s="247"/>
      <c r="L79" s="252"/>
      <c r="M79" s="253"/>
      <c r="N79" s="203"/>
    </row>
    <row r="80" spans="2:21" x14ac:dyDescent="0.2">
      <c r="B80" s="245"/>
      <c r="C80" s="255"/>
      <c r="D80" s="247"/>
      <c r="E80" s="248"/>
      <c r="F80" s="248"/>
      <c r="G80" s="199"/>
      <c r="H80" s="257"/>
      <c r="I80" s="222"/>
      <c r="J80" s="343"/>
      <c r="K80" s="247"/>
      <c r="L80" s="252"/>
      <c r="M80" s="253"/>
      <c r="N80" s="258"/>
    </row>
    <row r="81" spans="2:14" x14ac:dyDescent="0.2">
      <c r="B81" s="245"/>
      <c r="C81" s="255"/>
      <c r="D81" s="247"/>
      <c r="E81" s="248"/>
      <c r="F81" s="248"/>
      <c r="G81" s="254"/>
      <c r="H81" s="257"/>
      <c r="I81" s="222"/>
      <c r="J81" s="343"/>
      <c r="K81" s="247"/>
      <c r="L81" s="252"/>
      <c r="M81" s="253"/>
      <c r="N81" s="258"/>
    </row>
    <row r="82" spans="2:14" x14ac:dyDescent="0.2">
      <c r="B82" s="245"/>
      <c r="C82" s="246"/>
      <c r="D82" s="247"/>
      <c r="E82" s="248"/>
      <c r="F82" s="248"/>
      <c r="G82" s="254"/>
      <c r="H82" s="250"/>
      <c r="I82" s="221"/>
      <c r="J82" s="342"/>
      <c r="K82" s="247"/>
      <c r="L82" s="252"/>
      <c r="M82" s="253"/>
      <c r="N82" s="258"/>
    </row>
    <row r="83" spans="2:14" x14ac:dyDescent="0.2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46"/>
      <c r="D84" s="247"/>
      <c r="E84" s="248"/>
      <c r="F84" s="248"/>
      <c r="G84" s="254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55"/>
      <c r="D85" s="247"/>
      <c r="E85" s="248"/>
      <c r="F85" s="248"/>
      <c r="G85" s="199"/>
      <c r="H85" s="257"/>
      <c r="I85" s="222"/>
      <c r="J85" s="343"/>
      <c r="K85" s="247"/>
      <c r="L85" s="203"/>
      <c r="M85" s="253"/>
      <c r="N85" s="258"/>
    </row>
    <row r="86" spans="2:14" x14ac:dyDescent="0.2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6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6"/>
      <c r="H91" s="250"/>
      <c r="I91" s="221"/>
      <c r="J91" s="342"/>
      <c r="K91" s="247"/>
      <c r="L91" s="252"/>
      <c r="M91" s="253"/>
      <c r="N91" s="258"/>
    </row>
    <row r="92" spans="2:14" x14ac:dyDescent="0.2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52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03"/>
      <c r="M93" s="253"/>
      <c r="N93" s="258"/>
    </row>
    <row r="94" spans="2:14" x14ac:dyDescent="0.2">
      <c r="B94" s="245"/>
      <c r="C94" s="255"/>
      <c r="D94" s="247"/>
      <c r="E94" s="248"/>
      <c r="F94" s="248"/>
      <c r="G94" s="199"/>
      <c r="H94" s="257"/>
      <c r="I94" s="222"/>
      <c r="J94" s="343"/>
      <c r="K94" s="247"/>
      <c r="L94" s="203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52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52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03"/>
      <c r="M97" s="253"/>
      <c r="N97" s="258"/>
    </row>
    <row r="98" spans="2:14" x14ac:dyDescent="0.2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03"/>
      <c r="M98" s="253"/>
      <c r="N98" s="258"/>
    </row>
    <row r="99" spans="2:14" x14ac:dyDescent="0.2">
      <c r="B99" s="245"/>
      <c r="C99" s="255"/>
      <c r="D99" s="247"/>
      <c r="E99" s="248"/>
      <c r="F99" s="248"/>
      <c r="G99" s="254"/>
      <c r="H99" s="259"/>
      <c r="I99" s="260"/>
      <c r="J99" s="344"/>
      <c r="K99" s="247"/>
      <c r="L99" s="203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4"/>
      <c r="H100" s="250"/>
      <c r="I100" s="221"/>
      <c r="J100" s="342"/>
      <c r="K100" s="247"/>
      <c r="L100" s="203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4"/>
      <c r="H101" s="250"/>
      <c r="I101" s="221"/>
      <c r="J101" s="342"/>
      <c r="K101" s="247"/>
      <c r="L101" s="252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6"/>
      <c r="H102" s="250"/>
      <c r="I102" s="221"/>
      <c r="J102" s="342"/>
      <c r="K102" s="247"/>
      <c r="L102" s="252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4"/>
      <c r="H103" s="250"/>
      <c r="I103" s="221"/>
      <c r="J103" s="342"/>
      <c r="K103" s="247"/>
      <c r="L103" s="252"/>
      <c r="M103" s="253"/>
      <c r="N103" s="258"/>
    </row>
    <row r="104" spans="2:14" x14ac:dyDescent="0.2">
      <c r="B104" s="245"/>
      <c r="C104" s="255"/>
      <c r="D104" s="247"/>
      <c r="E104" s="248"/>
      <c r="F104" s="248"/>
      <c r="G104" s="199"/>
      <c r="H104" s="257"/>
      <c r="I104" s="222"/>
      <c r="J104" s="343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6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4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6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6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58"/>
    </row>
    <row r="116" spans="2:14" x14ac:dyDescent="0.2">
      <c r="B116" s="245"/>
      <c r="C116" s="246"/>
      <c r="D116" s="247"/>
      <c r="E116" s="248"/>
      <c r="F116" s="248"/>
      <c r="G116" s="254"/>
      <c r="H116" s="250"/>
      <c r="I116" s="221"/>
      <c r="J116" s="342"/>
      <c r="K116" s="247"/>
      <c r="L116" s="252"/>
      <c r="M116" s="253"/>
      <c r="N116" s="258"/>
    </row>
    <row r="117" spans="2:14" x14ac:dyDescent="0.2">
      <c r="B117" s="245"/>
      <c r="C117" s="246"/>
      <c r="D117" s="247"/>
      <c r="E117" s="248"/>
      <c r="F117" s="248"/>
      <c r="G117" s="254"/>
      <c r="H117" s="250"/>
      <c r="I117" s="221"/>
      <c r="J117" s="342"/>
      <c r="K117" s="247"/>
      <c r="L117" s="252"/>
      <c r="M117" s="253"/>
      <c r="N117" s="258"/>
    </row>
    <row r="118" spans="2:14" x14ac:dyDescent="0.2">
      <c r="B118" s="245"/>
      <c r="C118" s="255"/>
      <c r="D118" s="247"/>
      <c r="E118" s="248"/>
      <c r="F118" s="248"/>
      <c r="G118" s="199"/>
      <c r="H118" s="257"/>
      <c r="I118" s="222"/>
      <c r="J118" s="343"/>
      <c r="K118" s="247"/>
      <c r="L118" s="252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4"/>
      <c r="H119" s="250"/>
      <c r="I119" s="221"/>
      <c r="J119" s="342"/>
      <c r="K119" s="247"/>
      <c r="L119" s="203"/>
      <c r="M119" s="253"/>
      <c r="N119" s="258"/>
    </row>
    <row r="120" spans="2:14" x14ac:dyDescent="0.2">
      <c r="B120" s="245"/>
      <c r="C120" s="246"/>
      <c r="D120" s="247"/>
      <c r="E120" s="248"/>
      <c r="F120" s="248"/>
      <c r="G120" s="256"/>
      <c r="H120" s="250"/>
      <c r="I120" s="221"/>
      <c r="J120" s="342"/>
      <c r="K120" s="247"/>
      <c r="L120" s="252"/>
      <c r="M120" s="253"/>
      <c r="N120" s="258"/>
    </row>
    <row r="121" spans="2:14" x14ac:dyDescent="0.2">
      <c r="B121" s="245"/>
      <c r="C121" s="246"/>
      <c r="D121" s="247"/>
      <c r="E121" s="248"/>
      <c r="F121" s="248"/>
      <c r="G121" s="254"/>
      <c r="H121" s="250"/>
      <c r="I121" s="221"/>
      <c r="J121" s="342"/>
      <c r="K121" s="247"/>
      <c r="L121" s="203"/>
      <c r="M121" s="253"/>
      <c r="N121" s="258"/>
    </row>
    <row r="122" spans="2:14" x14ac:dyDescent="0.2">
      <c r="B122" s="245"/>
      <c r="C122" s="246"/>
      <c r="D122" s="247"/>
      <c r="E122" s="248"/>
      <c r="F122" s="248"/>
      <c r="G122" s="254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7"/>
      <c r="E123" s="248"/>
      <c r="F123" s="248"/>
      <c r="G123" s="254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5"/>
      <c r="E124" s="248"/>
      <c r="F124" s="248"/>
      <c r="G124" s="261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46"/>
      <c r="D128" s="247"/>
      <c r="E128" s="248"/>
      <c r="F128" s="248"/>
      <c r="G128" s="254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55"/>
      <c r="D129" s="247"/>
      <c r="E129" s="248"/>
      <c r="F129" s="248"/>
      <c r="G129" s="199"/>
      <c r="H129" s="257"/>
      <c r="I129" s="222"/>
      <c r="J129" s="343"/>
      <c r="K129" s="262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55"/>
      <c r="D131" s="247"/>
      <c r="E131" s="248"/>
      <c r="F131" s="248"/>
      <c r="G131" s="199"/>
      <c r="H131" s="25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0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5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46"/>
      <c r="D135" s="247"/>
      <c r="E135" s="248"/>
      <c r="F135" s="248"/>
      <c r="G135" s="254"/>
      <c r="H135" s="25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46"/>
      <c r="D136" s="247"/>
      <c r="E136" s="248"/>
      <c r="F136" s="248"/>
      <c r="G136" s="254"/>
      <c r="H136" s="200"/>
      <c r="I136" s="221"/>
      <c r="J136" s="342"/>
      <c r="K136" s="247"/>
      <c r="L136" s="252"/>
      <c r="M136" s="253"/>
      <c r="N136" s="203"/>
    </row>
    <row r="137" spans="2:14" x14ac:dyDescent="0.2">
      <c r="B137" s="245"/>
      <c r="C137" s="246"/>
      <c r="D137" s="247"/>
      <c r="E137" s="248"/>
      <c r="F137" s="248"/>
      <c r="G137" s="254"/>
      <c r="H137" s="250"/>
      <c r="I137" s="221"/>
      <c r="J137" s="342"/>
      <c r="K137" s="247"/>
      <c r="L137" s="252"/>
      <c r="M137" s="253"/>
      <c r="N137" s="203"/>
    </row>
    <row r="138" spans="2:14" x14ac:dyDescent="0.2">
      <c r="B138" s="245"/>
      <c r="C138" s="255"/>
      <c r="D138" s="247"/>
      <c r="E138" s="248"/>
      <c r="F138" s="248"/>
      <c r="G138" s="199"/>
      <c r="H138" s="200"/>
      <c r="I138" s="221"/>
      <c r="J138" s="342"/>
      <c r="K138" s="247"/>
      <c r="L138" s="203"/>
      <c r="M138" s="253"/>
      <c r="N138" s="258"/>
    </row>
    <row r="139" spans="2:14" x14ac:dyDescent="0.2">
      <c r="B139" s="245"/>
      <c r="C139" s="246"/>
      <c r="D139" s="247"/>
      <c r="E139" s="248"/>
      <c r="F139" s="248"/>
      <c r="G139" s="254"/>
      <c r="H139" s="200"/>
      <c r="I139" s="221"/>
      <c r="J139" s="342"/>
      <c r="K139" s="247"/>
      <c r="L139" s="252"/>
      <c r="M139" s="253"/>
      <c r="N139" s="258"/>
    </row>
    <row r="140" spans="2:14" x14ac:dyDescent="0.2">
      <c r="B140" s="245"/>
      <c r="C140" s="255"/>
      <c r="D140" s="247"/>
      <c r="E140" s="248"/>
      <c r="F140" s="248"/>
      <c r="G140" s="199"/>
      <c r="H140" s="200"/>
      <c r="I140" s="221"/>
      <c r="J140" s="342"/>
      <c r="K140" s="247"/>
      <c r="L140" s="203"/>
      <c r="M140" s="253"/>
      <c r="N140" s="258"/>
    </row>
    <row r="141" spans="2:14" x14ac:dyDescent="0.2">
      <c r="B141" s="245"/>
      <c r="C141" s="246"/>
      <c r="D141" s="247"/>
      <c r="E141" s="248"/>
      <c r="F141" s="248"/>
      <c r="G141" s="254"/>
      <c r="H141" s="20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55"/>
      <c r="D142" s="247"/>
      <c r="E142" s="248"/>
      <c r="F142" s="248"/>
      <c r="G142" s="199"/>
      <c r="H142" s="25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55"/>
      <c r="D143" s="247"/>
      <c r="E143" s="248"/>
      <c r="F143" s="248"/>
      <c r="G143" s="199"/>
      <c r="H143" s="20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55"/>
      <c r="D144" s="245"/>
      <c r="E144" s="248"/>
      <c r="F144" s="248"/>
      <c r="G144" s="201"/>
      <c r="H144" s="20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5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5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5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0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46"/>
      <c r="D150" s="247"/>
      <c r="E150" s="248"/>
      <c r="F150" s="248"/>
      <c r="G150" s="254"/>
      <c r="H150" s="25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46"/>
      <c r="D151" s="247"/>
      <c r="E151" s="248"/>
      <c r="F151" s="248"/>
      <c r="G151" s="254"/>
      <c r="H151" s="20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55"/>
      <c r="D152" s="247"/>
      <c r="E152" s="248"/>
      <c r="F152" s="248"/>
      <c r="G152" s="199"/>
      <c r="H152" s="25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46"/>
      <c r="D153" s="247"/>
      <c r="E153" s="248"/>
      <c r="F153" s="248"/>
      <c r="G153" s="254"/>
      <c r="H153" s="25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55"/>
      <c r="D154" s="247"/>
      <c r="E154" s="248"/>
      <c r="F154" s="248"/>
      <c r="G154" s="199"/>
      <c r="H154" s="20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46"/>
      <c r="D155" s="247"/>
      <c r="E155" s="248"/>
      <c r="F155" s="248"/>
      <c r="G155" s="254"/>
      <c r="H155" s="20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55"/>
      <c r="D156" s="247"/>
      <c r="E156" s="248"/>
      <c r="F156" s="248"/>
      <c r="G156" s="199"/>
      <c r="H156" s="25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46"/>
      <c r="D157" s="247"/>
      <c r="E157" s="248"/>
      <c r="F157" s="248"/>
      <c r="G157" s="254"/>
      <c r="H157" s="20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55"/>
      <c r="D158" s="247"/>
      <c r="E158" s="248"/>
      <c r="F158" s="248"/>
      <c r="G158" s="199"/>
      <c r="H158" s="250"/>
      <c r="I158" s="251"/>
      <c r="J158" s="341"/>
      <c r="K158" s="247"/>
      <c r="L158" s="252"/>
      <c r="M158" s="253"/>
      <c r="N158" s="203"/>
    </row>
    <row r="159" spans="2:14" x14ac:dyDescent="0.2">
      <c r="B159" s="245"/>
      <c r="C159" s="246"/>
      <c r="D159" s="247"/>
      <c r="E159" s="248"/>
      <c r="F159" s="248"/>
      <c r="G159" s="254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55"/>
      <c r="D160" s="247"/>
      <c r="E160" s="248"/>
      <c r="F160" s="248"/>
      <c r="G160" s="199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46"/>
      <c r="D161" s="247"/>
      <c r="E161" s="248"/>
      <c r="F161" s="248"/>
      <c r="G161" s="254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46"/>
      <c r="D162" s="247"/>
      <c r="E162" s="248"/>
      <c r="F162" s="248"/>
      <c r="G162" s="254"/>
      <c r="H162" s="25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55"/>
      <c r="D163" s="245"/>
      <c r="E163" s="248"/>
      <c r="F163" s="248"/>
      <c r="G163" s="201"/>
      <c r="H163" s="25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55"/>
      <c r="D164" s="247"/>
      <c r="E164" s="248"/>
      <c r="F164" s="248"/>
      <c r="G164" s="199"/>
      <c r="H164" s="25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50"/>
      <c r="I165" s="221"/>
      <c r="J165" s="342"/>
      <c r="K165" s="247"/>
      <c r="L165" s="252"/>
      <c r="M165" s="253"/>
      <c r="N165" s="258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46"/>
      <c r="D169" s="247"/>
      <c r="E169" s="248"/>
      <c r="F169" s="248"/>
      <c r="G169" s="254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55"/>
      <c r="D170" s="247"/>
      <c r="E170" s="248"/>
      <c r="F170" s="248"/>
      <c r="G170" s="199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55"/>
      <c r="D172" s="247"/>
      <c r="E172" s="248"/>
      <c r="F172" s="248"/>
      <c r="G172" s="199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55"/>
      <c r="D175" s="247"/>
      <c r="E175" s="248"/>
      <c r="F175" s="248"/>
      <c r="G175" s="199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46"/>
      <c r="D176" s="247"/>
      <c r="E176" s="248"/>
      <c r="F176" s="248"/>
      <c r="G176" s="254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55"/>
      <c r="D179" s="247"/>
      <c r="E179" s="248"/>
      <c r="F179" s="248"/>
      <c r="G179" s="199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55"/>
      <c r="D184" s="247"/>
      <c r="E184" s="248"/>
      <c r="F184" s="248"/>
      <c r="G184" s="199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46"/>
      <c r="D191" s="247"/>
      <c r="E191" s="248"/>
      <c r="F191" s="248"/>
      <c r="G191" s="254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55"/>
      <c r="D192" s="247"/>
      <c r="E192" s="248"/>
      <c r="F192" s="248"/>
      <c r="G192" s="199"/>
      <c r="H192" s="200"/>
      <c r="I192" s="221"/>
      <c r="J192" s="342"/>
      <c r="K192" s="247"/>
      <c r="L192" s="252"/>
      <c r="M192" s="253"/>
      <c r="N192" s="203"/>
    </row>
    <row r="193" spans="2:14" x14ac:dyDescent="0.2">
      <c r="B193" s="245"/>
      <c r="C193" s="246"/>
      <c r="D193" s="247"/>
      <c r="E193" s="248"/>
      <c r="F193" s="248"/>
      <c r="G193" s="254"/>
      <c r="H193" s="200"/>
      <c r="I193" s="221"/>
      <c r="J193" s="342"/>
      <c r="K193" s="247"/>
      <c r="L193" s="252"/>
      <c r="M193" s="253"/>
      <c r="N193" s="203"/>
    </row>
    <row r="194" spans="2:14" x14ac:dyDescent="0.2">
      <c r="B194" s="245"/>
      <c r="C194" s="255"/>
      <c r="D194" s="247"/>
      <c r="E194" s="248"/>
      <c r="F194" s="248"/>
      <c r="G194" s="199"/>
      <c r="H194" s="200"/>
      <c r="I194" s="221"/>
      <c r="J194" s="342"/>
      <c r="K194" s="247"/>
      <c r="L194" s="252"/>
      <c r="M194" s="253"/>
      <c r="N194" s="203"/>
    </row>
    <row r="195" spans="2:14" x14ac:dyDescent="0.2">
      <c r="B195" s="245"/>
      <c r="C195" s="246"/>
      <c r="D195" s="247"/>
      <c r="E195" s="248"/>
      <c r="F195" s="248"/>
      <c r="G195" s="254"/>
      <c r="H195" s="200"/>
      <c r="I195" s="221"/>
      <c r="J195" s="342"/>
      <c r="K195" s="247"/>
      <c r="L195" s="203"/>
      <c r="M195" s="253"/>
      <c r="N195" s="258"/>
    </row>
    <row r="196" spans="2:14" x14ac:dyDescent="0.2">
      <c r="B196" s="245"/>
      <c r="C196" s="246"/>
      <c r="D196" s="247"/>
      <c r="E196" s="248"/>
      <c r="F196" s="248"/>
      <c r="G196" s="254"/>
      <c r="H196" s="250"/>
      <c r="I196" s="221"/>
      <c r="J196" s="342"/>
      <c r="K196" s="247"/>
      <c r="L196" s="252"/>
      <c r="M196" s="253"/>
      <c r="N196" s="258"/>
    </row>
    <row r="197" spans="2:14" x14ac:dyDescent="0.2">
      <c r="B197" s="245"/>
      <c r="C197" s="246"/>
      <c r="D197" s="247"/>
      <c r="E197" s="248"/>
      <c r="F197" s="248"/>
      <c r="G197" s="254"/>
      <c r="H197" s="200"/>
      <c r="I197" s="221"/>
      <c r="J197" s="342"/>
      <c r="K197" s="247"/>
      <c r="L197" s="252"/>
      <c r="M197" s="253"/>
      <c r="N197" s="203"/>
    </row>
    <row r="198" spans="2:14" x14ac:dyDescent="0.2">
      <c r="B198" s="245"/>
      <c r="C198" s="255"/>
      <c r="D198" s="247"/>
      <c r="E198" s="248"/>
      <c r="F198" s="248"/>
      <c r="G198" s="199"/>
      <c r="H198" s="244"/>
      <c r="I198" s="222"/>
      <c r="J198" s="343"/>
      <c r="K198" s="247"/>
      <c r="L198" s="252"/>
      <c r="M198" s="253"/>
      <c r="N198" s="203"/>
    </row>
    <row r="199" spans="2:14" x14ac:dyDescent="0.2">
      <c r="B199" s="245"/>
      <c r="C199" s="246"/>
      <c r="D199" s="247"/>
      <c r="E199" s="248"/>
      <c r="F199" s="248"/>
      <c r="G199" s="254"/>
      <c r="H199" s="200"/>
      <c r="I199" s="221"/>
      <c r="J199" s="342"/>
      <c r="K199" s="247"/>
      <c r="L199" s="252"/>
      <c r="M199" s="253"/>
      <c r="N199" s="203"/>
    </row>
    <row r="200" spans="2:14" x14ac:dyDescent="0.2">
      <c r="B200" s="245"/>
      <c r="C200" s="255"/>
      <c r="D200" s="247"/>
      <c r="E200" s="248"/>
      <c r="F200" s="248"/>
      <c r="G200" s="199"/>
      <c r="H200" s="244"/>
      <c r="I200" s="222"/>
      <c r="J200" s="343"/>
      <c r="K200" s="247"/>
      <c r="L200" s="252"/>
      <c r="M200" s="253"/>
      <c r="N200" s="203"/>
    </row>
    <row r="201" spans="2:14" x14ac:dyDescent="0.2">
      <c r="B201" s="245"/>
      <c r="C201" s="246"/>
      <c r="D201" s="247"/>
      <c r="E201" s="248"/>
      <c r="F201" s="248"/>
      <c r="G201" s="254"/>
      <c r="H201" s="200"/>
      <c r="I201" s="221"/>
      <c r="J201" s="342"/>
      <c r="K201" s="247"/>
      <c r="L201" s="252"/>
      <c r="M201" s="253"/>
      <c r="N201" s="203"/>
    </row>
    <row r="202" spans="2:14" x14ac:dyDescent="0.2">
      <c r="B202" s="245"/>
      <c r="C202" s="255"/>
      <c r="D202" s="247"/>
      <c r="E202" s="248"/>
      <c r="F202" s="248"/>
      <c r="G202" s="199"/>
      <c r="H202" s="244"/>
      <c r="I202" s="222"/>
      <c r="J202" s="343"/>
      <c r="K202" s="247"/>
      <c r="L202" s="203"/>
      <c r="M202" s="253"/>
      <c r="N202" s="203"/>
    </row>
    <row r="203" spans="2:14" x14ac:dyDescent="0.2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03"/>
      <c r="M203" s="253"/>
      <c r="N203" s="203"/>
    </row>
    <row r="204" spans="2:14" x14ac:dyDescent="0.2">
      <c r="B204" s="245"/>
      <c r="C204" s="255"/>
      <c r="D204" s="247"/>
      <c r="E204" s="248"/>
      <c r="F204" s="248"/>
      <c r="G204" s="199"/>
      <c r="H204" s="244"/>
      <c r="I204" s="222"/>
      <c r="J204" s="343"/>
      <c r="K204" s="247"/>
      <c r="L204" s="203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03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52"/>
      <c r="M206" s="253"/>
      <c r="N206" s="203"/>
    </row>
    <row r="207" spans="2:14" x14ac:dyDescent="0.2">
      <c r="B207" s="245"/>
      <c r="C207" s="255"/>
      <c r="D207" s="247"/>
      <c r="E207" s="248"/>
      <c r="F207" s="248"/>
      <c r="G207" s="199"/>
      <c r="H207" s="244"/>
      <c r="I207" s="222"/>
      <c r="J207" s="343"/>
      <c r="K207" s="247"/>
      <c r="L207" s="252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03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52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52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03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52"/>
      <c r="M212" s="253"/>
      <c r="N212" s="203"/>
    </row>
    <row r="213" spans="2:14" x14ac:dyDescent="0.2">
      <c r="B213" s="245"/>
      <c r="C213" s="255"/>
      <c r="D213" s="247"/>
      <c r="E213" s="248"/>
      <c r="F213" s="248"/>
      <c r="G213" s="199"/>
      <c r="H213" s="244"/>
      <c r="I213" s="222"/>
      <c r="J213" s="343"/>
      <c r="K213" s="247"/>
      <c r="L213" s="203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52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03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03"/>
      <c r="M216" s="253"/>
      <c r="N216" s="203"/>
    </row>
    <row r="217" spans="2:14" x14ac:dyDescent="0.2">
      <c r="B217" s="245"/>
      <c r="C217" s="246"/>
      <c r="D217" s="247"/>
      <c r="E217" s="248"/>
      <c r="F217" s="248"/>
      <c r="G217" s="254"/>
      <c r="H217" s="200"/>
      <c r="I217" s="221"/>
      <c r="J217" s="342"/>
      <c r="K217" s="247"/>
      <c r="L217" s="252"/>
      <c r="M217" s="253"/>
      <c r="N217" s="203"/>
    </row>
    <row r="218" spans="2:14" x14ac:dyDescent="0.2">
      <c r="B218" s="245"/>
      <c r="C218" s="255"/>
      <c r="D218" s="247"/>
      <c r="E218" s="248"/>
      <c r="F218" s="248"/>
      <c r="G218" s="199"/>
      <c r="H218" s="244"/>
      <c r="I218" s="222"/>
      <c r="J218" s="343"/>
      <c r="K218" s="247"/>
      <c r="L218" s="252"/>
      <c r="M218" s="253"/>
      <c r="N218" s="203"/>
    </row>
    <row r="219" spans="2:14" x14ac:dyDescent="0.2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03"/>
      <c r="M219" s="253"/>
      <c r="N219" s="203"/>
    </row>
    <row r="220" spans="2:14" x14ac:dyDescent="0.2">
      <c r="B220" s="245"/>
      <c r="C220" s="246"/>
      <c r="D220" s="245"/>
      <c r="E220" s="248"/>
      <c r="F220" s="248"/>
      <c r="G220" s="261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52"/>
      <c r="M221" s="253"/>
      <c r="N221" s="203"/>
    </row>
    <row r="222" spans="2:14" x14ac:dyDescent="0.2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7"/>
      <c r="E223" s="248"/>
      <c r="F223" s="248"/>
      <c r="G223" s="254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5"/>
      <c r="E224" s="248"/>
      <c r="F224" s="248"/>
      <c r="G224" s="261"/>
      <c r="H224" s="200"/>
      <c r="I224" s="221"/>
      <c r="J224" s="342"/>
      <c r="K224" s="247"/>
      <c r="L224" s="203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46"/>
      <c r="D226" s="245"/>
      <c r="E226" s="248"/>
      <c r="F226" s="248"/>
      <c r="G226" s="261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46"/>
      <c r="D227" s="247"/>
      <c r="E227" s="248"/>
      <c r="F227" s="248"/>
      <c r="G227" s="254"/>
      <c r="H227" s="200"/>
      <c r="I227" s="221"/>
      <c r="J227" s="342"/>
      <c r="K227" s="247"/>
      <c r="L227" s="252"/>
      <c r="M227" s="253"/>
      <c r="N227" s="203"/>
    </row>
    <row r="228" spans="2:14" x14ac:dyDescent="0.2">
      <c r="B228" s="245"/>
      <c r="C228" s="246"/>
      <c r="D228" s="247"/>
      <c r="E228" s="248"/>
      <c r="F228" s="248"/>
      <c r="G228" s="254"/>
      <c r="H228" s="200"/>
      <c r="I228" s="221"/>
      <c r="J228" s="342"/>
      <c r="K228" s="247"/>
      <c r="L228" s="252"/>
      <c r="M228" s="253"/>
      <c r="N228" s="203"/>
    </row>
    <row r="229" spans="2:14" x14ac:dyDescent="0.2">
      <c r="B229" s="245"/>
      <c r="C229" s="255"/>
      <c r="D229" s="247"/>
      <c r="E229" s="248"/>
      <c r="F229" s="248"/>
      <c r="G229" s="261"/>
      <c r="H229" s="263"/>
      <c r="I229" s="260"/>
      <c r="J229" s="344"/>
      <c r="K229" s="247"/>
      <c r="L229" s="252"/>
      <c r="M229" s="253"/>
      <c r="N229" s="203"/>
    </row>
    <row r="230" spans="2:14" x14ac:dyDescent="0.2">
      <c r="B230" s="245"/>
      <c r="C230" s="246"/>
      <c r="D230" s="245"/>
      <c r="E230" s="248"/>
      <c r="F230" s="248"/>
      <c r="G230" s="261"/>
      <c r="H230" s="200"/>
      <c r="I230" s="221"/>
      <c r="J230" s="342"/>
      <c r="K230" s="245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46"/>
      <c r="D237" s="247"/>
      <c r="E237" s="248"/>
      <c r="F237" s="248"/>
      <c r="G237" s="254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46"/>
      <c r="D238" s="247"/>
      <c r="E238" s="248"/>
      <c r="F238" s="248"/>
      <c r="G238" s="254"/>
      <c r="H238" s="200"/>
      <c r="I238" s="221"/>
      <c r="J238" s="342"/>
      <c r="K238" s="247"/>
      <c r="L238" s="252"/>
      <c r="M238" s="253"/>
      <c r="N238" s="203"/>
    </row>
    <row r="239" spans="2:14" x14ac:dyDescent="0.2">
      <c r="B239" s="245"/>
      <c r="C239" s="255"/>
      <c r="D239" s="247"/>
      <c r="E239" s="248"/>
      <c r="F239" s="248"/>
      <c r="G239" s="199"/>
      <c r="H239" s="244"/>
      <c r="I239" s="222"/>
      <c r="J239" s="343"/>
      <c r="K239" s="247"/>
      <c r="L239" s="252"/>
      <c r="M239" s="253"/>
      <c r="N239" s="203"/>
    </row>
    <row r="240" spans="2:14" x14ac:dyDescent="0.2">
      <c r="B240" s="245"/>
      <c r="C240" s="255"/>
      <c r="D240" s="247"/>
      <c r="E240" s="248"/>
      <c r="F240" s="248"/>
      <c r="G240" s="199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03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46"/>
      <c r="D260" s="247"/>
      <c r="E260" s="248"/>
      <c r="F260" s="248"/>
      <c r="G260" s="254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46"/>
      <c r="D261" s="247"/>
      <c r="E261" s="248"/>
      <c r="F261" s="248"/>
      <c r="G261" s="254"/>
      <c r="H261" s="200"/>
      <c r="I261" s="221"/>
      <c r="J261" s="342"/>
      <c r="K261" s="247"/>
      <c r="L261" s="252"/>
      <c r="M261" s="253"/>
      <c r="N261" s="203"/>
    </row>
    <row r="262" spans="2:14" x14ac:dyDescent="0.2">
      <c r="B262" s="245"/>
      <c r="C262" s="246"/>
      <c r="D262" s="247"/>
      <c r="E262" s="248"/>
      <c r="F262" s="248"/>
      <c r="G262" s="254"/>
      <c r="H262" s="200"/>
      <c r="I262" s="221"/>
      <c r="J262" s="342"/>
      <c r="K262" s="247"/>
      <c r="L262" s="252"/>
      <c r="M262" s="253"/>
      <c r="N262" s="203"/>
    </row>
    <row r="263" spans="2:14" x14ac:dyDescent="0.2">
      <c r="B263" s="245"/>
      <c r="C263" s="255"/>
      <c r="D263" s="247"/>
      <c r="E263" s="248"/>
      <c r="F263" s="248"/>
      <c r="G263" s="261"/>
      <c r="H263" s="200"/>
      <c r="I263" s="221"/>
      <c r="J263" s="342"/>
      <c r="K263" s="245"/>
      <c r="L263" s="252"/>
      <c r="M263" s="253"/>
      <c r="N263" s="203"/>
    </row>
    <row r="264" spans="2:14" x14ac:dyDescent="0.2">
      <c r="B264" s="245"/>
      <c r="C264" s="246"/>
      <c r="D264" s="247"/>
      <c r="E264" s="248"/>
      <c r="F264" s="248"/>
      <c r="G264" s="254"/>
      <c r="H264" s="200"/>
      <c r="I264" s="221"/>
      <c r="J264" s="342"/>
      <c r="K264" s="262"/>
      <c r="L264" s="252"/>
      <c r="M264" s="253"/>
      <c r="N264" s="203"/>
    </row>
    <row r="265" spans="2:14" x14ac:dyDescent="0.2">
      <c r="B265" s="245"/>
      <c r="C265" s="255"/>
      <c r="D265" s="245"/>
      <c r="E265" s="248"/>
      <c r="F265" s="248"/>
      <c r="G265" s="201"/>
      <c r="H265" s="200"/>
      <c r="I265" s="221"/>
      <c r="J265" s="342"/>
      <c r="K265" s="262"/>
      <c r="L265" s="252"/>
      <c r="M265" s="253"/>
      <c r="N265" s="203"/>
    </row>
    <row r="266" spans="2:14" x14ac:dyDescent="0.2">
      <c r="B266" s="245"/>
      <c r="C266" s="246"/>
      <c r="D266" s="247"/>
      <c r="E266" s="248"/>
      <c r="F266" s="248"/>
      <c r="G266" s="254"/>
      <c r="H266" s="200"/>
      <c r="I266" s="221"/>
      <c r="J266" s="342"/>
      <c r="K266" s="245"/>
      <c r="L266" s="252"/>
      <c r="M266" s="253"/>
      <c r="N266" s="203"/>
    </row>
    <row r="267" spans="2:14" x14ac:dyDescent="0.2">
      <c r="B267" s="245"/>
      <c r="C267" s="246"/>
      <c r="D267" s="247"/>
      <c r="E267" s="248"/>
      <c r="F267" s="248"/>
      <c r="G267" s="254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7"/>
      <c r="E268" s="248"/>
      <c r="F268" s="248"/>
      <c r="G268" s="254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5"/>
      <c r="E269" s="248"/>
      <c r="F269" s="248"/>
      <c r="G269" s="261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55"/>
      <c r="D270" s="247"/>
      <c r="E270" s="248"/>
      <c r="F270" s="248"/>
      <c r="G270" s="199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46"/>
      <c r="D272" s="247"/>
      <c r="E272" s="248"/>
      <c r="F272" s="248"/>
      <c r="G272" s="254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46"/>
      <c r="D273" s="247"/>
      <c r="E273" s="248"/>
      <c r="F273" s="248"/>
      <c r="G273" s="254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46"/>
      <c r="D274" s="247"/>
      <c r="E274" s="248"/>
      <c r="F274" s="248"/>
      <c r="G274" s="254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55"/>
      <c r="D275" s="245"/>
      <c r="E275" s="248"/>
      <c r="F275" s="248"/>
      <c r="G275" s="201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55"/>
      <c r="D276" s="245"/>
      <c r="E276" s="248"/>
      <c r="F276" s="248"/>
      <c r="G276" s="261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46"/>
      <c r="D277" s="247"/>
      <c r="E277" s="248"/>
      <c r="F277" s="248"/>
      <c r="G277" s="254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46"/>
      <c r="D278" s="247"/>
      <c r="E278" s="248"/>
      <c r="F278" s="248"/>
      <c r="G278" s="254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46"/>
      <c r="D279" s="247"/>
      <c r="E279" s="248"/>
      <c r="F279" s="248"/>
      <c r="G279" s="254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55"/>
      <c r="D280" s="247"/>
      <c r="E280" s="248"/>
      <c r="F280" s="248"/>
      <c r="G280" s="199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46"/>
      <c r="D281" s="245"/>
      <c r="E281" s="248"/>
      <c r="F281" s="248"/>
      <c r="G281" s="261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46"/>
      <c r="D282" s="247"/>
      <c r="E282" s="248"/>
      <c r="F282" s="248"/>
      <c r="G282" s="254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55"/>
      <c r="D283" s="245"/>
      <c r="E283" s="248"/>
      <c r="F283" s="248"/>
      <c r="G283" s="201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55"/>
      <c r="D284" s="247"/>
      <c r="E284" s="248"/>
      <c r="F284" s="248"/>
      <c r="G284" s="199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46"/>
      <c r="D285" s="247"/>
      <c r="E285" s="248"/>
      <c r="F285" s="248"/>
      <c r="G285" s="254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46"/>
      <c r="D286" s="245"/>
      <c r="E286" s="248"/>
      <c r="F286" s="248"/>
      <c r="G286" s="261"/>
      <c r="H286" s="200"/>
      <c r="I286" s="221"/>
      <c r="J286" s="342"/>
      <c r="K286" s="247"/>
      <c r="L286" s="252"/>
      <c r="M286" s="253"/>
      <c r="N286" s="203"/>
    </row>
    <row r="287" spans="2:14" x14ac:dyDescent="0.2">
      <c r="B287" s="245"/>
      <c r="C287" s="255"/>
      <c r="D287" s="247"/>
      <c r="E287" s="248"/>
      <c r="F287" s="248"/>
      <c r="G287" s="199"/>
      <c r="H287" s="200"/>
      <c r="I287" s="221"/>
      <c r="J287" s="342"/>
      <c r="K287" s="247"/>
      <c r="L287" s="252"/>
      <c r="M287" s="253"/>
      <c r="N287" s="203"/>
    </row>
    <row r="288" spans="2:14" x14ac:dyDescent="0.2">
      <c r="B288" s="245"/>
      <c r="C288" s="246"/>
      <c r="D288" s="247"/>
      <c r="E288" s="248"/>
      <c r="F288" s="248"/>
      <c r="G288" s="254"/>
      <c r="H288" s="200"/>
      <c r="I288" s="221"/>
      <c r="J288" s="342"/>
      <c r="K288" s="247"/>
      <c r="L288" s="252"/>
      <c r="M288" s="253"/>
      <c r="N288" s="203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4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4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4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4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5"/>
      <c r="E304" s="248"/>
      <c r="F304" s="248"/>
      <c r="G304" s="261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6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6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4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4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4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6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6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7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7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7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55"/>
      <c r="D377" s="247"/>
      <c r="E377" s="248"/>
      <c r="F377" s="248"/>
      <c r="G377" s="199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46"/>
      <c r="D379" s="247"/>
      <c r="E379" s="248"/>
      <c r="F379" s="248"/>
      <c r="G379" s="254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46"/>
      <c r="D380" s="247"/>
      <c r="E380" s="248"/>
      <c r="F380" s="248"/>
      <c r="G380" s="254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55"/>
      <c r="D381" s="247"/>
      <c r="E381" s="248"/>
      <c r="F381" s="248"/>
      <c r="G381" s="199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55"/>
      <c r="D382" s="247"/>
      <c r="E382" s="248"/>
      <c r="F382" s="248"/>
      <c r="G382" s="199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55"/>
      <c r="D383" s="247"/>
      <c r="E383" s="248"/>
      <c r="F383" s="248"/>
      <c r="G383" s="199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55"/>
      <c r="D388" s="247"/>
      <c r="E388" s="248"/>
      <c r="F388" s="248"/>
      <c r="G388" s="199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46"/>
      <c r="D390" s="247"/>
      <c r="E390" s="248"/>
      <c r="F390" s="248"/>
      <c r="G390" s="254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46"/>
      <c r="D391" s="247"/>
      <c r="E391" s="248"/>
      <c r="F391" s="248"/>
      <c r="G391" s="254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46"/>
      <c r="D392" s="247"/>
      <c r="E392" s="248"/>
      <c r="F392" s="248"/>
      <c r="G392" s="254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55"/>
      <c r="D393" s="247"/>
      <c r="E393" s="248"/>
      <c r="F393" s="248"/>
      <c r="G393" s="199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55"/>
      <c r="D394" s="247"/>
      <c r="E394" s="248"/>
      <c r="F394" s="248"/>
      <c r="G394" s="199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55"/>
      <c r="D395" s="247"/>
      <c r="E395" s="248"/>
      <c r="F395" s="248"/>
      <c r="G395" s="199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7"/>
      <c r="E402" s="248"/>
      <c r="F402" s="248"/>
      <c r="G402" s="254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7"/>
      <c r="E403" s="248"/>
      <c r="F403" s="248"/>
      <c r="G403" s="254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5"/>
      <c r="E404" s="248"/>
      <c r="F404" s="248"/>
      <c r="G404" s="261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5"/>
      <c r="E405" s="248"/>
      <c r="F405" s="248"/>
      <c r="G405" s="261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7"/>
      <c r="E406" s="248"/>
      <c r="F406" s="248"/>
      <c r="G406" s="254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7"/>
      <c r="E407" s="248"/>
      <c r="F407" s="248"/>
      <c r="G407" s="254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46"/>
      <c r="D408" s="245"/>
      <c r="E408" s="248"/>
      <c r="F408" s="248"/>
      <c r="G408" s="261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46"/>
      <c r="D409" s="245"/>
      <c r="E409" s="248"/>
      <c r="F409" s="248"/>
      <c r="G409" s="261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55"/>
      <c r="D410" s="247"/>
      <c r="E410" s="248"/>
      <c r="F410" s="248"/>
      <c r="G410" s="199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55"/>
      <c r="D411" s="247"/>
      <c r="E411" s="248"/>
      <c r="F411" s="248"/>
      <c r="G411" s="199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55"/>
      <c r="D412" s="247"/>
      <c r="E412" s="248"/>
      <c r="F412" s="248"/>
      <c r="G412" s="199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46"/>
      <c r="D416" s="247"/>
      <c r="E416" s="248"/>
      <c r="F416" s="248"/>
      <c r="G416" s="254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55"/>
      <c r="D417" s="247"/>
      <c r="E417" s="248"/>
      <c r="F417" s="248"/>
      <c r="G417" s="199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55"/>
      <c r="D419" s="247"/>
      <c r="E419" s="248"/>
      <c r="F419" s="248"/>
      <c r="G419" s="199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5"/>
      <c r="E424" s="248"/>
      <c r="F424" s="248"/>
      <c r="G424" s="261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4"/>
      <c r="L430" s="252"/>
      <c r="M430" s="253"/>
      <c r="N430" s="265"/>
    </row>
    <row r="431" spans="2:14" x14ac:dyDescent="0.2">
      <c r="B431" s="245"/>
      <c r="C431" s="246"/>
      <c r="D431" s="245"/>
      <c r="E431" s="248"/>
      <c r="F431" s="248"/>
      <c r="G431" s="261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4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5"/>
      <c r="E439" s="248"/>
      <c r="F439" s="248"/>
      <c r="G439" s="261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55"/>
      <c r="D445" s="247"/>
      <c r="E445" s="248"/>
      <c r="F445" s="248"/>
      <c r="G445" s="199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55"/>
      <c r="D448" s="247"/>
      <c r="E448" s="248"/>
      <c r="F448" s="248"/>
      <c r="G448" s="199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48"/>
      <c r="F450" s="248"/>
      <c r="G450" s="254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48"/>
      <c r="F451" s="248"/>
      <c r="G451" s="254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46"/>
      <c r="D452" s="247"/>
      <c r="E452" s="268"/>
      <c r="F452" s="268"/>
      <c r="G452" s="269"/>
      <c r="H452" s="270"/>
      <c r="I452" s="271"/>
      <c r="J452" s="346"/>
      <c r="K452" s="266"/>
      <c r="L452" s="252"/>
      <c r="M452" s="253"/>
      <c r="N452" s="265"/>
    </row>
    <row r="453" spans="2:14" x14ac:dyDescent="0.2">
      <c r="B453" s="245"/>
      <c r="C453" s="255"/>
      <c r="D453" s="247"/>
      <c r="E453" s="248"/>
      <c r="F453" s="248"/>
      <c r="G453" s="261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7"/>
      <c r="E454" s="248"/>
      <c r="F454" s="248"/>
      <c r="G454" s="254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55"/>
      <c r="D455" s="247"/>
      <c r="E455" s="248"/>
      <c r="F455" s="248"/>
      <c r="G455" s="199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5"/>
      <c r="E456" s="248"/>
      <c r="F456" s="248"/>
      <c r="G456" s="261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4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55"/>
      <c r="D468" s="247"/>
      <c r="E468" s="248"/>
      <c r="F468" s="248"/>
      <c r="G468" s="199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6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6"/>
      <c r="L490" s="252"/>
      <c r="M490" s="253"/>
      <c r="N490" s="265"/>
    </row>
    <row r="491" spans="2:14" x14ac:dyDescent="0.2">
      <c r="B491" s="245"/>
      <c r="C491" s="246"/>
      <c r="D491" s="245"/>
      <c r="E491" s="248"/>
      <c r="F491" s="248"/>
      <c r="G491" s="261"/>
      <c r="H491" s="202"/>
      <c r="I491" s="223"/>
      <c r="J491" s="345"/>
      <c r="K491" s="264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4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6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6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4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4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4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55"/>
      <c r="D504" s="247"/>
      <c r="E504" s="248"/>
      <c r="F504" s="248"/>
      <c r="G504" s="199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4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7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5"/>
      <c r="E524" s="248"/>
      <c r="F524" s="272"/>
      <c r="G524" s="261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46"/>
      <c r="D527" s="247"/>
      <c r="E527" s="248"/>
      <c r="F527" s="248"/>
      <c r="G527" s="254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55"/>
      <c r="D528" s="247"/>
      <c r="E528" s="248"/>
      <c r="F528" s="248"/>
      <c r="G528" s="199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46"/>
      <c r="D529" s="247"/>
      <c r="E529" s="248"/>
      <c r="F529" s="248"/>
      <c r="G529" s="254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55"/>
      <c r="D530" s="247"/>
      <c r="E530" s="248"/>
      <c r="F530" s="248"/>
      <c r="G530" s="199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55"/>
      <c r="D531" s="247"/>
      <c r="E531" s="248"/>
      <c r="F531" s="248"/>
      <c r="G531" s="199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5"/>
      <c r="E541" s="248"/>
      <c r="F541" s="248"/>
      <c r="G541" s="261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55"/>
      <c r="D544" s="247"/>
      <c r="E544" s="248"/>
      <c r="F544" s="248"/>
      <c r="G544" s="199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5"/>
      <c r="E547" s="248"/>
      <c r="F547" s="248"/>
      <c r="G547" s="261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55"/>
      <c r="D550" s="247"/>
      <c r="E550" s="248"/>
      <c r="F550" s="248"/>
      <c r="G550" s="199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5"/>
      <c r="E559" s="248"/>
      <c r="F559" s="248"/>
      <c r="G559" s="261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55"/>
      <c r="D567" s="245"/>
      <c r="E567" s="248"/>
      <c r="F567" s="248"/>
      <c r="G567" s="201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46"/>
      <c r="D572" s="247"/>
      <c r="E572" s="248"/>
      <c r="F572" s="248"/>
      <c r="G572" s="254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55"/>
      <c r="D573" s="245"/>
      <c r="E573" s="248"/>
      <c r="F573" s="248"/>
      <c r="G573" s="201"/>
      <c r="H573" s="202"/>
      <c r="I573" s="223"/>
      <c r="J573" s="345"/>
      <c r="K573" s="264"/>
      <c r="L573" s="252"/>
      <c r="M573" s="253"/>
      <c r="N573" s="265"/>
    </row>
    <row r="574" spans="2:14" x14ac:dyDescent="0.2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55"/>
      <c r="D575" s="247"/>
      <c r="E575" s="248"/>
      <c r="F575" s="248"/>
      <c r="G575" s="199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46"/>
      <c r="D576" s="247"/>
      <c r="E576" s="248"/>
      <c r="F576" s="248"/>
      <c r="G576" s="254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46"/>
      <c r="D577" s="247"/>
      <c r="E577" s="248"/>
      <c r="F577" s="248"/>
      <c r="G577" s="254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55"/>
      <c r="D578" s="247"/>
      <c r="E578" s="248"/>
      <c r="F578" s="248"/>
      <c r="G578" s="199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55"/>
      <c r="D579" s="247"/>
      <c r="E579" s="248"/>
      <c r="F579" s="248"/>
      <c r="G579" s="199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55"/>
      <c r="D580" s="247"/>
      <c r="E580" s="248"/>
      <c r="F580" s="248"/>
      <c r="G580" s="199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55"/>
      <c r="D583" s="247"/>
      <c r="E583" s="248"/>
      <c r="F583" s="248"/>
      <c r="G583" s="199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55"/>
      <c r="D586" s="247"/>
      <c r="E586" s="248"/>
      <c r="F586" s="248"/>
      <c r="G586" s="199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7"/>
      <c r="E593" s="248"/>
      <c r="F593" s="248"/>
      <c r="G593" s="254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5"/>
      <c r="E595" s="248"/>
      <c r="F595" s="248"/>
      <c r="G595" s="261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55"/>
      <c r="D600" s="247"/>
      <c r="E600" s="248"/>
      <c r="F600" s="248"/>
      <c r="G600" s="199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55"/>
      <c r="D605" s="245"/>
      <c r="E605" s="248"/>
      <c r="F605" s="248"/>
      <c r="G605" s="201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46"/>
      <c r="D609" s="247"/>
      <c r="E609" s="248"/>
      <c r="F609" s="248"/>
      <c r="G609" s="254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46"/>
      <c r="D610" s="247"/>
      <c r="E610" s="248"/>
      <c r="F610" s="248"/>
      <c r="G610" s="254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55"/>
      <c r="D611" s="247"/>
      <c r="E611" s="248"/>
      <c r="F611" s="248"/>
      <c r="G611" s="199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55"/>
      <c r="D612" s="247"/>
      <c r="E612" s="248"/>
      <c r="F612" s="248"/>
      <c r="G612" s="199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55"/>
      <c r="D613" s="247"/>
      <c r="E613" s="248"/>
      <c r="F613" s="248"/>
      <c r="G613" s="199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7"/>
      <c r="E614" s="248"/>
      <c r="F614" s="248"/>
      <c r="G614" s="254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7"/>
      <c r="E615" s="248"/>
      <c r="F615" s="248"/>
      <c r="G615" s="254"/>
      <c r="H615" s="202"/>
      <c r="I615" s="223"/>
      <c r="J615" s="345"/>
      <c r="K615" s="264"/>
      <c r="L615" s="252"/>
      <c r="M615" s="253"/>
      <c r="N615" s="265"/>
    </row>
    <row r="616" spans="2:14" x14ac:dyDescent="0.2">
      <c r="B616" s="245"/>
      <c r="C616" s="255"/>
      <c r="D616" s="247"/>
      <c r="E616" s="248"/>
      <c r="F616" s="248"/>
      <c r="G616" s="199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5"/>
      <c r="E617" s="248"/>
      <c r="F617" s="248"/>
      <c r="G617" s="261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4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55"/>
      <c r="D624" s="245"/>
      <c r="E624" s="248"/>
      <c r="F624" s="248"/>
      <c r="G624" s="201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55"/>
      <c r="D635" s="247"/>
      <c r="E635" s="248"/>
      <c r="F635" s="248"/>
      <c r="G635" s="199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4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46"/>
      <c r="D640" s="247"/>
      <c r="E640" s="248"/>
      <c r="F640" s="248"/>
      <c r="G640" s="254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46"/>
      <c r="D641" s="247"/>
      <c r="E641" s="248"/>
      <c r="F641" s="248"/>
      <c r="G641" s="254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55"/>
      <c r="D642" s="247"/>
      <c r="E642" s="248"/>
      <c r="F642" s="248"/>
      <c r="G642" s="199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55"/>
      <c r="D643" s="247"/>
      <c r="E643" s="248"/>
      <c r="F643" s="248"/>
      <c r="G643" s="199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55"/>
      <c r="D658" s="247"/>
      <c r="E658" s="248"/>
      <c r="F658" s="248"/>
      <c r="G658" s="199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55"/>
      <c r="D674" s="247"/>
      <c r="E674" s="248"/>
      <c r="F674" s="248"/>
      <c r="G674" s="199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5"/>
      <c r="E678" s="248"/>
      <c r="F678" s="248"/>
      <c r="G678" s="261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55"/>
      <c r="D683" s="247"/>
      <c r="E683" s="248"/>
      <c r="F683" s="248"/>
      <c r="G683" s="199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6"/>
      <c r="L685" s="252"/>
      <c r="M685" s="253"/>
      <c r="N685" s="265"/>
    </row>
    <row r="686" spans="2:14" x14ac:dyDescent="0.2">
      <c r="B686" s="245"/>
      <c r="C686" s="246"/>
      <c r="D686" s="245"/>
      <c r="E686" s="248"/>
      <c r="F686" s="248"/>
      <c r="G686" s="261"/>
      <c r="H686" s="202"/>
      <c r="I686" s="223"/>
      <c r="J686" s="345"/>
      <c r="K686" s="266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4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4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4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55"/>
      <c r="D702" s="245"/>
      <c r="E702" s="248"/>
      <c r="F702" s="248"/>
      <c r="G702" s="201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46"/>
      <c r="D704" s="247"/>
      <c r="E704" s="248"/>
      <c r="F704" s="248"/>
      <c r="G704" s="254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46"/>
      <c r="D705" s="247"/>
      <c r="E705" s="248"/>
      <c r="F705" s="248"/>
      <c r="G705" s="254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55"/>
      <c r="D706" s="247"/>
      <c r="E706" s="248"/>
      <c r="F706" s="248"/>
      <c r="G706" s="199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55"/>
      <c r="D707" s="247"/>
      <c r="E707" s="248"/>
      <c r="F707" s="248"/>
      <c r="G707" s="199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55"/>
      <c r="D709" s="247"/>
      <c r="E709" s="248"/>
      <c r="F709" s="248"/>
      <c r="G709" s="199"/>
      <c r="H709" s="202"/>
      <c r="I709" s="223"/>
      <c r="J709" s="345"/>
      <c r="K709" s="264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4"/>
      <c r="L723" s="252"/>
      <c r="M723" s="253"/>
      <c r="N723" s="265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46"/>
      <c r="D726" s="247"/>
      <c r="E726" s="248"/>
      <c r="F726" s="248"/>
      <c r="G726" s="254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55"/>
      <c r="D727" s="247"/>
      <c r="E727" s="248"/>
      <c r="F727" s="248"/>
      <c r="G727" s="199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55"/>
      <c r="D729" s="247"/>
      <c r="E729" s="248"/>
      <c r="F729" s="248"/>
      <c r="G729" s="199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46"/>
      <c r="D738" s="247"/>
      <c r="E738" s="248"/>
      <c r="F738" s="248"/>
      <c r="G738" s="254"/>
      <c r="H738" s="202"/>
      <c r="I738" s="223"/>
      <c r="J738" s="345"/>
      <c r="K738" s="266"/>
      <c r="L738" s="252"/>
      <c r="M738" s="253"/>
      <c r="N738" s="265"/>
    </row>
    <row r="739" spans="2:14" x14ac:dyDescent="0.2">
      <c r="B739" s="245"/>
      <c r="C739" s="246"/>
      <c r="D739" s="247"/>
      <c r="E739" s="248"/>
      <c r="F739" s="248"/>
      <c r="G739" s="254"/>
      <c r="H739" s="202"/>
      <c r="I739" s="223"/>
      <c r="J739" s="345"/>
      <c r="K739" s="266"/>
      <c r="L739" s="252"/>
      <c r="M739" s="253"/>
      <c r="N739" s="265"/>
    </row>
    <row r="740" spans="2:14" x14ac:dyDescent="0.2">
      <c r="B740" s="245"/>
      <c r="C740" s="246"/>
      <c r="D740" s="247"/>
      <c r="E740" s="248"/>
      <c r="F740" s="248"/>
      <c r="G740" s="254"/>
      <c r="H740" s="202"/>
      <c r="I740" s="223"/>
      <c r="J740" s="345"/>
      <c r="K740" s="266"/>
      <c r="L740" s="252"/>
      <c r="M740" s="253"/>
      <c r="N740" s="265"/>
    </row>
    <row r="741" spans="2:14" x14ac:dyDescent="0.2">
      <c r="B741" s="245"/>
      <c r="C741" s="255"/>
      <c r="D741" s="247"/>
      <c r="E741" s="248"/>
      <c r="F741" s="248"/>
      <c r="G741" s="199"/>
      <c r="H741" s="202"/>
      <c r="I741" s="223"/>
      <c r="J741" s="345"/>
      <c r="K741" s="266"/>
      <c r="L741" s="252"/>
      <c r="M741" s="253"/>
      <c r="N741" s="273"/>
    </row>
    <row r="742" spans="2:14" x14ac:dyDescent="0.2">
      <c r="B742" s="245"/>
      <c r="C742" s="255"/>
      <c r="D742" s="245"/>
      <c r="E742" s="248"/>
      <c r="F742" s="248"/>
      <c r="G742" s="201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55"/>
      <c r="D746" s="247"/>
      <c r="E746" s="248"/>
      <c r="F746" s="248"/>
      <c r="G746" s="199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46"/>
      <c r="D754" s="247"/>
      <c r="E754" s="248"/>
      <c r="F754" s="248"/>
      <c r="G754" s="254"/>
      <c r="H754" s="202"/>
      <c r="I754" s="223"/>
      <c r="J754" s="345"/>
      <c r="K754" s="264"/>
      <c r="L754" s="252"/>
      <c r="M754" s="253"/>
      <c r="N754" s="203"/>
    </row>
    <row r="755" spans="2:14" x14ac:dyDescent="0.2">
      <c r="B755" s="245"/>
      <c r="C755" s="246"/>
      <c r="D755" s="247"/>
      <c r="E755" s="248"/>
      <c r="F755" s="248"/>
      <c r="G755" s="254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55"/>
      <c r="D756" s="247"/>
      <c r="E756" s="248"/>
      <c r="F756" s="248"/>
      <c r="G756" s="199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55"/>
      <c r="D757" s="247"/>
      <c r="E757" s="248"/>
      <c r="F757" s="248"/>
      <c r="G757" s="199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55"/>
      <c r="D758" s="247"/>
      <c r="E758" s="248"/>
      <c r="F758" s="248"/>
      <c r="G758" s="199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5"/>
      <c r="E761" s="248"/>
      <c r="F761" s="248"/>
      <c r="G761" s="261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7"/>
      <c r="E763" s="248"/>
      <c r="F763" s="248"/>
      <c r="G763" s="254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46"/>
      <c r="D764" s="247"/>
      <c r="E764" s="248"/>
      <c r="F764" s="248"/>
      <c r="G764" s="254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46"/>
      <c r="D765" s="247"/>
      <c r="E765" s="248"/>
      <c r="F765" s="248"/>
      <c r="G765" s="254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46"/>
      <c r="D766" s="245"/>
      <c r="E766" s="248"/>
      <c r="F766" s="248"/>
      <c r="G766" s="261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55"/>
      <c r="D767" s="245"/>
      <c r="E767" s="248"/>
      <c r="F767" s="248"/>
      <c r="G767" s="201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55"/>
      <c r="D779" s="247"/>
      <c r="E779" s="248"/>
      <c r="F779" s="248"/>
      <c r="G779" s="254"/>
      <c r="H779" s="202"/>
      <c r="I779" s="223"/>
      <c r="J779" s="345"/>
      <c r="K779" s="264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46"/>
      <c r="D781" s="247"/>
      <c r="E781" s="248"/>
      <c r="F781" s="248"/>
      <c r="G781" s="254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46"/>
      <c r="D782" s="247"/>
      <c r="E782" s="248"/>
      <c r="F782" s="248"/>
      <c r="G782" s="254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55"/>
      <c r="D783" s="245"/>
      <c r="E783" s="248"/>
      <c r="F783" s="248"/>
      <c r="G783" s="261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55"/>
      <c r="D784" s="245"/>
      <c r="E784" s="248"/>
      <c r="F784" s="248"/>
      <c r="G784" s="261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46"/>
      <c r="D785" s="247"/>
      <c r="E785" s="248"/>
      <c r="F785" s="248"/>
      <c r="G785" s="254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55"/>
      <c r="D786" s="247"/>
      <c r="E786" s="248"/>
      <c r="F786" s="248"/>
      <c r="G786" s="199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55"/>
      <c r="D787" s="247"/>
      <c r="E787" s="248"/>
      <c r="F787" s="248"/>
      <c r="G787" s="199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46"/>
      <c r="D790" s="247"/>
      <c r="E790" s="248"/>
      <c r="F790" s="248"/>
      <c r="G790" s="254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46"/>
      <c r="D791" s="247"/>
      <c r="E791" s="248"/>
      <c r="F791" s="248"/>
      <c r="G791" s="254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55"/>
      <c r="D792" s="247"/>
      <c r="E792" s="248"/>
      <c r="F792" s="248"/>
      <c r="G792" s="199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55"/>
      <c r="D793" s="247"/>
      <c r="E793" s="248"/>
      <c r="F793" s="248"/>
      <c r="G793" s="199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4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5"/>
      <c r="E803" s="248"/>
      <c r="F803" s="248"/>
      <c r="G803" s="261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46"/>
      <c r="D804" s="247"/>
      <c r="E804" s="248"/>
      <c r="F804" s="248"/>
      <c r="G804" s="254"/>
      <c r="H804" s="202"/>
      <c r="I804" s="223"/>
      <c r="J804" s="345"/>
      <c r="K804" s="264"/>
      <c r="L804" s="252"/>
      <c r="M804" s="253"/>
      <c r="N804" s="203"/>
    </row>
    <row r="805" spans="2:14" x14ac:dyDescent="0.2">
      <c r="B805" s="245"/>
      <c r="C805" s="246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5"/>
      <c r="E806" s="248"/>
      <c r="F806" s="248"/>
      <c r="G806" s="261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55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5"/>
      <c r="E809" s="248"/>
      <c r="F809" s="248"/>
      <c r="G809" s="261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55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55"/>
      <c r="D827" s="247"/>
      <c r="E827" s="248"/>
      <c r="F827" s="248"/>
      <c r="G827" s="199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5"/>
      <c r="E838" s="248"/>
      <c r="F838" s="248"/>
      <c r="G838" s="261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4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5"/>
      <c r="E847" s="248"/>
      <c r="F847" s="248"/>
      <c r="G847" s="261"/>
      <c r="H847" s="202"/>
      <c r="I847" s="223"/>
      <c r="J847" s="345"/>
      <c r="K847" s="264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6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6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7"/>
      <c r="L855" s="252"/>
      <c r="M855" s="253"/>
      <c r="N855" s="203"/>
    </row>
    <row r="856" spans="2:14" x14ac:dyDescent="0.2">
      <c r="B856" s="245"/>
      <c r="C856" s="246"/>
      <c r="D856" s="247"/>
      <c r="E856" s="248"/>
      <c r="F856" s="248"/>
      <c r="G856" s="254"/>
      <c r="H856" s="202"/>
      <c r="I856" s="223"/>
      <c r="J856" s="345"/>
      <c r="K856" s="267"/>
      <c r="L856" s="252"/>
      <c r="M856" s="253"/>
      <c r="N856" s="203"/>
    </row>
    <row r="857" spans="2:14" x14ac:dyDescent="0.2">
      <c r="B857" s="245"/>
      <c r="C857" s="255"/>
      <c r="D857" s="247"/>
      <c r="E857" s="248"/>
      <c r="F857" s="248"/>
      <c r="G857" s="254"/>
      <c r="H857" s="202"/>
      <c r="I857" s="223"/>
      <c r="J857" s="345"/>
      <c r="K857" s="267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55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46"/>
      <c r="D867" s="247"/>
      <c r="E867" s="248"/>
      <c r="F867" s="248"/>
      <c r="G867" s="254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46"/>
      <c r="D868" s="247"/>
      <c r="E868" s="248"/>
      <c r="F868" s="248"/>
      <c r="G868" s="254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55"/>
      <c r="D869" s="247"/>
      <c r="E869" s="248"/>
      <c r="F869" s="248"/>
      <c r="G869" s="199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55"/>
      <c r="D870" s="247"/>
      <c r="E870" s="248"/>
      <c r="F870" s="248"/>
      <c r="G870" s="199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46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55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46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46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55"/>
      <c r="D879" s="247"/>
      <c r="E879" s="248"/>
      <c r="F879" s="248"/>
      <c r="G879" s="199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55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74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46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46"/>
      <c r="D893" s="245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46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55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55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46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46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55"/>
      <c r="D899" s="247"/>
      <c r="E899" s="248"/>
      <c r="F899" s="248"/>
      <c r="G899" s="199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46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46"/>
      <c r="D902" s="247"/>
      <c r="E902" s="248"/>
      <c r="F902" s="248"/>
      <c r="G902" s="254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254"/>
      <c r="H903" s="202"/>
      <c r="I903" s="223"/>
      <c r="J903" s="345"/>
      <c r="K903" s="267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254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55"/>
      <c r="D905" s="247"/>
      <c r="E905" s="248"/>
      <c r="F905" s="248"/>
      <c r="G905" s="199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55"/>
      <c r="D906" s="247"/>
      <c r="E906" s="248"/>
      <c r="F906" s="248"/>
      <c r="G906" s="199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55"/>
      <c r="D907" s="247"/>
      <c r="E907" s="248"/>
      <c r="F907" s="248"/>
      <c r="G907" s="199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46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46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55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55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46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199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46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55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55"/>
      <c r="D920" s="247"/>
      <c r="E920" s="248"/>
      <c r="F920" s="248"/>
      <c r="G920" s="199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55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46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55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55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46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46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46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46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46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55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55"/>
      <c r="D938" s="247"/>
      <c r="E938" s="248"/>
      <c r="F938" s="248"/>
      <c r="G938" s="199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46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46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46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46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199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254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254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199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199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199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199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254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254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199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199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254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199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199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199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254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199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54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199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199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199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7"/>
      <c r="E1013" s="248"/>
      <c r="F1013" s="248"/>
      <c r="G1013" s="254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7"/>
      <c r="E1014" s="248"/>
      <c r="F1014" s="248"/>
      <c r="G1014" s="254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5"/>
      <c r="E1015" s="248"/>
      <c r="F1015" s="248"/>
      <c r="G1015" s="261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5"/>
      <c r="E1016" s="248"/>
      <c r="F1016" s="248"/>
      <c r="G1016" s="261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01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4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01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01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5"/>
      <c r="E1049" s="248"/>
      <c r="F1049" s="248"/>
      <c r="G1049" s="261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5"/>
      <c r="E1062" s="248"/>
      <c r="F1062" s="248"/>
      <c r="G1062" s="261"/>
      <c r="H1062" s="202"/>
      <c r="I1062" s="223"/>
      <c r="J1062" s="345"/>
      <c r="K1062" s="264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254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254"/>
      <c r="H1088" s="202"/>
      <c r="I1088" s="223"/>
      <c r="J1088" s="345"/>
      <c r="K1088" s="266"/>
      <c r="L1088" s="203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199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5"/>
      <c r="E1090" s="275"/>
      <c r="F1090" s="275"/>
      <c r="G1090" s="205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199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5"/>
      <c r="E1098" s="248"/>
      <c r="F1098" s="248"/>
      <c r="G1098" s="205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199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199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199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254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199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254"/>
      <c r="H1119" s="202"/>
      <c r="I1119" s="223"/>
      <c r="J1119" s="345"/>
      <c r="K1119" s="266"/>
      <c r="L1119" s="203"/>
      <c r="M1119" s="253"/>
      <c r="N1119" s="203"/>
    </row>
    <row r="1120" spans="2:14" x14ac:dyDescent="0.2">
      <c r="B1120" s="245"/>
      <c r="C1120" s="255"/>
      <c r="D1120" s="245"/>
      <c r="E1120" s="248"/>
      <c r="F1120" s="248"/>
      <c r="G1120" s="205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199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199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5"/>
      <c r="E1129" s="248"/>
      <c r="F1129" s="248"/>
      <c r="G1129" s="206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55"/>
      <c r="D1139" s="247"/>
      <c r="E1139" s="248"/>
      <c r="F1139" s="248"/>
      <c r="G1139" s="254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76"/>
      <c r="D1140" s="276"/>
      <c r="E1140" s="248"/>
      <c r="F1140" s="277"/>
      <c r="G1140" s="254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5"/>
      <c r="E1142" s="248"/>
      <c r="F1142" s="248"/>
      <c r="G1142" s="201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6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6"/>
      <c r="L1145" s="252"/>
      <c r="M1145" s="253"/>
      <c r="N1145" s="203"/>
    </row>
    <row r="1146" spans="2:14" x14ac:dyDescent="0.2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64"/>
      <c r="L1146" s="252"/>
      <c r="M1146" s="253"/>
      <c r="N1146" s="203"/>
    </row>
    <row r="1147" spans="2:14" x14ac:dyDescent="0.2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66"/>
      <c r="L1147" s="252"/>
      <c r="M1147" s="253"/>
      <c r="N1147" s="203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74"/>
      <c r="L1148" s="252"/>
      <c r="M1148" s="253"/>
      <c r="N1148" s="203"/>
    </row>
    <row r="1149" spans="2:14" x14ac:dyDescent="0.2">
      <c r="B1149" s="245"/>
      <c r="C1149" s="255"/>
      <c r="D1149" s="245"/>
      <c r="E1149" s="248"/>
      <c r="F1149" s="248"/>
      <c r="G1149" s="261"/>
      <c r="H1149" s="202"/>
      <c r="I1149" s="223"/>
      <c r="J1149" s="345"/>
      <c r="K1149" s="266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74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199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3"/>
    </row>
    <row r="1155" spans="2:14" x14ac:dyDescent="0.2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3"/>
    </row>
    <row r="1156" spans="2:14" x14ac:dyDescent="0.2">
      <c r="B1156" s="245"/>
      <c r="C1156" s="255"/>
      <c r="D1156" s="247"/>
      <c r="E1156" s="248"/>
      <c r="F1156" s="248"/>
      <c r="G1156" s="261"/>
      <c r="H1156" s="202"/>
      <c r="I1156" s="223"/>
      <c r="J1156" s="345"/>
      <c r="K1156" s="266"/>
      <c r="L1156" s="252"/>
      <c r="M1156" s="253"/>
      <c r="N1156" s="203"/>
    </row>
    <row r="1157" spans="2:14" x14ac:dyDescent="0.2">
      <c r="B1157" s="245"/>
      <c r="C1157" s="255"/>
      <c r="D1157" s="247"/>
      <c r="E1157" s="248"/>
      <c r="F1157" s="248"/>
      <c r="G1157" s="254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199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254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254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5"/>
      <c r="E1164" s="275"/>
      <c r="F1164" s="275"/>
      <c r="G1164" s="205"/>
      <c r="H1164" s="202"/>
      <c r="I1164" s="223"/>
      <c r="J1164" s="345"/>
      <c r="K1164" s="274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254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199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199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74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199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254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254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199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199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254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199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254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199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199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254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254"/>
      <c r="H1189" s="202"/>
      <c r="I1189" s="223"/>
      <c r="J1189" s="345"/>
      <c r="K1189" s="266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254"/>
      <c r="H1190" s="202"/>
      <c r="I1190" s="223"/>
      <c r="J1190" s="345"/>
      <c r="K1190" s="266"/>
      <c r="L1190" s="252"/>
      <c r="M1190" s="253"/>
      <c r="N1190" s="204"/>
    </row>
    <row r="1191" spans="2:14" x14ac:dyDescent="0.2">
      <c r="B1191" s="245"/>
      <c r="C1191" s="255"/>
      <c r="D1191" s="245"/>
      <c r="E1191" s="248"/>
      <c r="F1191" s="248"/>
      <c r="G1191" s="261"/>
      <c r="H1191" s="202"/>
      <c r="I1191" s="223"/>
      <c r="J1191" s="345"/>
      <c r="K1191" s="266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199"/>
      <c r="H1192" s="202"/>
      <c r="I1192" s="223"/>
      <c r="J1192" s="345"/>
      <c r="K1192" s="274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66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66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254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254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199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199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254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254"/>
      <c r="H1200" s="202"/>
      <c r="I1200" s="223"/>
      <c r="J1200" s="345"/>
      <c r="K1200" s="278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254"/>
      <c r="H1201" s="202"/>
      <c r="I1201" s="223"/>
      <c r="J1201" s="345"/>
      <c r="K1201" s="278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199"/>
      <c r="H1202" s="202"/>
      <c r="I1202" s="223"/>
      <c r="J1202" s="345"/>
      <c r="K1202" s="278"/>
      <c r="L1202" s="252"/>
      <c r="M1202" s="253"/>
      <c r="N1202" s="204"/>
    </row>
    <row r="1203" spans="2:14" x14ac:dyDescent="0.2">
      <c r="B1203" s="245"/>
      <c r="C1203" s="255"/>
      <c r="D1203" s="245"/>
      <c r="E1203" s="275"/>
      <c r="F1203" s="275"/>
      <c r="G1203" s="205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254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254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199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199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54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5"/>
      <c r="E1211" s="248"/>
      <c r="F1211" s="248"/>
      <c r="G1211" s="205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01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7"/>
      <c r="E1216" s="248"/>
      <c r="F1216" s="248"/>
      <c r="G1216" s="254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5"/>
      <c r="E1217" s="248"/>
      <c r="F1217" s="248"/>
      <c r="G1217" s="206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254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5"/>
      <c r="E1219" s="275"/>
      <c r="F1219" s="275"/>
      <c r="G1219" s="205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254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199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199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254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254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254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199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199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52"/>
      <c r="M1230" s="253"/>
      <c r="N1230" s="204"/>
    </row>
    <row r="1231" spans="2:14" x14ac:dyDescent="0.2">
      <c r="B1231" s="245"/>
      <c r="C1231" s="255"/>
      <c r="D1231" s="247"/>
      <c r="E1231" s="248"/>
      <c r="F1231" s="248"/>
      <c r="G1231" s="254"/>
      <c r="H1231" s="202"/>
      <c r="I1231" s="223"/>
      <c r="J1231" s="345"/>
      <c r="K1231" s="279"/>
      <c r="L1231" s="252"/>
      <c r="M1231" s="253"/>
      <c r="N1231" s="204"/>
    </row>
    <row r="1232" spans="2:14" x14ac:dyDescent="0.2">
      <c r="B1232" s="245"/>
      <c r="C1232" s="255"/>
      <c r="D1232" s="247"/>
      <c r="E1232" s="248"/>
      <c r="F1232" s="248"/>
      <c r="G1232" s="254"/>
      <c r="H1232" s="202"/>
      <c r="I1232" s="223"/>
      <c r="J1232" s="345"/>
      <c r="K1232" s="279"/>
      <c r="L1232" s="252"/>
      <c r="M1232" s="253"/>
      <c r="N1232" s="204"/>
    </row>
    <row r="1233" spans="2:14" x14ac:dyDescent="0.2">
      <c r="B1233" s="245"/>
      <c r="C1233" s="255"/>
      <c r="D1233" s="247"/>
      <c r="E1233" s="248"/>
      <c r="F1233" s="248"/>
      <c r="G1233" s="254"/>
      <c r="H1233" s="202"/>
      <c r="I1233" s="223"/>
      <c r="J1233" s="345"/>
      <c r="K1233" s="279"/>
      <c r="L1233" s="203"/>
      <c r="M1233" s="253"/>
      <c r="N1233" s="204"/>
    </row>
    <row r="1234" spans="2:14" x14ac:dyDescent="0.2">
      <c r="B1234" s="245"/>
      <c r="C1234" s="280"/>
      <c r="D1234" s="281"/>
      <c r="E1234" s="275"/>
      <c r="F1234" s="275"/>
      <c r="G1234" s="254"/>
      <c r="H1234" s="202"/>
      <c r="I1234" s="223"/>
      <c r="J1234" s="345"/>
      <c r="K1234" s="279"/>
      <c r="L1234" s="252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254"/>
      <c r="H1235" s="202"/>
      <c r="I1235" s="223"/>
      <c r="J1235" s="345"/>
      <c r="K1235" s="279"/>
      <c r="L1235" s="252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199"/>
      <c r="H1236" s="202"/>
      <c r="I1236" s="223"/>
      <c r="J1236" s="345"/>
      <c r="K1236" s="279"/>
      <c r="L1236" s="203"/>
      <c r="M1236" s="253"/>
      <c r="N1236" s="204"/>
    </row>
    <row r="1237" spans="2:14" x14ac:dyDescent="0.2">
      <c r="B1237" s="245"/>
      <c r="C1237" s="255"/>
      <c r="D1237" s="247"/>
      <c r="E1237" s="248"/>
      <c r="F1237" s="248"/>
      <c r="G1237" s="254"/>
      <c r="H1237" s="202"/>
      <c r="I1237" s="223"/>
      <c r="J1237" s="345"/>
      <c r="K1237" s="279"/>
      <c r="L1237" s="252"/>
      <c r="M1237" s="253"/>
      <c r="N1237" s="204"/>
    </row>
    <row r="1238" spans="2:14" x14ac:dyDescent="0.2">
      <c r="B1238" s="245"/>
      <c r="C1238" s="255"/>
      <c r="D1238" s="247"/>
      <c r="E1238" s="248"/>
      <c r="F1238" s="248"/>
      <c r="G1238" s="199"/>
      <c r="H1238" s="202"/>
      <c r="I1238" s="223"/>
      <c r="J1238" s="345"/>
      <c r="K1238" s="279"/>
      <c r="L1238" s="252"/>
      <c r="M1238" s="253"/>
      <c r="N1238" s="204"/>
    </row>
    <row r="1239" spans="2:14" x14ac:dyDescent="0.2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55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55"/>
      <c r="D1241" s="247"/>
      <c r="E1241" s="248"/>
      <c r="F1241" s="248"/>
      <c r="G1241" s="254"/>
      <c r="H1241" s="207"/>
      <c r="I1241" s="221"/>
      <c r="J1241" s="342"/>
      <c r="K1241" s="279"/>
      <c r="L1241" s="252"/>
      <c r="M1241" s="253"/>
      <c r="N1241" s="208"/>
    </row>
    <row r="1242" spans="2:14" x14ac:dyDescent="0.2">
      <c r="B1242" s="245"/>
      <c r="C1242" s="246"/>
      <c r="D1242" s="247"/>
      <c r="E1242" s="248"/>
      <c r="F1242" s="248"/>
      <c r="G1242" s="254"/>
      <c r="H1242" s="207"/>
      <c r="I1242" s="221"/>
      <c r="J1242" s="342"/>
      <c r="K1242" s="279"/>
      <c r="L1242" s="252"/>
      <c r="M1242" s="253"/>
      <c r="N1242" s="208"/>
    </row>
    <row r="1243" spans="2:14" x14ac:dyDescent="0.2">
      <c r="B1243" s="245"/>
      <c r="C1243" s="255"/>
      <c r="D1243" s="247"/>
      <c r="E1243" s="248"/>
      <c r="F1243" s="248"/>
      <c r="G1243" s="254"/>
      <c r="H1243" s="207"/>
      <c r="I1243" s="221"/>
      <c r="J1243" s="342"/>
      <c r="K1243" s="279"/>
      <c r="L1243" s="252"/>
      <c r="M1243" s="253"/>
      <c r="N1243" s="208"/>
    </row>
    <row r="1244" spans="2:14" x14ac:dyDescent="0.2">
      <c r="B1244" s="245"/>
      <c r="C1244" s="276"/>
      <c r="D1244" s="276"/>
      <c r="E1244" s="277"/>
      <c r="F1244" s="277"/>
      <c r="G1244" s="209"/>
      <c r="H1244" s="207"/>
      <c r="I1244" s="221"/>
      <c r="J1244" s="342"/>
      <c r="K1244" s="282"/>
      <c r="L1244" s="252"/>
      <c r="M1244" s="253"/>
      <c r="N1244" s="208"/>
    </row>
    <row r="1245" spans="2:14" x14ac:dyDescent="0.2">
      <c r="B1245" s="245"/>
      <c r="C1245" s="255"/>
      <c r="D1245" s="247"/>
      <c r="E1245" s="248"/>
      <c r="F1245" s="248"/>
      <c r="G1245" s="254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7"/>
      <c r="E1246" s="248"/>
      <c r="F1246" s="248"/>
      <c r="G1246" s="254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7"/>
      <c r="E1247" s="248"/>
      <c r="F1247" s="248"/>
      <c r="G1247" s="254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5"/>
      <c r="E1248" s="248"/>
      <c r="F1248" s="248"/>
      <c r="G1248" s="261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55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55"/>
      <c r="D1250" s="247"/>
      <c r="E1250" s="248"/>
      <c r="F1250" s="248"/>
      <c r="G1250" s="254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55"/>
      <c r="D1251" s="247"/>
      <c r="E1251" s="248"/>
      <c r="F1251" s="248"/>
      <c r="G1251" s="254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46"/>
      <c r="D1252" s="247"/>
      <c r="E1252" s="248"/>
      <c r="F1252" s="248"/>
      <c r="G1252" s="254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55"/>
      <c r="D1253" s="247"/>
      <c r="E1253" s="248"/>
      <c r="F1253" s="248"/>
      <c r="G1253" s="205"/>
      <c r="H1253" s="207"/>
      <c r="I1253" s="221"/>
      <c r="J1253" s="342"/>
      <c r="K1253" s="279"/>
      <c r="L1253" s="252"/>
      <c r="M1253" s="253"/>
      <c r="N1253" s="208"/>
    </row>
    <row r="1254" spans="2:14" x14ac:dyDescent="0.2">
      <c r="B1254" s="245"/>
      <c r="C1254" s="246"/>
      <c r="D1254" s="247"/>
      <c r="E1254" s="248"/>
      <c r="F1254" s="248"/>
      <c r="G1254" s="261"/>
      <c r="H1254" s="207"/>
      <c r="I1254" s="221"/>
      <c r="J1254" s="342"/>
      <c r="K1254" s="279"/>
      <c r="L1254" s="252"/>
      <c r="M1254" s="253"/>
      <c r="N1254" s="208"/>
    </row>
    <row r="1255" spans="2:14" x14ac:dyDescent="0.2">
      <c r="B1255" s="245"/>
      <c r="C1255" s="255"/>
      <c r="D1255" s="247"/>
      <c r="E1255" s="248"/>
      <c r="F1255" s="248"/>
      <c r="G1255" s="254"/>
      <c r="H1255" s="207"/>
      <c r="I1255" s="221"/>
      <c r="J1255" s="342"/>
      <c r="K1255" s="279"/>
      <c r="L1255" s="252"/>
      <c r="M1255" s="253"/>
      <c r="N1255" s="208"/>
    </row>
    <row r="1256" spans="2:14" x14ac:dyDescent="0.2">
      <c r="B1256" s="245"/>
      <c r="C1256" s="255"/>
      <c r="D1256" s="247"/>
      <c r="E1256" s="248"/>
      <c r="F1256" s="248"/>
      <c r="G1256" s="254"/>
      <c r="H1256" s="207"/>
      <c r="I1256" s="221"/>
      <c r="J1256" s="342"/>
      <c r="K1256" s="279"/>
      <c r="L1256" s="210"/>
      <c r="M1256" s="253"/>
      <c r="N1256" s="208"/>
    </row>
    <row r="1257" spans="2:14" x14ac:dyDescent="0.2">
      <c r="B1257" s="245"/>
      <c r="C1257" s="255"/>
      <c r="D1257" s="247"/>
      <c r="E1257" s="248"/>
      <c r="F1257" s="248"/>
      <c r="G1257" s="261"/>
      <c r="H1257" s="207"/>
      <c r="I1257" s="221"/>
      <c r="J1257" s="342"/>
      <c r="K1257" s="279"/>
      <c r="L1257" s="252"/>
      <c r="M1257" s="253"/>
      <c r="N1257" s="208"/>
    </row>
    <row r="1258" spans="2:14" x14ac:dyDescent="0.2">
      <c r="B1258" s="245"/>
      <c r="C1258" s="246"/>
      <c r="D1258" s="247"/>
      <c r="E1258" s="248"/>
      <c r="F1258" s="248"/>
      <c r="G1258" s="261"/>
      <c r="H1258" s="207"/>
      <c r="I1258" s="221"/>
      <c r="J1258" s="342"/>
      <c r="K1258" s="279"/>
      <c r="L1258" s="252"/>
      <c r="M1258" s="253"/>
      <c r="N1258" s="208"/>
    </row>
    <row r="1259" spans="2:14" x14ac:dyDescent="0.2">
      <c r="B1259" s="245"/>
      <c r="C1259" s="255"/>
      <c r="D1259" s="247"/>
      <c r="E1259" s="248"/>
      <c r="F1259" s="248"/>
      <c r="G1259" s="254"/>
      <c r="H1259" s="207"/>
      <c r="I1259" s="221"/>
      <c r="J1259" s="342"/>
      <c r="K1259" s="279"/>
      <c r="L1259" s="252"/>
      <c r="M1259" s="253"/>
      <c r="N1259" s="208"/>
    </row>
    <row r="1260" spans="2:14" ht="15" x14ac:dyDescent="0.25">
      <c r="B1260" s="30"/>
      <c r="C1260" s="283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0"/>
      <c r="C1261" s="283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0"/>
      <c r="C1262" s="283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78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ht="15" x14ac:dyDescent="0.25">
      <c r="B1264" s="37"/>
      <c r="C1264" s="283"/>
      <c r="D1264" s="109"/>
      <c r="E1264" s="68"/>
      <c r="F1264" s="68"/>
      <c r="G1264" s="284"/>
      <c r="H1264" s="211"/>
      <c r="I1264" s="224"/>
      <c r="J1264" s="347"/>
      <c r="K1264" s="69"/>
      <c r="L1264" s="285"/>
      <c r="M1264" s="116"/>
      <c r="N1264" s="212"/>
    </row>
    <row r="1265" spans="2:14" ht="15" x14ac:dyDescent="0.25">
      <c r="B1265" s="37"/>
      <c r="C1265" s="78"/>
      <c r="D1265" s="109"/>
      <c r="E1265" s="68"/>
      <c r="F1265" s="68"/>
      <c r="G1265" s="284"/>
      <c r="H1265" s="211"/>
      <c r="I1265" s="224"/>
      <c r="J1265" s="347"/>
      <c r="K1265" s="69"/>
      <c r="L1265" s="285"/>
      <c r="M1265" s="116"/>
      <c r="N1265" s="212"/>
    </row>
    <row r="1266" spans="2:14" ht="15" x14ac:dyDescent="0.25">
      <c r="B1266" s="37"/>
      <c r="C1266" s="283"/>
      <c r="D1266" s="109"/>
      <c r="E1266" s="68"/>
      <c r="F1266" s="68"/>
      <c r="G1266" s="284"/>
      <c r="H1266" s="211"/>
      <c r="I1266" s="224"/>
      <c r="J1266" s="347"/>
      <c r="K1266" s="69"/>
      <c r="L1266" s="285"/>
      <c r="M1266" s="116"/>
      <c r="N1266" s="212"/>
    </row>
    <row r="1267" spans="2:14" x14ac:dyDescent="0.2">
      <c r="B1267" s="37"/>
      <c r="C1267" s="286"/>
      <c r="D1267" s="37"/>
      <c r="E1267" s="60"/>
      <c r="F1267" s="60"/>
      <c r="G1267" s="213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78"/>
      <c r="D1268" s="109"/>
      <c r="E1268" s="68"/>
      <c r="F1268" s="68"/>
      <c r="G1268" s="21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7"/>
      <c r="C1269" s="283"/>
      <c r="D1269" s="109"/>
      <c r="E1269" s="68"/>
      <c r="F1269" s="68"/>
      <c r="G1269" s="284"/>
      <c r="H1269" s="211"/>
      <c r="I1269" s="224"/>
      <c r="J1269" s="347"/>
      <c r="K1269" s="69"/>
      <c r="L1269" s="285"/>
      <c r="M1269" s="116"/>
      <c r="N1269" s="212"/>
    </row>
    <row r="1270" spans="2:14" ht="15" x14ac:dyDescent="0.25">
      <c r="B1270" s="37"/>
      <c r="C1270" s="283"/>
      <c r="D1270" s="109"/>
      <c r="E1270" s="68"/>
      <c r="F1270" s="68"/>
      <c r="G1270" s="284"/>
      <c r="H1270" s="211"/>
      <c r="I1270" s="224"/>
      <c r="J1270" s="347"/>
      <c r="K1270" s="69"/>
      <c r="L1270" s="285"/>
      <c r="M1270" s="116"/>
      <c r="N1270" s="212"/>
    </row>
    <row r="1271" spans="2:14" ht="15" x14ac:dyDescent="0.25">
      <c r="B1271" s="37"/>
      <c r="C1271" s="66"/>
      <c r="D1271" s="287"/>
      <c r="E1271" s="68"/>
      <c r="F1271" s="68"/>
      <c r="G1271" s="214"/>
      <c r="H1271" s="211"/>
      <c r="I1271" s="224"/>
      <c r="J1271" s="347"/>
      <c r="K1271" s="69"/>
      <c r="L1271" s="285"/>
      <c r="M1271" s="116"/>
      <c r="N1271" s="212"/>
    </row>
    <row r="1272" spans="2:14" ht="15" x14ac:dyDescent="0.25">
      <c r="B1272" s="30"/>
      <c r="C1272" s="283"/>
      <c r="D1272" s="109"/>
      <c r="E1272" s="68"/>
      <c r="F1272" s="68"/>
      <c r="G1272" s="288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30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30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30"/>
      <c r="C1277" s="78"/>
      <c r="D1277" s="109"/>
      <c r="E1277" s="68"/>
      <c r="F1277" s="68"/>
      <c r="G1277" s="21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283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283"/>
      <c r="D1281" s="109"/>
      <c r="E1281" s="68"/>
      <c r="F1281" s="68"/>
      <c r="G1281" s="28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283"/>
      <c r="D1282" s="109"/>
      <c r="E1282" s="68"/>
      <c r="F1282" s="68"/>
      <c r="G1282" s="28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78"/>
      <c r="D1283" s="109"/>
      <c r="E1283" s="68"/>
      <c r="F1283" s="68"/>
      <c r="G1283" s="21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78"/>
      <c r="D1284" s="109"/>
      <c r="E1284" s="68"/>
      <c r="F1284" s="68"/>
      <c r="G1284" s="21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65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65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65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85"/>
      <c r="M1287" s="116"/>
      <c r="N1287" s="212"/>
    </row>
    <row r="1288" spans="2:14" ht="15" x14ac:dyDescent="0.25">
      <c r="B1288" s="30"/>
      <c r="C1288" s="283"/>
      <c r="D1288" s="109"/>
      <c r="E1288" s="68"/>
      <c r="F1288" s="68"/>
      <c r="G1288" s="284"/>
      <c r="H1288" s="215"/>
      <c r="I1288" s="224"/>
      <c r="J1288" s="347"/>
      <c r="K1288" s="69"/>
      <c r="L1288" s="216"/>
      <c r="M1288" s="116"/>
      <c r="N1288" s="212"/>
    </row>
    <row r="1289" spans="2:14" ht="15" x14ac:dyDescent="0.25">
      <c r="B1289" s="65"/>
      <c r="C1289" s="283"/>
      <c r="D1289" s="109"/>
      <c r="E1289" s="68"/>
      <c r="F1289" s="68"/>
      <c r="G1289" s="284"/>
      <c r="H1289" s="215"/>
      <c r="I1289" s="224"/>
      <c r="J1289" s="347"/>
      <c r="K1289" s="69"/>
      <c r="L1289" s="285"/>
      <c r="M1289" s="116"/>
      <c r="N1289" s="212"/>
    </row>
    <row r="1290" spans="2:14" ht="15" x14ac:dyDescent="0.25">
      <c r="B1290" s="65"/>
      <c r="C1290" s="78"/>
      <c r="D1290" s="109"/>
      <c r="E1290" s="68"/>
      <c r="F1290" s="68"/>
      <c r="G1290" s="21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65"/>
      <c r="C1291" s="283"/>
      <c r="D1291" s="109"/>
      <c r="E1291" s="68"/>
      <c r="F1291" s="68"/>
      <c r="G1291" s="284"/>
      <c r="H1291" s="215"/>
      <c r="I1291" s="224"/>
      <c r="J1291" s="347"/>
      <c r="K1291" s="69"/>
      <c r="L1291" s="216"/>
      <c r="M1291" s="116"/>
      <c r="N1291" s="212"/>
    </row>
    <row r="1292" spans="2:14" ht="15" x14ac:dyDescent="0.25">
      <c r="B1292" s="65"/>
      <c r="C1292" s="78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283"/>
      <c r="D1294" s="109"/>
      <c r="E1294" s="68"/>
      <c r="F1294" s="68"/>
      <c r="G1294" s="28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65"/>
      <c r="C1295" s="283"/>
      <c r="D1295" s="109"/>
      <c r="E1295" s="68"/>
      <c r="F1295" s="68"/>
      <c r="G1295" s="28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65"/>
      <c r="C1296" s="283"/>
      <c r="D1296" s="109"/>
      <c r="E1296" s="68"/>
      <c r="F1296" s="68"/>
      <c r="G1296" s="284"/>
      <c r="H1296" s="215"/>
      <c r="I1296" s="224"/>
      <c r="J1296" s="347"/>
      <c r="K1296" s="69"/>
      <c r="L1296" s="216"/>
      <c r="M1296" s="116"/>
      <c r="N1296" s="212"/>
    </row>
    <row r="1297" spans="2:14" ht="15" x14ac:dyDescent="0.25">
      <c r="B1297" s="65"/>
      <c r="C1297" s="78"/>
      <c r="D1297" s="109"/>
      <c r="E1297" s="68"/>
      <c r="F1297" s="68"/>
      <c r="G1297" s="21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65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30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30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16"/>
      <c r="M1300" s="116"/>
      <c r="N1300" s="212"/>
    </row>
    <row r="1301" spans="2:14" ht="15" x14ac:dyDescent="0.25">
      <c r="B1301" s="30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283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30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30"/>
      <c r="C1304" s="78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30"/>
      <c r="C1305" s="289"/>
      <c r="D1305" s="290"/>
      <c r="E1305" s="291"/>
      <c r="F1305" s="291"/>
      <c r="G1305" s="284"/>
      <c r="H1305" s="215"/>
      <c r="I1305" s="224"/>
      <c r="J1305" s="347"/>
      <c r="K1305" s="69"/>
      <c r="L1305" s="216"/>
      <c r="M1305" s="116"/>
      <c r="N1305" s="212"/>
    </row>
    <row r="1306" spans="2:14" ht="15" x14ac:dyDescent="0.25">
      <c r="B1306" s="30"/>
      <c r="C1306" s="78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ht="15" x14ac:dyDescent="0.25">
      <c r="B1307" s="30"/>
      <c r="C1307" s="283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ht="15" x14ac:dyDescent="0.25">
      <c r="B1308" s="30"/>
      <c r="C1308" s="78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x14ac:dyDescent="0.2">
      <c r="B1309" s="30"/>
      <c r="C1309" s="78"/>
      <c r="D1309" s="109"/>
      <c r="E1309" s="68"/>
      <c r="F1309" s="68"/>
      <c r="G1309" s="288"/>
      <c r="H1309" s="211"/>
      <c r="I1309" s="224"/>
      <c r="J1309" s="347"/>
      <c r="K1309" s="80"/>
      <c r="L1309" s="285"/>
      <c r="M1309" s="116"/>
      <c r="N1309" s="212"/>
    </row>
    <row r="1310" spans="2:14" ht="15" x14ac:dyDescent="0.25">
      <c r="B1310" s="30"/>
      <c r="C1310" s="283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30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16"/>
      <c r="M1312" s="116"/>
      <c r="N1312" s="212"/>
    </row>
    <row r="1313" spans="2:14" ht="15" x14ac:dyDescent="0.25">
      <c r="B1313" s="30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14"/>
      <c r="H1316" s="215"/>
      <c r="I1316" s="224"/>
      <c r="J1316" s="347"/>
      <c r="K1316" s="69"/>
      <c r="L1316" s="216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16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65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65"/>
      <c r="C1328" s="78"/>
      <c r="D1328" s="109"/>
      <c r="E1328" s="68"/>
      <c r="F1328" s="68"/>
      <c r="G1328" s="21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30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30"/>
      <c r="C1335" s="78"/>
      <c r="D1335" s="109"/>
      <c r="E1335" s="68"/>
      <c r="F1335" s="68"/>
      <c r="G1335" s="28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30"/>
      <c r="C1336" s="78"/>
      <c r="D1336" s="109"/>
      <c r="E1336" s="68"/>
      <c r="F1336" s="68"/>
      <c r="G1336" s="28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292"/>
      <c r="C1337" s="78"/>
      <c r="D1337" s="109"/>
      <c r="E1337" s="68"/>
      <c r="F1337" s="68"/>
      <c r="G1337" s="28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1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8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1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84"/>
      <c r="H1344" s="215"/>
      <c r="I1344" s="224"/>
      <c r="J1344" s="347"/>
      <c r="K1344" s="69"/>
      <c r="L1344" s="285"/>
      <c r="M1344" s="116"/>
      <c r="N1344" s="212"/>
    </row>
    <row r="1345" spans="2:14" ht="15" x14ac:dyDescent="0.25">
      <c r="B1345" s="65"/>
      <c r="C1345" s="78"/>
      <c r="D1345" s="109"/>
      <c r="E1345" s="68"/>
      <c r="F1345" s="68"/>
      <c r="G1345" s="284"/>
      <c r="H1345" s="215"/>
      <c r="I1345" s="224"/>
      <c r="J1345" s="347"/>
      <c r="K1345" s="69"/>
      <c r="L1345" s="285"/>
      <c r="M1345" s="116"/>
      <c r="N1345" s="212"/>
    </row>
    <row r="1346" spans="2:14" ht="15" x14ac:dyDescent="0.25">
      <c r="B1346" s="65"/>
      <c r="C1346" s="78"/>
      <c r="D1346" s="109"/>
      <c r="E1346" s="68"/>
      <c r="F1346" s="68"/>
      <c r="G1346" s="284"/>
      <c r="H1346" s="215"/>
      <c r="I1346" s="224"/>
      <c r="J1346" s="347"/>
      <c r="K1346" s="69"/>
      <c r="L1346" s="285"/>
      <c r="M1346" s="116"/>
      <c r="N1346" s="212"/>
    </row>
    <row r="1347" spans="2:14" ht="15" x14ac:dyDescent="0.25">
      <c r="B1347" s="65"/>
      <c r="C1347" s="78"/>
      <c r="D1347" s="109"/>
      <c r="E1347" s="68"/>
      <c r="F1347" s="68"/>
      <c r="G1347" s="21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1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84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14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88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292"/>
      <c r="C1352" s="78"/>
      <c r="D1352" s="109"/>
      <c r="E1352" s="68"/>
      <c r="F1352" s="68"/>
      <c r="G1352" s="284"/>
      <c r="H1352" s="215"/>
      <c r="I1352" s="293"/>
      <c r="J1352" s="348"/>
      <c r="K1352" s="69"/>
      <c r="L1352" s="285"/>
      <c r="M1352" s="116"/>
      <c r="N1352" s="212"/>
    </row>
    <row r="1353" spans="2:14" ht="15" x14ac:dyDescent="0.25">
      <c r="B1353" s="292"/>
      <c r="C1353" s="78"/>
      <c r="D1353" s="109"/>
      <c r="E1353" s="68"/>
      <c r="F1353" s="68"/>
      <c r="G1353" s="284"/>
      <c r="H1353" s="215"/>
      <c r="I1353" s="293"/>
      <c r="J1353" s="348"/>
      <c r="K1353" s="69"/>
      <c r="L1353" s="285"/>
      <c r="M1353" s="116"/>
      <c r="N1353" s="212"/>
    </row>
    <row r="1354" spans="2:14" ht="15" x14ac:dyDescent="0.25">
      <c r="B1354" s="292"/>
      <c r="C1354" s="78"/>
      <c r="D1354" s="109"/>
      <c r="E1354" s="68"/>
      <c r="F1354" s="68"/>
      <c r="G1354" s="213"/>
      <c r="H1354" s="215"/>
      <c r="I1354" s="293"/>
      <c r="J1354" s="348"/>
      <c r="K1354" s="69"/>
      <c r="L1354" s="285"/>
      <c r="M1354" s="116"/>
      <c r="N1354" s="212"/>
    </row>
    <row r="1355" spans="2:14" x14ac:dyDescent="0.2">
      <c r="B1355" s="292"/>
      <c r="C1355" s="78"/>
      <c r="D1355" s="109"/>
      <c r="E1355" s="68"/>
      <c r="F1355" s="68"/>
      <c r="G1355" s="288"/>
      <c r="H1355" s="211"/>
      <c r="I1355" s="224"/>
      <c r="J1355" s="347"/>
      <c r="K1355" s="80"/>
      <c r="L1355" s="216"/>
      <c r="M1355" s="116"/>
      <c r="N1355" s="212"/>
    </row>
    <row r="1356" spans="2:14" ht="15" x14ac:dyDescent="0.25">
      <c r="B1356" s="292"/>
      <c r="C1356" s="78"/>
      <c r="D1356" s="109"/>
      <c r="E1356" s="68"/>
      <c r="F1356" s="68"/>
      <c r="G1356" s="288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65"/>
      <c r="C1357" s="289"/>
      <c r="D1357" s="290"/>
      <c r="E1357" s="294"/>
      <c r="F1357" s="295"/>
      <c r="G1357" s="296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65"/>
      <c r="C1358" s="78"/>
      <c r="D1358" s="109"/>
      <c r="E1358" s="68"/>
      <c r="F1358" s="77"/>
      <c r="G1358" s="28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65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297"/>
      <c r="F1360" s="298"/>
      <c r="G1360" s="299"/>
      <c r="H1360" s="300"/>
      <c r="I1360" s="301"/>
      <c r="J1360" s="349"/>
      <c r="K1360" s="69"/>
      <c r="L1360" s="285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292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292"/>
      <c r="C1363" s="78"/>
      <c r="D1363" s="109"/>
      <c r="E1363" s="68"/>
      <c r="F1363" s="77"/>
      <c r="G1363" s="214"/>
      <c r="H1363" s="215"/>
      <c r="I1363" s="293"/>
      <c r="J1363" s="348"/>
      <c r="K1363" s="69"/>
      <c r="L1363" s="216"/>
      <c r="M1363" s="116"/>
      <c r="N1363" s="212"/>
    </row>
    <row r="1364" spans="2:14" ht="15" x14ac:dyDescent="0.25">
      <c r="B1364" s="292"/>
      <c r="C1364" s="78"/>
      <c r="D1364" s="109"/>
      <c r="E1364" s="68"/>
      <c r="F1364" s="77"/>
      <c r="G1364" s="28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78"/>
      <c r="D1365" s="109"/>
      <c r="E1365" s="68"/>
      <c r="F1365" s="77"/>
      <c r="G1365" s="284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289"/>
      <c r="D1366" s="290"/>
      <c r="E1366" s="291"/>
      <c r="F1366" s="284"/>
      <c r="G1366" s="284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66"/>
      <c r="D1367" s="109"/>
      <c r="E1367" s="68"/>
      <c r="F1367" s="77"/>
      <c r="G1367" s="296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65"/>
      <c r="C1368" s="78"/>
      <c r="D1368" s="109"/>
      <c r="E1368" s="68"/>
      <c r="F1368" s="77"/>
      <c r="G1368" s="284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65"/>
      <c r="C1369" s="78"/>
      <c r="D1369" s="109"/>
      <c r="E1369" s="68"/>
      <c r="F1369" s="77"/>
      <c r="G1369" s="288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65"/>
      <c r="C1370" s="78"/>
      <c r="D1370" s="109"/>
      <c r="E1370" s="68"/>
      <c r="F1370" s="77"/>
      <c r="G1370" s="288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78"/>
      <c r="D1373" s="109"/>
      <c r="E1373" s="68"/>
      <c r="F1373" s="77"/>
      <c r="G1373" s="28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78"/>
      <c r="D1374" s="109"/>
      <c r="E1374" s="68"/>
      <c r="F1374" s="77"/>
      <c r="G1374" s="284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66"/>
      <c r="D1375" s="109"/>
      <c r="E1375" s="68"/>
      <c r="F1375" s="77"/>
      <c r="G1375" s="296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1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8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14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292"/>
      <c r="C1379" s="78"/>
      <c r="D1379" s="109"/>
      <c r="E1379" s="68"/>
      <c r="F1379" s="77"/>
      <c r="G1379" s="284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292"/>
      <c r="C1380" s="78"/>
      <c r="D1380" s="109"/>
      <c r="E1380" s="68"/>
      <c r="F1380" s="77"/>
      <c r="G1380" s="284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292"/>
      <c r="C1381" s="78"/>
      <c r="D1381" s="109"/>
      <c r="E1381" s="68"/>
      <c r="F1381" s="77"/>
      <c r="G1381" s="288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91"/>
      <c r="C1382" s="78"/>
      <c r="D1382" s="109"/>
      <c r="E1382" s="68"/>
      <c r="F1382" s="77"/>
      <c r="G1382" s="28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91"/>
      <c r="C1383" s="78"/>
      <c r="D1383" s="109"/>
      <c r="E1383" s="68"/>
      <c r="F1383" s="77"/>
      <c r="G1383" s="284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78"/>
      <c r="D1384" s="109"/>
      <c r="E1384" s="68"/>
      <c r="F1384" s="77"/>
      <c r="G1384" s="214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78"/>
      <c r="D1385" s="109"/>
      <c r="E1385" s="68"/>
      <c r="F1385" s="77"/>
      <c r="G1385" s="284"/>
      <c r="H1385" s="215"/>
      <c r="I1385" s="293"/>
      <c r="J1385" s="348"/>
      <c r="K1385" s="69"/>
      <c r="L1385" s="285"/>
      <c r="M1385" s="116"/>
      <c r="N1385" s="212"/>
    </row>
    <row r="1386" spans="2:14" ht="15" x14ac:dyDescent="0.25">
      <c r="B1386" s="65"/>
      <c r="C1386" s="66"/>
      <c r="D1386" s="109"/>
      <c r="E1386" s="68"/>
      <c r="F1386" s="77"/>
      <c r="G1386" s="296"/>
      <c r="H1386" s="215"/>
      <c r="I1386" s="293"/>
      <c r="J1386" s="348"/>
      <c r="K1386" s="69"/>
      <c r="L1386" s="285"/>
      <c r="M1386" s="116"/>
      <c r="N1386" s="212"/>
    </row>
    <row r="1387" spans="2:14" ht="15" x14ac:dyDescent="0.25">
      <c r="B1387" s="65"/>
      <c r="C1387" s="66"/>
      <c r="D1387" s="109"/>
      <c r="E1387" s="68"/>
      <c r="F1387" s="68"/>
      <c r="G1387" s="296"/>
      <c r="H1387" s="215"/>
      <c r="I1387" s="293"/>
      <c r="J1387" s="348"/>
      <c r="K1387" s="69"/>
      <c r="L1387" s="285"/>
      <c r="M1387" s="116"/>
      <c r="N1387" s="212"/>
    </row>
    <row r="1388" spans="2:14" ht="15" x14ac:dyDescent="0.25">
      <c r="B1388" s="65"/>
      <c r="C1388" s="78"/>
      <c r="D1388" s="109"/>
      <c r="E1388" s="68"/>
      <c r="F1388" s="77"/>
      <c r="G1388" s="214"/>
      <c r="H1388" s="215"/>
      <c r="I1388" s="293"/>
      <c r="J1388" s="348"/>
      <c r="K1388" s="69"/>
      <c r="L1388" s="285"/>
      <c r="M1388" s="116"/>
      <c r="N1388" s="212"/>
    </row>
    <row r="1389" spans="2:14" x14ac:dyDescent="0.2">
      <c r="B1389" s="65"/>
      <c r="C1389" s="78"/>
      <c r="D1389" s="109"/>
      <c r="E1389" s="68"/>
      <c r="F1389" s="77"/>
      <c r="G1389" s="302"/>
      <c r="H1389" s="211"/>
      <c r="I1389" s="224"/>
      <c r="J1389" s="347"/>
      <c r="K1389" s="80"/>
      <c r="L1389" s="285"/>
      <c r="M1389" s="116"/>
      <c r="N1389" s="212"/>
    </row>
    <row r="1390" spans="2:14" ht="15" x14ac:dyDescent="0.25">
      <c r="B1390" s="65"/>
      <c r="C1390" s="78"/>
      <c r="D1390" s="109"/>
      <c r="E1390" s="68"/>
      <c r="F1390" s="77"/>
      <c r="G1390" s="284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66"/>
      <c r="D1391" s="109"/>
      <c r="E1391" s="68"/>
      <c r="F1391" s="77"/>
      <c r="G1391" s="296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78"/>
      <c r="D1392" s="109"/>
      <c r="E1392" s="68"/>
      <c r="F1392" s="77"/>
      <c r="G1392" s="284"/>
      <c r="H1392" s="215"/>
      <c r="I1392" s="293"/>
      <c r="J1392" s="348"/>
      <c r="K1392" s="69"/>
      <c r="L1392" s="285"/>
      <c r="M1392" s="116"/>
      <c r="N1392" s="212"/>
    </row>
    <row r="1393" spans="2:14" ht="15" x14ac:dyDescent="0.25">
      <c r="B1393" s="65"/>
      <c r="C1393" s="78"/>
      <c r="D1393" s="109"/>
      <c r="E1393" s="68"/>
      <c r="F1393" s="77"/>
      <c r="G1393" s="284"/>
      <c r="H1393" s="215"/>
      <c r="I1393" s="293"/>
      <c r="J1393" s="348"/>
      <c r="K1393" s="69"/>
      <c r="L1393" s="285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6"/>
      <c r="H1394" s="215"/>
      <c r="I1394" s="293"/>
      <c r="J1394" s="348"/>
      <c r="K1394" s="69"/>
      <c r="L1394" s="285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6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289"/>
      <c r="D1396" s="290"/>
      <c r="E1396" s="291"/>
      <c r="F1396" s="304"/>
      <c r="G1396" s="284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65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65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65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78"/>
      <c r="D1402" s="109"/>
      <c r="E1402" s="68"/>
      <c r="F1402" s="68"/>
      <c r="G1402" s="214"/>
      <c r="H1402" s="215"/>
      <c r="I1402" s="293"/>
      <c r="J1402" s="348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91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91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91"/>
      <c r="C1411" s="66"/>
      <c r="D1411" s="109"/>
      <c r="E1411" s="68"/>
      <c r="F1411" s="77"/>
      <c r="G1411" s="296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66"/>
      <c r="D1412" s="109"/>
      <c r="E1412" s="68"/>
      <c r="F1412" s="77"/>
      <c r="G1412" s="296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289"/>
      <c r="D1413" s="290"/>
      <c r="E1413" s="291"/>
      <c r="F1413" s="304"/>
      <c r="G1413" s="284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66"/>
      <c r="D1414" s="109"/>
      <c r="E1414" s="68"/>
      <c r="F1414" s="77"/>
      <c r="G1414" s="296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65"/>
      <c r="C1415" s="78"/>
      <c r="D1415" s="109"/>
      <c r="E1415" s="68"/>
      <c r="F1415" s="77"/>
      <c r="G1415" s="214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65"/>
      <c r="C1416" s="78"/>
      <c r="D1416" s="109"/>
      <c r="E1416" s="68"/>
      <c r="F1416" s="77"/>
      <c r="G1416" s="214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77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77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77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68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68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91"/>
      <c r="C1425" s="66"/>
      <c r="D1425" s="109"/>
      <c r="E1425" s="68"/>
      <c r="F1425" s="77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91"/>
      <c r="C1426" s="66"/>
      <c r="D1426" s="109"/>
      <c r="E1426" s="68"/>
      <c r="F1426" s="68"/>
      <c r="G1426" s="29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91"/>
      <c r="C1427" s="66"/>
      <c r="D1427" s="109"/>
      <c r="E1427" s="68"/>
      <c r="F1427" s="77"/>
      <c r="G1427" s="26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66"/>
      <c r="D1428" s="109"/>
      <c r="E1428" s="68"/>
      <c r="F1428" s="77"/>
      <c r="G1428" s="296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66"/>
      <c r="D1429" s="109"/>
      <c r="E1429" s="68"/>
      <c r="F1429" s="77"/>
      <c r="G1429" s="296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78"/>
      <c r="D1430" s="109"/>
      <c r="E1430" s="68"/>
      <c r="F1430" s="77"/>
      <c r="G1430" s="214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78"/>
      <c r="D1431" s="109"/>
      <c r="E1431" s="68"/>
      <c r="F1431" s="77"/>
      <c r="G1431" s="214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66"/>
      <c r="D1432" s="109"/>
      <c r="E1432" s="68"/>
      <c r="F1432" s="77"/>
      <c r="G1432" s="29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66"/>
      <c r="D1433" s="109"/>
      <c r="E1433" s="68"/>
      <c r="F1433" s="77"/>
      <c r="G1433" s="296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65"/>
      <c r="C1434" s="23"/>
      <c r="D1434" s="37"/>
      <c r="E1434" s="60"/>
      <c r="F1434" s="26"/>
      <c r="G1434" s="26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65"/>
      <c r="C1435" s="66"/>
      <c r="D1435" s="109"/>
      <c r="E1435" s="68"/>
      <c r="F1435" s="77"/>
      <c r="G1435" s="296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65"/>
      <c r="C1436" s="78"/>
      <c r="D1436" s="109"/>
      <c r="E1436" s="68"/>
      <c r="F1436" s="77"/>
      <c r="G1436" s="305"/>
      <c r="H1436" s="215"/>
      <c r="I1436" s="293"/>
      <c r="J1436" s="348"/>
      <c r="K1436" s="69"/>
      <c r="L1436" s="216"/>
      <c r="M1436" s="116"/>
      <c r="N1436" s="212"/>
    </row>
    <row r="1437" spans="2:14" ht="15" x14ac:dyDescent="0.25">
      <c r="B1437" s="91"/>
      <c r="C1437" s="78"/>
      <c r="D1437" s="109"/>
      <c r="E1437" s="68"/>
      <c r="F1437" s="77"/>
      <c r="G1437" s="302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66"/>
      <c r="D1438" s="109"/>
      <c r="E1438" s="68"/>
      <c r="F1438" s="77"/>
      <c r="G1438" s="296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66"/>
      <c r="D1439" s="109"/>
      <c r="E1439" s="68"/>
      <c r="F1439" s="77"/>
      <c r="G1439" s="296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78"/>
      <c r="D1440" s="109"/>
      <c r="E1440" s="68"/>
      <c r="F1440" s="77"/>
      <c r="G1440" s="214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78"/>
      <c r="D1441" s="109"/>
      <c r="E1441" s="68"/>
      <c r="F1441" s="77"/>
      <c r="G1441" s="214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91"/>
      <c r="C1442" s="66"/>
      <c r="D1442" s="109"/>
      <c r="E1442" s="68"/>
      <c r="F1442" s="77"/>
      <c r="G1442" s="296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91"/>
      <c r="C1443" s="66"/>
      <c r="D1443" s="109"/>
      <c r="E1443" s="68"/>
      <c r="F1443" s="77"/>
      <c r="G1443" s="296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91"/>
      <c r="C1444" s="23"/>
      <c r="D1444" s="37"/>
      <c r="E1444" s="60"/>
      <c r="F1444" s="26"/>
      <c r="G1444" s="104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65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65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65"/>
      <c r="C1447" s="23"/>
      <c r="D1447" s="290"/>
      <c r="E1447" s="291"/>
      <c r="F1447" s="304"/>
      <c r="G1447" s="284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91"/>
      <c r="C1448" s="66"/>
      <c r="D1448" s="109"/>
      <c r="E1448" s="68"/>
      <c r="F1448" s="77"/>
      <c r="G1448" s="296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91"/>
      <c r="C1449" s="66"/>
      <c r="D1449" s="109"/>
      <c r="E1449" s="68"/>
      <c r="F1449" s="77"/>
      <c r="G1449" s="296"/>
      <c r="H1449" s="303"/>
      <c r="I1449" s="225"/>
      <c r="J1449" s="350"/>
      <c r="K1449" s="69"/>
      <c r="L1449" s="285"/>
      <c r="M1449" s="116"/>
      <c r="N1449" s="212"/>
    </row>
    <row r="1450" spans="2:14" ht="15" x14ac:dyDescent="0.25">
      <c r="B1450" s="91"/>
      <c r="C1450" s="66"/>
      <c r="D1450" s="109"/>
      <c r="E1450" s="68"/>
      <c r="F1450" s="77"/>
      <c r="G1450" s="296"/>
      <c r="H1450" s="303"/>
      <c r="I1450" s="225"/>
      <c r="J1450" s="350"/>
      <c r="K1450" s="80"/>
      <c r="L1450" s="285"/>
      <c r="M1450" s="116"/>
      <c r="N1450" s="212"/>
    </row>
    <row r="1451" spans="2:14" ht="15" x14ac:dyDescent="0.25">
      <c r="B1451" s="91"/>
      <c r="C1451" s="23"/>
      <c r="D1451" s="37"/>
      <c r="E1451" s="60"/>
      <c r="F1451" s="26"/>
      <c r="G1451" s="104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91"/>
      <c r="C1452" s="66"/>
      <c r="D1452" s="109"/>
      <c r="E1452" s="68"/>
      <c r="F1452" s="77"/>
      <c r="G1452" s="296"/>
      <c r="H1452" s="303"/>
      <c r="I1452" s="225"/>
      <c r="J1452" s="350"/>
      <c r="K1452" s="27"/>
      <c r="L1452" s="285"/>
      <c r="M1452" s="116"/>
      <c r="N1452" s="212"/>
    </row>
    <row r="1453" spans="2:14" ht="15" x14ac:dyDescent="0.25">
      <c r="B1453" s="91"/>
      <c r="C1453" s="66"/>
      <c r="D1453" s="109"/>
      <c r="E1453" s="68"/>
      <c r="F1453" s="77"/>
      <c r="G1453" s="296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78"/>
      <c r="D1454" s="109"/>
      <c r="E1454" s="68"/>
      <c r="F1454" s="77"/>
      <c r="G1454" s="214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66"/>
      <c r="D1455" s="109"/>
      <c r="E1455" s="68"/>
      <c r="F1455" s="77"/>
      <c r="G1455" s="296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66"/>
      <c r="D1456" s="109"/>
      <c r="E1456" s="68"/>
      <c r="F1456" s="77"/>
      <c r="G1456" s="26"/>
      <c r="H1456" s="303"/>
      <c r="I1456" s="225"/>
      <c r="J1456" s="350"/>
      <c r="K1456" s="69"/>
      <c r="L1456" s="285"/>
      <c r="M1456" s="116"/>
      <c r="N1456" s="212"/>
    </row>
    <row r="1457" spans="2:14" ht="15" x14ac:dyDescent="0.25">
      <c r="B1457" s="91"/>
      <c r="C1457" s="78"/>
      <c r="D1457" s="109"/>
      <c r="E1457" s="68"/>
      <c r="F1457" s="77"/>
      <c r="G1457" s="214"/>
      <c r="H1457" s="303"/>
      <c r="I1457" s="225"/>
      <c r="J1457" s="350"/>
      <c r="K1457" s="69"/>
      <c r="L1457" s="285"/>
      <c r="M1457" s="116"/>
      <c r="N1457" s="212"/>
    </row>
    <row r="1458" spans="2:14" ht="15" x14ac:dyDescent="0.25">
      <c r="B1458" s="91"/>
      <c r="C1458" s="66"/>
      <c r="D1458" s="109"/>
      <c r="E1458" s="68"/>
      <c r="F1458" s="77"/>
      <c r="G1458" s="296"/>
      <c r="H1458" s="303"/>
      <c r="I1458" s="225"/>
      <c r="J1458" s="350"/>
      <c r="K1458" s="69"/>
      <c r="L1458" s="285"/>
      <c r="M1458" s="116"/>
      <c r="N1458" s="212"/>
    </row>
    <row r="1459" spans="2:14" ht="15" x14ac:dyDescent="0.25">
      <c r="B1459" s="91"/>
      <c r="C1459" s="66"/>
      <c r="D1459" s="109"/>
      <c r="E1459" s="68"/>
      <c r="F1459" s="77"/>
      <c r="G1459" s="296"/>
      <c r="H1459" s="303"/>
      <c r="I1459" s="225"/>
      <c r="J1459" s="350"/>
      <c r="K1459" s="290"/>
      <c r="L1459" s="285"/>
      <c r="M1459" s="116"/>
      <c r="N1459" s="212"/>
    </row>
    <row r="1460" spans="2:14" ht="15" x14ac:dyDescent="0.25">
      <c r="B1460" s="65"/>
      <c r="C1460" s="66"/>
      <c r="D1460" s="109"/>
      <c r="E1460" s="68"/>
      <c r="F1460" s="77"/>
      <c r="G1460" s="104"/>
      <c r="H1460" s="303"/>
      <c r="I1460" s="225"/>
      <c r="J1460" s="350"/>
      <c r="K1460" s="69"/>
      <c r="L1460" s="285"/>
      <c r="M1460" s="116"/>
      <c r="N1460" s="212"/>
    </row>
    <row r="1461" spans="2:14" ht="15" x14ac:dyDescent="0.25">
      <c r="B1461" s="65"/>
      <c r="C1461" s="66"/>
      <c r="D1461" s="109"/>
      <c r="E1461" s="68"/>
      <c r="F1461" s="77"/>
      <c r="G1461" s="296"/>
      <c r="H1461" s="303"/>
      <c r="I1461" s="225"/>
      <c r="J1461" s="350"/>
      <c r="K1461" s="69"/>
      <c r="L1461" s="285"/>
      <c r="M1461" s="116"/>
      <c r="N1461" s="212"/>
    </row>
    <row r="1462" spans="2:14" ht="15" x14ac:dyDescent="0.25">
      <c r="B1462" s="65"/>
      <c r="C1462" s="286"/>
      <c r="D1462" s="286"/>
      <c r="E1462" s="306"/>
      <c r="F1462" s="307"/>
      <c r="G1462" s="307"/>
      <c r="H1462" s="303"/>
      <c r="I1462" s="225"/>
      <c r="J1462" s="350"/>
      <c r="K1462" s="69"/>
      <c r="L1462" s="285"/>
      <c r="M1462" s="116"/>
      <c r="N1462" s="212"/>
    </row>
    <row r="1463" spans="2:14" ht="15" x14ac:dyDescent="0.25">
      <c r="B1463" s="65"/>
      <c r="C1463" s="78"/>
      <c r="D1463" s="109"/>
      <c r="E1463" s="68"/>
      <c r="F1463" s="77"/>
      <c r="G1463" s="214"/>
      <c r="H1463" s="215"/>
      <c r="I1463" s="293"/>
      <c r="J1463" s="348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296"/>
      <c r="H1469" s="303"/>
      <c r="I1469" s="225"/>
      <c r="J1469" s="350"/>
      <c r="K1469" s="69"/>
      <c r="L1469" s="285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296"/>
      <c r="H1470" s="303"/>
      <c r="I1470" s="225"/>
      <c r="J1470" s="350"/>
      <c r="K1470" s="69"/>
      <c r="L1470" s="285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296"/>
      <c r="H1471" s="303"/>
      <c r="I1471" s="225"/>
      <c r="J1471" s="350"/>
      <c r="K1471" s="69"/>
      <c r="L1471" s="285"/>
      <c r="M1471" s="116"/>
      <c r="N1471" s="212"/>
    </row>
    <row r="1472" spans="2:14" ht="15" x14ac:dyDescent="0.25">
      <c r="B1472" s="65"/>
      <c r="C1472" s="78"/>
      <c r="D1472" s="109"/>
      <c r="E1472" s="68"/>
      <c r="F1472" s="77"/>
      <c r="G1472" s="308"/>
      <c r="H1472" s="215"/>
      <c r="I1472" s="293"/>
      <c r="J1472" s="348"/>
      <c r="K1472" s="69"/>
      <c r="L1472" s="216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309"/>
      <c r="H1473" s="303"/>
      <c r="I1473" s="225"/>
      <c r="J1473" s="350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309"/>
      <c r="H1474" s="303"/>
      <c r="I1474" s="225"/>
      <c r="J1474" s="350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104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104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310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65"/>
      <c r="C1478" s="66"/>
      <c r="D1478" s="109"/>
      <c r="E1478" s="68"/>
      <c r="F1478" s="77"/>
      <c r="G1478" s="296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65"/>
      <c r="C1479" s="66"/>
      <c r="D1479" s="109"/>
      <c r="E1479" s="68"/>
      <c r="F1479" s="77"/>
      <c r="G1479" s="104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65"/>
      <c r="C1480" s="66"/>
      <c r="D1480" s="109"/>
      <c r="E1480" s="68"/>
      <c r="F1480" s="77"/>
      <c r="G1480" s="296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78"/>
      <c r="D1481" s="109"/>
      <c r="E1481" s="68"/>
      <c r="F1481" s="77"/>
      <c r="G1481" s="311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77"/>
      <c r="G1482" s="104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68"/>
      <c r="G1483" s="104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296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285"/>
      <c r="M1485" s="116"/>
      <c r="N1485" s="212"/>
    </row>
    <row r="1486" spans="2:14" ht="15" x14ac:dyDescent="0.25">
      <c r="B1486" s="91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285"/>
      <c r="M1486" s="116"/>
      <c r="N1486" s="212"/>
    </row>
    <row r="1487" spans="2:14" ht="15" x14ac:dyDescent="0.25">
      <c r="B1487" s="91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285"/>
      <c r="M1487" s="116"/>
      <c r="N1487" s="212"/>
    </row>
    <row r="1488" spans="2:14" ht="15" x14ac:dyDescent="0.25">
      <c r="B1488" s="65"/>
      <c r="C1488" s="78"/>
      <c r="D1488" s="109"/>
      <c r="E1488" s="68"/>
      <c r="F1488" s="77"/>
      <c r="G1488" s="311"/>
      <c r="H1488" s="312"/>
      <c r="I1488" s="313"/>
      <c r="J1488" s="352"/>
      <c r="K1488" s="69"/>
      <c r="L1488" s="285"/>
      <c r="M1488" s="116"/>
      <c r="N1488" s="212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65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65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285"/>
      <c r="M1491" s="116"/>
      <c r="N1491" s="212"/>
    </row>
    <row r="1492" spans="2:14" ht="15" x14ac:dyDescent="0.25">
      <c r="B1492" s="91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285"/>
      <c r="M1492" s="116"/>
      <c r="N1492" s="212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285"/>
      <c r="M1493" s="116"/>
      <c r="N1493" s="212"/>
    </row>
    <row r="1494" spans="2:14" ht="15" x14ac:dyDescent="0.25">
      <c r="B1494" s="91"/>
      <c r="C1494" s="78"/>
      <c r="D1494" s="109"/>
      <c r="E1494" s="68"/>
      <c r="F1494" s="77"/>
      <c r="G1494" s="311"/>
      <c r="H1494" s="312"/>
      <c r="I1494" s="313"/>
      <c r="J1494" s="352"/>
      <c r="K1494" s="69"/>
      <c r="L1494" s="285"/>
      <c r="M1494" s="116"/>
      <c r="N1494" s="212"/>
    </row>
    <row r="1495" spans="2:14" ht="15" x14ac:dyDescent="0.25">
      <c r="B1495" s="91"/>
      <c r="C1495" s="66"/>
      <c r="D1495" s="109"/>
      <c r="E1495" s="68"/>
      <c r="F1495" s="77"/>
      <c r="G1495" s="104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66"/>
      <c r="D1496" s="109"/>
      <c r="E1496" s="68"/>
      <c r="F1496" s="77"/>
      <c r="G1496" s="104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91"/>
      <c r="C1497" s="78"/>
      <c r="D1497" s="109"/>
      <c r="E1497" s="68"/>
      <c r="F1497" s="77"/>
      <c r="G1497" s="311"/>
      <c r="H1497" s="121"/>
      <c r="I1497" s="107"/>
      <c r="J1497" s="351"/>
      <c r="K1497" s="69"/>
      <c r="L1497" s="285"/>
      <c r="M1497" s="116"/>
      <c r="N1497" s="212"/>
    </row>
    <row r="1498" spans="2:14" ht="15" x14ac:dyDescent="0.25">
      <c r="B1498" s="91"/>
      <c r="C1498" s="66"/>
      <c r="D1498" s="109"/>
      <c r="E1498" s="68"/>
      <c r="F1498" s="77"/>
      <c r="G1498" s="104"/>
      <c r="H1498" s="121"/>
      <c r="I1498" s="107"/>
      <c r="J1498" s="351"/>
      <c r="K1498" s="69"/>
      <c r="L1498" s="285"/>
      <c r="M1498" s="116"/>
      <c r="N1498" s="212"/>
    </row>
    <row r="1499" spans="2:14" ht="15" x14ac:dyDescent="0.25">
      <c r="B1499" s="91"/>
      <c r="C1499" s="78"/>
      <c r="D1499" s="109"/>
      <c r="E1499" s="68"/>
      <c r="F1499" s="77"/>
      <c r="G1499" s="311"/>
      <c r="H1499" s="121"/>
      <c r="I1499" s="107"/>
      <c r="J1499" s="351"/>
      <c r="K1499" s="69"/>
      <c r="L1499" s="285"/>
      <c r="M1499" s="116"/>
      <c r="N1499" s="212"/>
    </row>
    <row r="1500" spans="2:14" ht="15" x14ac:dyDescent="0.25">
      <c r="B1500" s="65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216"/>
      <c r="M1500" s="116"/>
      <c r="N1500" s="212"/>
    </row>
    <row r="1501" spans="2:14" ht="15.75" x14ac:dyDescent="0.25">
      <c r="B1501" s="314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216"/>
      <c r="M1501" s="116"/>
      <c r="N1501" s="212"/>
    </row>
    <row r="1502" spans="2:14" ht="15.75" x14ac:dyDescent="0.25">
      <c r="B1502" s="315"/>
      <c r="C1502" s="66"/>
      <c r="D1502" s="109"/>
      <c r="E1502" s="68"/>
      <c r="F1502" s="77"/>
      <c r="G1502" s="104"/>
      <c r="H1502" s="121"/>
      <c r="I1502" s="107"/>
      <c r="J1502" s="351"/>
      <c r="K1502" s="69"/>
      <c r="L1502" s="126"/>
      <c r="M1502" s="116"/>
      <c r="N1502" s="217"/>
    </row>
    <row r="1503" spans="2:14" ht="15.75" x14ac:dyDescent="0.25">
      <c r="B1503" s="315"/>
      <c r="C1503" s="78"/>
      <c r="D1503" s="109"/>
      <c r="E1503" s="68"/>
      <c r="F1503" s="77"/>
      <c r="G1503" s="311"/>
      <c r="H1503" s="312"/>
      <c r="I1503" s="313"/>
      <c r="J1503" s="352"/>
      <c r="K1503" s="69"/>
      <c r="L1503" s="126"/>
      <c r="M1503" s="116"/>
      <c r="N1503" s="217"/>
    </row>
    <row r="1504" spans="2:14" ht="15.75" x14ac:dyDescent="0.25">
      <c r="B1504" s="314"/>
      <c r="C1504" s="78"/>
      <c r="D1504" s="109"/>
      <c r="E1504" s="68"/>
      <c r="F1504" s="77"/>
      <c r="G1504" s="311"/>
      <c r="H1504" s="312"/>
      <c r="I1504" s="313"/>
      <c r="J1504" s="352"/>
      <c r="K1504" s="69"/>
      <c r="L1504" s="216"/>
      <c r="M1504" s="116"/>
      <c r="N1504" s="212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1"/>
      <c r="K1505" s="69"/>
      <c r="L1505" s="126"/>
      <c r="M1505" s="116"/>
      <c r="N1505" s="217"/>
    </row>
    <row r="1506" spans="2:14" ht="15" x14ac:dyDescent="0.25">
      <c r="B1506" s="91"/>
      <c r="C1506" s="316"/>
      <c r="D1506" s="65"/>
      <c r="E1506" s="68"/>
      <c r="F1506" s="117"/>
      <c r="G1506" s="117"/>
      <c r="H1506" s="121"/>
      <c r="I1506" s="107"/>
      <c r="J1506" s="351"/>
      <c r="K1506" s="69"/>
      <c r="L1506" s="126"/>
      <c r="M1506" s="116"/>
      <c r="N1506" s="217"/>
    </row>
    <row r="1507" spans="2:14" ht="15" x14ac:dyDescent="0.25">
      <c r="B1507" s="91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91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66"/>
      <c r="D1510" s="109"/>
      <c r="E1510" s="68"/>
      <c r="F1510" s="77"/>
      <c r="G1510" s="104"/>
      <c r="H1510" s="121"/>
      <c r="I1510" s="107"/>
      <c r="J1510" s="351"/>
      <c r="K1510" s="69"/>
      <c r="L1510" s="126"/>
      <c r="M1510" s="116"/>
      <c r="N1510" s="212"/>
    </row>
    <row r="1511" spans="2:14" ht="15" x14ac:dyDescent="0.25">
      <c r="B1511" s="65"/>
      <c r="C1511" s="66"/>
      <c r="D1511" s="109"/>
      <c r="E1511" s="68"/>
      <c r="F1511" s="77"/>
      <c r="G1511" s="104"/>
      <c r="H1511" s="121"/>
      <c r="I1511" s="107"/>
      <c r="J1511" s="351"/>
      <c r="K1511" s="69"/>
      <c r="L1511" s="126"/>
      <c r="M1511" s="116"/>
      <c r="N1511" s="212"/>
    </row>
    <row r="1512" spans="2:14" ht="15" x14ac:dyDescent="0.25">
      <c r="B1512" s="65"/>
      <c r="C1512" s="78"/>
      <c r="D1512" s="109"/>
      <c r="E1512" s="68"/>
      <c r="F1512" s="77"/>
      <c r="G1512" s="311"/>
      <c r="H1512" s="312"/>
      <c r="I1512" s="107"/>
      <c r="J1512" s="351"/>
      <c r="K1512" s="69"/>
      <c r="L1512" s="126"/>
      <c r="M1512" s="116"/>
      <c r="N1512" s="212"/>
    </row>
    <row r="1513" spans="2:14" ht="15" x14ac:dyDescent="0.25">
      <c r="B1513" s="65"/>
      <c r="C1513" s="78"/>
      <c r="D1513" s="109"/>
      <c r="E1513" s="68"/>
      <c r="F1513" s="77"/>
      <c r="G1513" s="311"/>
      <c r="H1513" s="312"/>
      <c r="I1513" s="313"/>
      <c r="J1513" s="352"/>
      <c r="K1513" s="69"/>
      <c r="L1513" s="126"/>
      <c r="M1513" s="116"/>
      <c r="N1513" s="212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126"/>
      <c r="M1514" s="116"/>
      <c r="N1514" s="212"/>
    </row>
    <row r="1515" spans="2:14" ht="15" x14ac:dyDescent="0.25">
      <c r="B1515" s="65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126"/>
      <c r="M1515" s="116"/>
      <c r="N1515" s="212"/>
    </row>
    <row r="1516" spans="2:14" ht="15" x14ac:dyDescent="0.25">
      <c r="B1516" s="65"/>
      <c r="C1516" s="66"/>
      <c r="D1516" s="109"/>
      <c r="E1516" s="68"/>
      <c r="F1516" s="77"/>
      <c r="G1516" s="104"/>
      <c r="H1516" s="121"/>
      <c r="I1516" s="107"/>
      <c r="J1516" s="351"/>
      <c r="K1516" s="69"/>
      <c r="L1516" s="216"/>
      <c r="M1516" s="116"/>
      <c r="N1516" s="212"/>
    </row>
    <row r="1517" spans="2:14" ht="15" x14ac:dyDescent="0.25">
      <c r="B1517" s="65"/>
      <c r="C1517" s="78"/>
      <c r="D1517" s="109"/>
      <c r="E1517" s="68"/>
      <c r="F1517" s="77"/>
      <c r="G1517" s="311"/>
      <c r="H1517" s="312"/>
      <c r="I1517" s="313"/>
      <c r="J1517" s="352"/>
      <c r="K1517" s="69"/>
      <c r="L1517" s="216"/>
      <c r="M1517" s="116"/>
      <c r="N1517" s="212"/>
    </row>
    <row r="1518" spans="2:14" ht="15" x14ac:dyDescent="0.25">
      <c r="B1518" s="65"/>
      <c r="C1518" s="66"/>
      <c r="D1518" s="109"/>
      <c r="E1518" s="68"/>
      <c r="F1518" s="77"/>
      <c r="G1518" s="104"/>
      <c r="H1518" s="121"/>
      <c r="I1518" s="107"/>
      <c r="J1518" s="351"/>
      <c r="K1518" s="69"/>
      <c r="L1518" s="216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107"/>
      <c r="J1519" s="351"/>
      <c r="K1519" s="69"/>
      <c r="L1519" s="285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65"/>
      <c r="C1523" s="78"/>
      <c r="D1523" s="109"/>
      <c r="E1523" s="68"/>
      <c r="F1523" s="77"/>
      <c r="G1523" s="311"/>
      <c r="H1523" s="312"/>
      <c r="I1523" s="313"/>
      <c r="J1523" s="352"/>
      <c r="K1523" s="69"/>
      <c r="L1523" s="216"/>
      <c r="M1523" s="116"/>
      <c r="N1523" s="212"/>
    </row>
    <row r="1524" spans="2:14" ht="15" x14ac:dyDescent="0.25">
      <c r="B1524" s="65"/>
      <c r="C1524" s="78"/>
      <c r="D1524" s="109"/>
      <c r="E1524" s="68"/>
      <c r="F1524" s="77"/>
      <c r="G1524" s="311"/>
      <c r="H1524" s="312"/>
      <c r="I1524" s="313"/>
      <c r="J1524" s="352"/>
      <c r="K1524" s="69"/>
      <c r="L1524" s="216"/>
      <c r="M1524" s="116"/>
      <c r="N1524" s="212"/>
    </row>
    <row r="1525" spans="2:14" ht="15" x14ac:dyDescent="0.25">
      <c r="B1525" s="65"/>
      <c r="C1525" s="78"/>
      <c r="D1525" s="109"/>
      <c r="E1525" s="68"/>
      <c r="F1525" s="77"/>
      <c r="G1525" s="311"/>
      <c r="H1525" s="312"/>
      <c r="I1525" s="313"/>
      <c r="J1525" s="352"/>
      <c r="K1525" s="69"/>
      <c r="L1525" s="216"/>
      <c r="M1525" s="116"/>
      <c r="N1525" s="212"/>
    </row>
    <row r="1526" spans="2:14" ht="15" x14ac:dyDescent="0.25">
      <c r="B1526" s="91"/>
      <c r="C1526" s="66"/>
      <c r="D1526" s="109"/>
      <c r="E1526" s="68"/>
      <c r="F1526" s="77"/>
      <c r="G1526" s="104"/>
      <c r="H1526" s="121"/>
      <c r="I1526" s="107"/>
      <c r="J1526" s="351"/>
      <c r="K1526" s="69"/>
      <c r="L1526" s="126"/>
      <c r="M1526" s="116"/>
      <c r="N1526" s="217"/>
    </row>
    <row r="1527" spans="2:14" ht="15" x14ac:dyDescent="0.25">
      <c r="B1527" s="91"/>
      <c r="C1527" s="66"/>
      <c r="D1527" s="109"/>
      <c r="E1527" s="68"/>
      <c r="F1527" s="77"/>
      <c r="G1527" s="104"/>
      <c r="H1527" s="123"/>
      <c r="I1527" s="107"/>
      <c r="J1527" s="351"/>
      <c r="K1527" s="69"/>
      <c r="L1527" s="126"/>
      <c r="M1527" s="116"/>
      <c r="N1527" s="217"/>
    </row>
    <row r="1528" spans="2:14" ht="15" x14ac:dyDescent="0.25">
      <c r="B1528" s="91"/>
      <c r="C1528" s="66"/>
      <c r="D1528" s="109"/>
      <c r="E1528" s="68"/>
      <c r="F1528" s="77"/>
      <c r="G1528" s="104"/>
      <c r="H1528" s="121"/>
      <c r="I1528" s="107"/>
      <c r="J1528" s="351"/>
      <c r="K1528" s="80"/>
      <c r="L1528" s="126"/>
      <c r="M1528" s="117"/>
      <c r="N1528" s="217"/>
    </row>
    <row r="1529" spans="2:14" ht="15" x14ac:dyDescent="0.25">
      <c r="B1529" s="37"/>
      <c r="C1529" s="66"/>
      <c r="D1529" s="109"/>
      <c r="E1529" s="68"/>
      <c r="F1529" s="77"/>
      <c r="G1529" s="104"/>
      <c r="H1529" s="123"/>
      <c r="I1529" s="107"/>
      <c r="J1529" s="351"/>
      <c r="K1529" s="80"/>
      <c r="L1529" s="126"/>
      <c r="M1529" s="116"/>
      <c r="N1529" s="217"/>
    </row>
    <row r="1530" spans="2:14" ht="15" x14ac:dyDescent="0.25">
      <c r="B1530" s="37"/>
      <c r="C1530" s="66"/>
      <c r="D1530" s="109"/>
      <c r="E1530" s="68"/>
      <c r="F1530" s="68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316"/>
      <c r="D1531" s="65"/>
      <c r="E1531" s="68"/>
      <c r="F1531" s="117"/>
      <c r="G1531" s="117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37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37"/>
      <c r="C1537" s="66"/>
      <c r="D1537" s="109"/>
      <c r="E1537" s="68"/>
      <c r="F1537" s="77"/>
      <c r="G1537" s="104"/>
      <c r="H1537" s="121"/>
      <c r="I1537" s="107"/>
      <c r="J1537" s="351"/>
      <c r="K1537" s="69"/>
      <c r="L1537" s="126"/>
      <c r="M1537" s="116"/>
      <c r="N1537" s="217"/>
    </row>
    <row r="1538" spans="2:14" ht="15" x14ac:dyDescent="0.25">
      <c r="B1538" s="65"/>
      <c r="C1538" s="78"/>
      <c r="D1538" s="109"/>
      <c r="E1538" s="68"/>
      <c r="F1538" s="77"/>
      <c r="G1538" s="311"/>
      <c r="H1538" s="312"/>
      <c r="I1538" s="313"/>
      <c r="J1538" s="352"/>
      <c r="K1538" s="69"/>
      <c r="L1538" s="216"/>
      <c r="M1538" s="116"/>
      <c r="N1538" s="212"/>
    </row>
    <row r="1539" spans="2:14" ht="15" x14ac:dyDescent="0.25">
      <c r="B1539" s="91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65"/>
      <c r="C1540" s="78"/>
      <c r="D1540" s="109"/>
      <c r="E1540" s="68"/>
      <c r="F1540" s="77"/>
      <c r="G1540" s="311"/>
      <c r="H1540" s="312"/>
      <c r="I1540" s="313"/>
      <c r="J1540" s="352"/>
      <c r="K1540" s="69"/>
      <c r="L1540" s="216"/>
      <c r="M1540" s="116"/>
      <c r="N1540" s="212"/>
    </row>
    <row r="1541" spans="2:14" ht="15" x14ac:dyDescent="0.25">
      <c r="B1541" s="91"/>
      <c r="C1541" s="66"/>
      <c r="D1541" s="109"/>
      <c r="E1541" s="68"/>
      <c r="F1541" s="77"/>
      <c r="G1541" s="104"/>
      <c r="H1541" s="121"/>
      <c r="I1541" s="107"/>
      <c r="J1541" s="351"/>
      <c r="K1541" s="69"/>
      <c r="L1541" s="126"/>
      <c r="M1541" s="116"/>
      <c r="N1541" s="217"/>
    </row>
    <row r="1542" spans="2:14" ht="15" x14ac:dyDescent="0.25">
      <c r="B1542" s="91"/>
      <c r="C1542" s="66"/>
      <c r="D1542" s="109"/>
      <c r="E1542" s="68"/>
      <c r="F1542" s="77"/>
      <c r="G1542" s="104"/>
      <c r="H1542" s="121"/>
      <c r="I1542" s="107"/>
      <c r="J1542" s="351"/>
      <c r="K1542" s="69"/>
      <c r="L1542" s="126"/>
      <c r="M1542" s="116"/>
      <c r="N1542" s="217"/>
    </row>
    <row r="1543" spans="2:14" ht="15" x14ac:dyDescent="0.25">
      <c r="B1543" s="91"/>
      <c r="C1543" s="78"/>
      <c r="D1543" s="109"/>
      <c r="E1543" s="68"/>
      <c r="F1543" s="77"/>
      <c r="G1543" s="311"/>
      <c r="H1543" s="312"/>
      <c r="I1543" s="107"/>
      <c r="J1543" s="351"/>
      <c r="K1543" s="69"/>
      <c r="L1543" s="126"/>
      <c r="M1543" s="116"/>
      <c r="N1543" s="217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65"/>
      <c r="C1546" s="78"/>
      <c r="D1546" s="109"/>
      <c r="E1546" s="68"/>
      <c r="F1546" s="77"/>
      <c r="G1546" s="311"/>
      <c r="H1546" s="312"/>
      <c r="I1546" s="313"/>
      <c r="J1546" s="352"/>
      <c r="K1546" s="69"/>
      <c r="L1546" s="216"/>
      <c r="M1546" s="116"/>
      <c r="N1546" s="212"/>
    </row>
    <row r="1547" spans="2:14" ht="15" x14ac:dyDescent="0.25">
      <c r="B1547" s="65"/>
      <c r="C1547" s="78"/>
      <c r="D1547" s="109"/>
      <c r="E1547" s="68"/>
      <c r="F1547" s="77"/>
      <c r="G1547" s="311"/>
      <c r="H1547" s="312"/>
      <c r="I1547" s="313"/>
      <c r="J1547" s="352"/>
      <c r="K1547" s="69"/>
      <c r="L1547" s="216"/>
      <c r="M1547" s="116"/>
      <c r="N1547" s="212"/>
    </row>
    <row r="1548" spans="2:14" ht="15" x14ac:dyDescent="0.25">
      <c r="B1548" s="65"/>
      <c r="C1548" s="78"/>
      <c r="D1548" s="109"/>
      <c r="E1548" s="68"/>
      <c r="F1548" s="77"/>
      <c r="G1548" s="311"/>
      <c r="H1548" s="312"/>
      <c r="I1548" s="313"/>
      <c r="J1548" s="352"/>
      <c r="K1548" s="69"/>
      <c r="L1548" s="216"/>
      <c r="M1548" s="116"/>
      <c r="N1548" s="212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7"/>
    </row>
    <row r="1551" spans="2:14" ht="15" x14ac:dyDescent="0.25">
      <c r="B1551" s="91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7"/>
    </row>
    <row r="1552" spans="2:14" ht="15" x14ac:dyDescent="0.25">
      <c r="B1552" s="91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78"/>
      <c r="D1553" s="109"/>
      <c r="E1553" s="68"/>
      <c r="F1553" s="77"/>
      <c r="G1553" s="311"/>
      <c r="H1553" s="312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66"/>
      <c r="D1558" s="109"/>
      <c r="E1558" s="68"/>
      <c r="F1558" s="68"/>
      <c r="G1558" s="104"/>
      <c r="H1558" s="121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66"/>
      <c r="D1559" s="109"/>
      <c r="E1559" s="68"/>
      <c r="F1559" s="77"/>
      <c r="G1559" s="104"/>
      <c r="H1559" s="121"/>
      <c r="I1559" s="107"/>
      <c r="J1559" s="351"/>
      <c r="K1559" s="69"/>
      <c r="L1559" s="126"/>
      <c r="M1559" s="116"/>
      <c r="N1559" s="217"/>
    </row>
    <row r="1560" spans="2:14" ht="15" x14ac:dyDescent="0.25">
      <c r="B1560" s="65"/>
      <c r="C1560" s="66"/>
      <c r="D1560" s="109"/>
      <c r="E1560" s="68"/>
      <c r="F1560" s="77"/>
      <c r="G1560" s="104"/>
      <c r="H1560" s="121"/>
      <c r="I1560" s="107"/>
      <c r="J1560" s="351"/>
      <c r="K1560" s="69"/>
      <c r="L1560" s="126"/>
      <c r="M1560" s="116"/>
      <c r="N1560" s="217"/>
    </row>
    <row r="1561" spans="2:14" ht="15" x14ac:dyDescent="0.25">
      <c r="B1561" s="65"/>
      <c r="C1561" s="78"/>
      <c r="D1561" s="109"/>
      <c r="E1561" s="68"/>
      <c r="F1561" s="77"/>
      <c r="G1561" s="311"/>
      <c r="H1561" s="123"/>
      <c r="I1561" s="107"/>
      <c r="J1561" s="351"/>
      <c r="K1561" s="69"/>
      <c r="L1561" s="126"/>
      <c r="M1561" s="116"/>
      <c r="N1561" s="217"/>
    </row>
    <row r="1562" spans="2:14" ht="15" x14ac:dyDescent="0.25">
      <c r="B1562" s="65"/>
      <c r="C1562" s="78"/>
      <c r="D1562" s="109"/>
      <c r="E1562" s="68"/>
      <c r="F1562" s="77"/>
      <c r="G1562" s="311"/>
      <c r="H1562" s="312"/>
      <c r="I1562" s="313"/>
      <c r="J1562" s="352"/>
      <c r="K1562" s="69"/>
      <c r="L1562" s="216"/>
      <c r="M1562" s="116"/>
      <c r="N1562" s="212"/>
    </row>
    <row r="1563" spans="2:14" x14ac:dyDescent="0.2">
      <c r="B1563" s="91"/>
      <c r="C1563" s="66"/>
      <c r="D1563" s="109"/>
      <c r="E1563" s="68"/>
      <c r="F1563" s="77"/>
      <c r="G1563" s="104"/>
      <c r="H1563" s="121"/>
      <c r="I1563" s="129"/>
      <c r="J1563" s="353"/>
      <c r="K1563" s="80"/>
      <c r="L1563" s="126"/>
      <c r="M1563" s="116"/>
      <c r="N1563" s="217"/>
    </row>
    <row r="1564" spans="2:14" ht="15" x14ac:dyDescent="0.25">
      <c r="B1564" s="65"/>
      <c r="C1564" s="78"/>
      <c r="D1564" s="109"/>
      <c r="E1564" s="68"/>
      <c r="F1564" s="77"/>
      <c r="G1564" s="311"/>
      <c r="H1564" s="312"/>
      <c r="I1564" s="313"/>
      <c r="J1564" s="352"/>
      <c r="K1564" s="69"/>
      <c r="L1564" s="216"/>
      <c r="M1564" s="116"/>
      <c r="N1564" s="212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317"/>
    </row>
    <row r="1566" spans="2:14" ht="15" x14ac:dyDescent="0.25">
      <c r="B1566" s="65"/>
      <c r="C1566" s="78"/>
      <c r="D1566" s="109"/>
      <c r="E1566" s="68"/>
      <c r="F1566" s="77"/>
      <c r="G1566" s="311"/>
      <c r="H1566" s="312"/>
      <c r="I1566" s="313"/>
      <c r="J1566" s="352"/>
      <c r="K1566" s="69"/>
      <c r="L1566" s="216"/>
      <c r="M1566" s="116"/>
      <c r="N1566" s="317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2"/>
    </row>
    <row r="1569" spans="2:14" ht="15" x14ac:dyDescent="0.25">
      <c r="B1569" s="65"/>
      <c r="C1569" s="66"/>
      <c r="D1569" s="109"/>
      <c r="E1569" s="68"/>
      <c r="F1569" s="77"/>
      <c r="G1569" s="104"/>
      <c r="H1569" s="121"/>
      <c r="I1569" s="107"/>
      <c r="J1569" s="351"/>
      <c r="K1569" s="69"/>
      <c r="L1569" s="126"/>
      <c r="M1569" s="116"/>
      <c r="N1569" s="212"/>
    </row>
    <row r="1570" spans="2:14" ht="15" x14ac:dyDescent="0.25">
      <c r="B1570" s="65"/>
      <c r="C1570" s="66"/>
      <c r="D1570" s="109"/>
      <c r="E1570" s="68"/>
      <c r="F1570" s="77"/>
      <c r="G1570" s="104"/>
      <c r="H1570" s="121"/>
      <c r="I1570" s="107"/>
      <c r="J1570" s="351"/>
      <c r="K1570" s="69"/>
      <c r="L1570" s="12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65"/>
      <c r="C1572" s="78"/>
      <c r="D1572" s="109"/>
      <c r="E1572" s="68"/>
      <c r="F1572" s="77"/>
      <c r="G1572" s="311"/>
      <c r="H1572" s="312"/>
      <c r="I1572" s="313"/>
      <c r="J1572" s="352"/>
      <c r="K1572" s="69"/>
      <c r="L1572" s="216"/>
      <c r="M1572" s="116"/>
      <c r="N1572" s="212"/>
    </row>
    <row r="1573" spans="2:14" ht="15" x14ac:dyDescent="0.25">
      <c r="B1573" s="65"/>
      <c r="C1573" s="78"/>
      <c r="D1573" s="109"/>
      <c r="E1573" s="68"/>
      <c r="F1573" s="77"/>
      <c r="G1573" s="311"/>
      <c r="H1573" s="312"/>
      <c r="I1573" s="313"/>
      <c r="J1573" s="352"/>
      <c r="K1573" s="69"/>
      <c r="L1573" s="216"/>
      <c r="M1573" s="116"/>
      <c r="N1573" s="212"/>
    </row>
    <row r="1574" spans="2:14" ht="15" x14ac:dyDescent="0.25">
      <c r="B1574" s="65"/>
      <c r="C1574" s="78"/>
      <c r="D1574" s="109"/>
      <c r="E1574" s="68"/>
      <c r="F1574" s="77"/>
      <c r="G1574" s="311"/>
      <c r="H1574" s="312"/>
      <c r="I1574" s="313"/>
      <c r="J1574" s="352"/>
      <c r="K1574" s="69"/>
      <c r="L1574" s="216"/>
      <c r="M1574" s="116"/>
      <c r="N1574" s="212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6"/>
      <c r="M1575" s="116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79"/>
      <c r="L1576" s="126"/>
      <c r="M1576" s="115"/>
      <c r="N1576" s="217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1"/>
      <c r="K1577" s="69"/>
      <c r="L1577" s="126"/>
      <c r="M1577" s="116"/>
      <c r="N1577" s="217"/>
    </row>
    <row r="1578" spans="2:14" ht="15" x14ac:dyDescent="0.25">
      <c r="B1578" s="91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6"/>
      <c r="M1578" s="116"/>
      <c r="N1578" s="217"/>
    </row>
    <row r="1579" spans="2:14" ht="15" x14ac:dyDescent="0.25">
      <c r="B1579" s="91"/>
      <c r="C1579" s="66"/>
      <c r="D1579" s="109"/>
      <c r="E1579" s="68"/>
      <c r="F1579" s="77"/>
      <c r="G1579" s="104"/>
      <c r="H1579" s="121"/>
      <c r="I1579" s="107"/>
      <c r="J1579" s="351"/>
      <c r="K1579" s="79"/>
      <c r="L1579" s="126"/>
      <c r="M1579" s="115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66"/>
      <c r="D1584" s="109"/>
      <c r="E1584" s="68"/>
      <c r="F1584" s="77"/>
      <c r="G1584" s="104"/>
      <c r="H1584" s="121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78"/>
      <c r="D1585" s="109"/>
      <c r="E1585" s="68"/>
      <c r="F1585" s="77"/>
      <c r="G1585" s="311"/>
      <c r="H1585" s="312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1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66"/>
      <c r="D1587" s="109"/>
      <c r="E1587" s="68"/>
      <c r="F1587" s="77"/>
      <c r="G1587" s="104"/>
      <c r="H1587" s="123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66"/>
      <c r="D1588" s="109"/>
      <c r="E1588" s="68"/>
      <c r="F1588" s="77"/>
      <c r="G1588" s="104"/>
      <c r="H1588" s="121"/>
      <c r="I1588" s="107"/>
      <c r="J1588" s="351"/>
      <c r="K1588" s="69"/>
      <c r="L1588" s="126"/>
      <c r="M1588" s="116"/>
      <c r="N1588" s="217"/>
    </row>
    <row r="1589" spans="2:14" ht="15" x14ac:dyDescent="0.25">
      <c r="B1589" s="65"/>
      <c r="C1589" s="66"/>
      <c r="D1589" s="109"/>
      <c r="E1589" s="68"/>
      <c r="F1589" s="77"/>
      <c r="G1589" s="104"/>
      <c r="H1589" s="121"/>
      <c r="I1589" s="107"/>
      <c r="J1589" s="351"/>
      <c r="K1589" s="69"/>
      <c r="L1589" s="126"/>
      <c r="M1589" s="116"/>
      <c r="N1589" s="217"/>
    </row>
    <row r="1590" spans="2:14" ht="15" x14ac:dyDescent="0.25">
      <c r="B1590" s="65"/>
      <c r="C1590" s="78"/>
      <c r="D1590" s="109"/>
      <c r="E1590" s="68"/>
      <c r="F1590" s="77"/>
      <c r="G1590" s="311"/>
      <c r="H1590" s="312"/>
      <c r="I1590" s="107"/>
      <c r="J1590" s="351"/>
      <c r="K1590" s="69"/>
      <c r="L1590" s="126"/>
      <c r="M1590" s="116"/>
      <c r="N1590" s="217"/>
    </row>
    <row r="1591" spans="2:14" ht="15" x14ac:dyDescent="0.25">
      <c r="B1591" s="65"/>
      <c r="C1591" s="78"/>
      <c r="D1591" s="109"/>
      <c r="E1591" s="68"/>
      <c r="F1591" s="77"/>
      <c r="G1591" s="311"/>
      <c r="H1591" s="312"/>
      <c r="I1591" s="313"/>
      <c r="J1591" s="352"/>
      <c r="K1591" s="69"/>
      <c r="L1591" s="216"/>
      <c r="M1591" s="116"/>
      <c r="N1591" s="212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1"/>
      <c r="K1592" s="69"/>
      <c r="L1592" s="126"/>
      <c r="M1592" s="116"/>
      <c r="N1592" s="217"/>
    </row>
    <row r="1593" spans="2:14" ht="15" x14ac:dyDescent="0.25">
      <c r="B1593" s="65"/>
      <c r="C1593" s="78"/>
      <c r="D1593" s="109"/>
      <c r="E1593" s="68"/>
      <c r="F1593" s="77"/>
      <c r="G1593" s="311"/>
      <c r="H1593" s="312"/>
      <c r="I1593" s="313"/>
      <c r="J1593" s="352"/>
      <c r="K1593" s="69"/>
      <c r="L1593" s="216"/>
      <c r="M1593" s="116"/>
      <c r="N1593" s="212"/>
    </row>
    <row r="1594" spans="2:14" ht="15" x14ac:dyDescent="0.25">
      <c r="B1594" s="91"/>
      <c r="C1594" s="66"/>
      <c r="D1594" s="109"/>
      <c r="E1594" s="68"/>
      <c r="F1594" s="77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77"/>
      <c r="G1595" s="104"/>
      <c r="H1595" s="121"/>
      <c r="I1595" s="107"/>
      <c r="J1595" s="351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77"/>
      <c r="G1596" s="104"/>
      <c r="H1596" s="121"/>
      <c r="I1596" s="107"/>
      <c r="J1596" s="351"/>
      <c r="K1596" s="69"/>
      <c r="L1596" s="120"/>
      <c r="M1596" s="116"/>
      <c r="N1596" s="218"/>
    </row>
    <row r="1597" spans="2:14" ht="15" x14ac:dyDescent="0.25">
      <c r="B1597" s="91"/>
      <c r="C1597" s="66"/>
      <c r="D1597" s="109"/>
      <c r="E1597" s="68"/>
      <c r="F1597" s="68"/>
      <c r="G1597" s="104"/>
      <c r="H1597" s="121"/>
      <c r="I1597" s="107"/>
      <c r="J1597" s="351"/>
      <c r="K1597" s="69"/>
      <c r="L1597" s="120"/>
      <c r="M1597" s="116"/>
      <c r="N1597" s="218"/>
    </row>
    <row r="1598" spans="2:14" ht="15" x14ac:dyDescent="0.25">
      <c r="B1598" s="91"/>
      <c r="C1598" s="66"/>
      <c r="D1598" s="109"/>
      <c r="E1598" s="68"/>
      <c r="F1598" s="77"/>
      <c r="G1598" s="104"/>
      <c r="H1598" s="123"/>
      <c r="I1598" s="107"/>
      <c r="J1598" s="351"/>
      <c r="K1598" s="69"/>
      <c r="L1598" s="120"/>
      <c r="M1598" s="116"/>
      <c r="N1598" s="218"/>
    </row>
    <row r="1599" spans="2:14" ht="15" x14ac:dyDescent="0.25">
      <c r="B1599" s="65"/>
      <c r="C1599" s="78"/>
      <c r="D1599" s="109"/>
      <c r="E1599" s="68"/>
      <c r="F1599" s="77"/>
      <c r="G1599" s="311"/>
      <c r="H1599" s="312"/>
      <c r="I1599" s="313"/>
      <c r="J1599" s="352"/>
      <c r="K1599" s="69"/>
      <c r="L1599" s="318"/>
      <c r="M1599" s="116"/>
      <c r="N1599" s="318"/>
    </row>
    <row r="1600" spans="2:14" ht="15" x14ac:dyDescent="0.25">
      <c r="B1600" s="91"/>
      <c r="C1600" s="66"/>
      <c r="D1600" s="109"/>
      <c r="E1600" s="68"/>
      <c r="F1600" s="77"/>
      <c r="G1600" s="104"/>
      <c r="H1600" s="121"/>
      <c r="I1600" s="107"/>
      <c r="J1600" s="351"/>
      <c r="K1600" s="69"/>
      <c r="L1600" s="120"/>
      <c r="M1600" s="116"/>
      <c r="N1600" s="218"/>
    </row>
    <row r="1601" spans="2:14" ht="15" x14ac:dyDescent="0.25">
      <c r="B1601" s="65"/>
      <c r="C1601" s="78"/>
      <c r="D1601" s="109"/>
      <c r="E1601" s="68"/>
      <c r="F1601" s="77"/>
      <c r="G1601" s="311"/>
      <c r="H1601" s="312"/>
      <c r="I1601" s="313"/>
      <c r="J1601" s="352"/>
      <c r="K1601" s="69"/>
      <c r="L1601" s="318"/>
      <c r="M1601" s="116"/>
      <c r="N1601" s="318"/>
    </row>
    <row r="1602" spans="2:14" ht="15" x14ac:dyDescent="0.25">
      <c r="B1602" s="65"/>
      <c r="C1602" s="78"/>
      <c r="D1602" s="109"/>
      <c r="E1602" s="68"/>
      <c r="F1602" s="77"/>
      <c r="G1602" s="311"/>
      <c r="H1602" s="312"/>
      <c r="I1602" s="313"/>
      <c r="J1602" s="352"/>
      <c r="K1602" s="69"/>
      <c r="L1602" s="118"/>
      <c r="M1602" s="116"/>
      <c r="N1602" s="318"/>
    </row>
    <row r="1603" spans="2:14" ht="15" x14ac:dyDescent="0.25">
      <c r="B1603" s="65"/>
      <c r="C1603" s="66"/>
      <c r="D1603" s="109"/>
      <c r="E1603" s="68"/>
      <c r="F1603" s="77"/>
      <c r="G1603" s="104"/>
      <c r="H1603" s="121"/>
      <c r="I1603" s="107"/>
      <c r="J1603" s="351"/>
      <c r="K1603" s="69"/>
      <c r="L1603" s="118"/>
      <c r="M1603" s="116"/>
      <c r="N1603" s="318"/>
    </row>
    <row r="1604" spans="2:14" ht="15" x14ac:dyDescent="0.25">
      <c r="B1604" s="65"/>
      <c r="C1604" s="78"/>
      <c r="D1604" s="109"/>
      <c r="E1604" s="68"/>
      <c r="F1604" s="77"/>
      <c r="G1604" s="311"/>
      <c r="H1604" s="312"/>
      <c r="I1604" s="313"/>
      <c r="J1604" s="352"/>
      <c r="K1604" s="69"/>
      <c r="L1604" s="318"/>
      <c r="M1604" s="116"/>
      <c r="N1604" s="318"/>
    </row>
    <row r="1605" spans="2:14" ht="15" x14ac:dyDescent="0.25">
      <c r="B1605" s="65"/>
      <c r="C1605" s="78"/>
      <c r="D1605" s="109"/>
      <c r="E1605" s="68"/>
      <c r="F1605" s="77"/>
      <c r="G1605" s="311"/>
      <c r="H1605" s="312"/>
      <c r="I1605" s="313"/>
      <c r="J1605" s="352"/>
      <c r="K1605" s="69"/>
      <c r="L1605" s="318"/>
      <c r="M1605" s="116"/>
      <c r="N1605" s="318"/>
    </row>
    <row r="1606" spans="2:14" ht="15" x14ac:dyDescent="0.25">
      <c r="B1606" s="65"/>
      <c r="C1606" s="78"/>
      <c r="D1606" s="109"/>
      <c r="E1606" s="68"/>
      <c r="F1606" s="77"/>
      <c r="G1606" s="311"/>
      <c r="H1606" s="312"/>
      <c r="I1606" s="313"/>
      <c r="J1606" s="352"/>
      <c r="K1606" s="69"/>
      <c r="L1606" s="318"/>
      <c r="M1606" s="116"/>
      <c r="N1606" s="318"/>
    </row>
    <row r="1607" spans="2:14" ht="15" x14ac:dyDescent="0.25">
      <c r="B1607" s="65"/>
      <c r="C1607" s="66"/>
      <c r="D1607" s="109"/>
      <c r="E1607" s="68"/>
      <c r="F1607" s="68"/>
      <c r="G1607" s="104"/>
      <c r="H1607" s="121"/>
      <c r="I1607" s="107"/>
      <c r="J1607" s="351"/>
      <c r="K1607" s="69"/>
      <c r="L1607" s="120"/>
      <c r="M1607" s="116"/>
      <c r="N1607" s="218"/>
    </row>
    <row r="1608" spans="2:14" ht="15" x14ac:dyDescent="0.25">
      <c r="B1608" s="65"/>
      <c r="C1608" s="78"/>
      <c r="D1608" s="109"/>
      <c r="E1608" s="68"/>
      <c r="F1608" s="77"/>
      <c r="G1608" s="311"/>
      <c r="H1608" s="312"/>
      <c r="I1608" s="313"/>
      <c r="J1608" s="352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3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104"/>
      <c r="H1610" s="121"/>
      <c r="I1610" s="107"/>
      <c r="J1610" s="351"/>
      <c r="K1610" s="69"/>
      <c r="L1610" s="120"/>
      <c r="M1610" s="116"/>
      <c r="N1610" s="218"/>
    </row>
    <row r="1611" spans="2:14" ht="15" x14ac:dyDescent="0.25">
      <c r="B1611" s="65"/>
      <c r="C1611" s="66"/>
      <c r="D1611" s="109"/>
      <c r="E1611" s="68"/>
      <c r="F1611" s="77"/>
      <c r="G1611" s="104"/>
      <c r="H1611" s="121"/>
      <c r="I1611" s="107"/>
      <c r="J1611" s="351"/>
      <c r="K1611" s="69"/>
      <c r="L1611" s="120"/>
      <c r="M1611" s="116"/>
      <c r="N1611" s="218"/>
    </row>
    <row r="1612" spans="2:14" ht="15" x14ac:dyDescent="0.25">
      <c r="B1612" s="65"/>
      <c r="C1612" s="66"/>
      <c r="D1612" s="109"/>
      <c r="E1612" s="68"/>
      <c r="F1612" s="77"/>
      <c r="G1612" s="104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65"/>
      <c r="C1613" s="66"/>
      <c r="D1613" s="109"/>
      <c r="E1613" s="68"/>
      <c r="F1613" s="77"/>
      <c r="G1613" s="311"/>
      <c r="H1613" s="123"/>
      <c r="I1613" s="107"/>
      <c r="J1613" s="351"/>
      <c r="K1613" s="69"/>
      <c r="L1613" s="120"/>
      <c r="M1613" s="116"/>
      <c r="N1613" s="218"/>
    </row>
    <row r="1614" spans="2:14" ht="15" x14ac:dyDescent="0.25">
      <c r="B1614" s="91"/>
      <c r="C1614" s="66"/>
      <c r="D1614" s="109"/>
      <c r="E1614" s="68"/>
      <c r="F1614" s="77"/>
      <c r="G1614" s="104"/>
      <c r="H1614" s="123"/>
      <c r="I1614" s="107"/>
      <c r="J1614" s="351"/>
      <c r="K1614" s="69"/>
      <c r="L1614" s="120"/>
      <c r="M1614" s="116"/>
      <c r="N1614" s="218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1"/>
      <c r="K1615" s="69"/>
      <c r="L1615" s="120"/>
      <c r="M1615" s="116"/>
      <c r="N1615" s="218"/>
    </row>
    <row r="1616" spans="2:14" ht="15" x14ac:dyDescent="0.25">
      <c r="B1616" s="91"/>
      <c r="C1616" s="78"/>
      <c r="D1616" s="109"/>
      <c r="E1616" s="68"/>
      <c r="F1616" s="77"/>
      <c r="G1616" s="311"/>
      <c r="H1616" s="312"/>
      <c r="I1616" s="313"/>
      <c r="J1616" s="352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3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3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3"/>
      <c r="I1620" s="107"/>
      <c r="J1620" s="351"/>
      <c r="K1620" s="69"/>
      <c r="L1620" s="120"/>
      <c r="M1620" s="116"/>
      <c r="N1620" s="218"/>
    </row>
    <row r="1621" spans="2:14" ht="15" x14ac:dyDescent="0.25">
      <c r="B1621" s="91"/>
      <c r="C1621" s="66"/>
      <c r="D1621" s="109"/>
      <c r="E1621" s="68"/>
      <c r="F1621" s="77"/>
      <c r="G1621" s="104"/>
      <c r="H1621" s="121"/>
      <c r="I1621" s="107"/>
      <c r="J1621" s="351"/>
      <c r="K1621" s="69"/>
      <c r="L1621" s="120"/>
      <c r="M1621" s="116"/>
      <c r="N1621" s="218"/>
    </row>
    <row r="1622" spans="2:14" ht="15" x14ac:dyDescent="0.25">
      <c r="B1622" s="91"/>
      <c r="C1622" s="66"/>
      <c r="D1622" s="109"/>
      <c r="E1622" s="68"/>
      <c r="F1622" s="77"/>
      <c r="G1622" s="104"/>
      <c r="H1622" s="121"/>
      <c r="I1622" s="107"/>
      <c r="J1622" s="351"/>
      <c r="K1622" s="69"/>
      <c r="L1622" s="120"/>
      <c r="M1622" s="116"/>
      <c r="N1622" s="218"/>
    </row>
    <row r="1623" spans="2:14" ht="15" x14ac:dyDescent="0.25">
      <c r="B1623" s="91"/>
      <c r="C1623" s="66"/>
      <c r="D1623" s="109"/>
      <c r="E1623" s="68"/>
      <c r="F1623" s="77"/>
      <c r="G1623" s="104"/>
      <c r="H1623" s="121"/>
      <c r="I1623" s="107"/>
      <c r="J1623" s="351"/>
      <c r="K1623" s="69"/>
      <c r="L1623" s="318"/>
      <c r="M1623" s="116"/>
      <c r="N1623" s="318"/>
    </row>
    <row r="1624" spans="2:14" ht="15" x14ac:dyDescent="0.25">
      <c r="B1624" s="91"/>
      <c r="C1624" s="66"/>
      <c r="D1624" s="109"/>
      <c r="E1624" s="68"/>
      <c r="F1624" s="68"/>
      <c r="G1624" s="104"/>
      <c r="H1624" s="121"/>
      <c r="I1624" s="107"/>
      <c r="J1624" s="351"/>
      <c r="K1624" s="69"/>
      <c r="L1624" s="118"/>
      <c r="M1624" s="116"/>
      <c r="N1624" s="318"/>
    </row>
    <row r="1625" spans="2:14" ht="15" x14ac:dyDescent="0.25">
      <c r="B1625" s="65"/>
      <c r="C1625" s="78"/>
      <c r="D1625" s="109"/>
      <c r="E1625" s="68"/>
      <c r="F1625" s="77"/>
      <c r="G1625" s="311"/>
      <c r="H1625" s="312"/>
      <c r="I1625" s="313"/>
      <c r="J1625" s="352"/>
      <c r="K1625" s="69"/>
      <c r="L1625" s="318"/>
      <c r="M1625" s="116"/>
      <c r="N1625" s="318"/>
    </row>
    <row r="1626" spans="2:14" ht="15" x14ac:dyDescent="0.25">
      <c r="B1626" s="65"/>
      <c r="C1626" s="78"/>
      <c r="D1626" s="109"/>
      <c r="E1626" s="68"/>
      <c r="F1626" s="77"/>
      <c r="G1626" s="311"/>
      <c r="H1626" s="312"/>
      <c r="I1626" s="313"/>
      <c r="J1626" s="352"/>
      <c r="K1626" s="69"/>
      <c r="L1626" s="318"/>
      <c r="M1626" s="116"/>
      <c r="N1626" s="318"/>
    </row>
    <row r="1627" spans="2:14" ht="15" x14ac:dyDescent="0.25">
      <c r="B1627" s="65"/>
      <c r="C1627" s="66"/>
      <c r="D1627" s="109"/>
      <c r="E1627" s="68"/>
      <c r="F1627" s="77"/>
      <c r="G1627" s="104"/>
      <c r="H1627" s="121"/>
      <c r="I1627" s="107"/>
      <c r="J1627" s="351"/>
      <c r="K1627" s="69"/>
      <c r="L1627" s="318"/>
      <c r="M1627" s="116"/>
      <c r="N1627" s="318"/>
    </row>
    <row r="1628" spans="2:14" ht="15" x14ac:dyDescent="0.25">
      <c r="B1628" s="65"/>
      <c r="C1628" s="66"/>
      <c r="D1628" s="109"/>
      <c r="E1628" s="68"/>
      <c r="F1628" s="77"/>
      <c r="G1628" s="104"/>
      <c r="H1628" s="123"/>
      <c r="I1628" s="107"/>
      <c r="J1628" s="351"/>
      <c r="K1628" s="69"/>
      <c r="L1628" s="118"/>
      <c r="M1628" s="116"/>
      <c r="N1628" s="318"/>
    </row>
    <row r="1629" spans="2:14" ht="15" x14ac:dyDescent="0.25">
      <c r="B1629" s="65"/>
      <c r="C1629" s="66"/>
      <c r="D1629" s="109"/>
      <c r="E1629" s="68"/>
      <c r="F1629" s="77"/>
      <c r="G1629" s="104"/>
      <c r="H1629" s="123"/>
      <c r="I1629" s="107"/>
      <c r="J1629" s="351"/>
      <c r="K1629" s="69"/>
      <c r="L1629" s="118"/>
      <c r="M1629" s="116"/>
      <c r="N1629" s="318"/>
    </row>
    <row r="1630" spans="2:14" ht="15" x14ac:dyDescent="0.25">
      <c r="B1630" s="65"/>
      <c r="C1630" s="78"/>
      <c r="D1630" s="109"/>
      <c r="E1630" s="68"/>
      <c r="F1630" s="77"/>
      <c r="G1630" s="311"/>
      <c r="H1630" s="312"/>
      <c r="I1630" s="313"/>
      <c r="J1630" s="352"/>
      <c r="K1630" s="69"/>
      <c r="L1630" s="318"/>
      <c r="M1630" s="116"/>
      <c r="N1630" s="318"/>
    </row>
    <row r="1631" spans="2:14" ht="15" x14ac:dyDescent="0.25">
      <c r="B1631" s="65"/>
      <c r="C1631" s="78"/>
      <c r="D1631" s="109"/>
      <c r="E1631" s="68"/>
      <c r="F1631" s="77"/>
      <c r="G1631" s="311"/>
      <c r="H1631" s="312"/>
      <c r="I1631" s="313"/>
      <c r="J1631" s="352"/>
      <c r="K1631" s="69"/>
      <c r="L1631" s="318"/>
      <c r="M1631" s="116"/>
      <c r="N1631" s="319"/>
    </row>
    <row r="1632" spans="2:14" ht="15" x14ac:dyDescent="0.25">
      <c r="B1632" s="91"/>
      <c r="C1632" s="66"/>
      <c r="D1632" s="109"/>
      <c r="E1632" s="68"/>
      <c r="F1632" s="68"/>
      <c r="G1632" s="104"/>
      <c r="H1632" s="123"/>
      <c r="I1632" s="107"/>
      <c r="J1632" s="351"/>
      <c r="K1632" s="69"/>
      <c r="L1632" s="120"/>
      <c r="M1632" s="116"/>
      <c r="N1632" s="319"/>
    </row>
    <row r="1633" spans="2:14" ht="15" x14ac:dyDescent="0.25">
      <c r="B1633" s="91"/>
      <c r="C1633" s="66"/>
      <c r="D1633" s="109"/>
      <c r="E1633" s="68"/>
      <c r="F1633" s="77"/>
      <c r="G1633" s="104"/>
      <c r="H1633" s="123"/>
      <c r="I1633" s="107"/>
      <c r="J1633" s="351"/>
      <c r="K1633" s="69"/>
      <c r="L1633" s="120"/>
      <c r="M1633" s="116"/>
      <c r="N1633" s="319"/>
    </row>
    <row r="1634" spans="2:14" ht="15" x14ac:dyDescent="0.25">
      <c r="B1634" s="91"/>
      <c r="C1634" s="78"/>
      <c r="D1634" s="109"/>
      <c r="E1634" s="68"/>
      <c r="F1634" s="77"/>
      <c r="G1634" s="311"/>
      <c r="H1634" s="123"/>
      <c r="I1634" s="107"/>
      <c r="J1634" s="351"/>
      <c r="K1634" s="69"/>
      <c r="L1634" s="120"/>
      <c r="M1634" s="116"/>
      <c r="N1634" s="319"/>
    </row>
    <row r="1635" spans="2:14" ht="15" x14ac:dyDescent="0.25">
      <c r="B1635" s="65"/>
      <c r="C1635" s="78"/>
      <c r="D1635" s="109"/>
      <c r="E1635" s="68"/>
      <c r="F1635" s="77"/>
      <c r="G1635" s="311"/>
      <c r="H1635" s="312"/>
      <c r="I1635" s="313"/>
      <c r="J1635" s="352"/>
      <c r="K1635" s="69"/>
      <c r="L1635" s="318"/>
      <c r="M1635" s="116"/>
      <c r="N1635" s="319"/>
    </row>
    <row r="1636" spans="2:14" ht="15" x14ac:dyDescent="0.25">
      <c r="B1636" s="65"/>
      <c r="C1636" s="78"/>
      <c r="D1636" s="109"/>
      <c r="E1636" s="68"/>
      <c r="F1636" s="77"/>
      <c r="G1636" s="311"/>
      <c r="H1636" s="312"/>
      <c r="I1636" s="313"/>
      <c r="J1636" s="352"/>
      <c r="K1636" s="69"/>
      <c r="L1636" s="318"/>
      <c r="M1636" s="116"/>
      <c r="N1636" s="319"/>
    </row>
    <row r="1637" spans="2:14" ht="15" x14ac:dyDescent="0.25">
      <c r="B1637" s="65"/>
      <c r="C1637" s="78"/>
      <c r="D1637" s="109"/>
      <c r="E1637" s="68"/>
      <c r="F1637" s="77"/>
      <c r="G1637" s="311"/>
      <c r="H1637" s="312"/>
      <c r="I1637" s="313"/>
      <c r="J1637" s="352"/>
      <c r="K1637" s="69"/>
      <c r="L1637" s="318"/>
      <c r="M1637" s="116"/>
      <c r="N1637" s="319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311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51"/>
      <c r="K1643" s="69"/>
      <c r="L1643" s="120"/>
      <c r="M1643" s="116"/>
      <c r="N1643" s="219"/>
    </row>
    <row r="1644" spans="2:14" ht="15" x14ac:dyDescent="0.25">
      <c r="B1644" s="91"/>
      <c r="C1644" s="66"/>
      <c r="D1644" s="109"/>
      <c r="E1644" s="68"/>
      <c r="F1644" s="77"/>
      <c r="G1644" s="104"/>
      <c r="H1644" s="123"/>
      <c r="I1644" s="107"/>
      <c r="J1644" s="351"/>
      <c r="K1644" s="69"/>
      <c r="L1644" s="120"/>
      <c r="M1644" s="116"/>
      <c r="N1644" s="219"/>
    </row>
    <row r="1645" spans="2:14" ht="15" x14ac:dyDescent="0.25">
      <c r="B1645" s="91"/>
      <c r="C1645" s="66"/>
      <c r="D1645" s="109"/>
      <c r="E1645" s="68"/>
      <c r="F1645" s="77"/>
      <c r="G1645" s="104"/>
      <c r="H1645" s="121"/>
      <c r="I1645" s="107"/>
      <c r="J1645" s="351"/>
      <c r="K1645" s="69"/>
      <c r="L1645" s="120"/>
      <c r="M1645" s="116"/>
      <c r="N1645" s="219"/>
    </row>
    <row r="1646" spans="2:14" ht="15" x14ac:dyDescent="0.25">
      <c r="B1646" s="91"/>
      <c r="C1646" s="66"/>
      <c r="D1646" s="109"/>
      <c r="E1646" s="68"/>
      <c r="F1646" s="77"/>
      <c r="G1646" s="104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66"/>
      <c r="D1647" s="109"/>
      <c r="E1647" s="68"/>
      <c r="F1647" s="77"/>
      <c r="G1647" s="104"/>
      <c r="H1647" s="123"/>
      <c r="I1647" s="107"/>
      <c r="J1647" s="351"/>
      <c r="K1647" s="69"/>
      <c r="L1647" s="120"/>
      <c r="M1647" s="116"/>
      <c r="N1647" s="219"/>
    </row>
    <row r="1648" spans="2:14" ht="15" x14ac:dyDescent="0.25">
      <c r="B1648" s="37"/>
      <c r="C1648" s="66"/>
      <c r="D1648" s="109"/>
      <c r="E1648" s="68"/>
      <c r="F1648" s="77"/>
      <c r="G1648" s="311"/>
      <c r="H1648" s="123"/>
      <c r="I1648" s="107"/>
      <c r="J1648" s="351"/>
      <c r="K1648" s="69"/>
      <c r="L1648" s="120"/>
      <c r="M1648" s="116"/>
      <c r="N1648" s="219"/>
    </row>
    <row r="1649" spans="2:14" ht="15" x14ac:dyDescent="0.25">
      <c r="B1649" s="37"/>
      <c r="C1649" s="66"/>
      <c r="D1649" s="109"/>
      <c r="E1649" s="68"/>
      <c r="F1649" s="77"/>
      <c r="G1649" s="104"/>
      <c r="H1649" s="123"/>
      <c r="I1649" s="107"/>
      <c r="J1649" s="351"/>
      <c r="K1649" s="69"/>
      <c r="L1649" s="120"/>
      <c r="M1649" s="116"/>
      <c r="N1649" s="219"/>
    </row>
    <row r="1650" spans="2:14" ht="15" x14ac:dyDescent="0.25">
      <c r="B1650" s="37"/>
      <c r="C1650" s="78"/>
      <c r="D1650" s="109"/>
      <c r="E1650" s="68"/>
      <c r="F1650" s="77"/>
      <c r="G1650" s="311"/>
      <c r="H1650" s="312"/>
      <c r="I1650" s="313"/>
      <c r="J1650" s="352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77"/>
      <c r="G1651" s="104"/>
      <c r="H1651" s="123"/>
      <c r="I1651" s="107"/>
      <c r="J1651" s="351"/>
      <c r="K1651" s="69"/>
      <c r="L1651" s="120"/>
      <c r="M1651" s="116"/>
      <c r="N1651" s="219"/>
    </row>
    <row r="1652" spans="2:14" ht="15" x14ac:dyDescent="0.25">
      <c r="B1652" s="37"/>
      <c r="C1652" s="66"/>
      <c r="D1652" s="109"/>
      <c r="E1652" s="68"/>
      <c r="F1652" s="68"/>
      <c r="G1652" s="311"/>
      <c r="H1652" s="123"/>
      <c r="I1652" s="107"/>
      <c r="J1652" s="351"/>
      <c r="K1652" s="69"/>
      <c r="L1652" s="120"/>
      <c r="M1652" s="116"/>
      <c r="N1652" s="219"/>
    </row>
    <row r="1653" spans="2:14" ht="15" x14ac:dyDescent="0.25">
      <c r="B1653" s="37"/>
      <c r="C1653" s="66"/>
      <c r="D1653" s="109"/>
      <c r="E1653" s="68"/>
      <c r="F1653" s="77"/>
      <c r="G1653" s="104"/>
      <c r="H1653" s="123"/>
      <c r="I1653" s="107"/>
      <c r="J1653" s="351"/>
      <c r="K1653" s="69"/>
      <c r="L1653" s="120"/>
      <c r="M1653" s="116"/>
      <c r="N1653" s="219"/>
    </row>
    <row r="1654" spans="2:14" ht="15" x14ac:dyDescent="0.25">
      <c r="B1654" s="37"/>
      <c r="C1654" s="66"/>
      <c r="D1654" s="109"/>
      <c r="E1654" s="68"/>
      <c r="F1654" s="77"/>
      <c r="G1654" s="104"/>
      <c r="H1654" s="123"/>
      <c r="I1654" s="107"/>
      <c r="J1654" s="351"/>
      <c r="K1654" s="69"/>
      <c r="L1654" s="318"/>
      <c r="M1654" s="116"/>
      <c r="N1654" s="319"/>
    </row>
    <row r="1655" spans="2:14" ht="15" x14ac:dyDescent="0.25">
      <c r="B1655" s="37"/>
      <c r="C1655" s="78"/>
      <c r="D1655" s="109"/>
      <c r="E1655" s="68"/>
      <c r="F1655" s="77"/>
      <c r="G1655" s="311"/>
      <c r="H1655" s="123"/>
      <c r="I1655" s="107"/>
      <c r="J1655" s="351"/>
      <c r="K1655" s="69"/>
      <c r="L1655" s="118"/>
      <c r="M1655" s="116"/>
      <c r="N1655" s="319"/>
    </row>
    <row r="1656" spans="2:14" ht="15" x14ac:dyDescent="0.25">
      <c r="B1656" s="37"/>
      <c r="C1656" s="78"/>
      <c r="D1656" s="109"/>
      <c r="E1656" s="68"/>
      <c r="F1656" s="77"/>
      <c r="G1656" s="311"/>
      <c r="H1656" s="312"/>
      <c r="I1656" s="313"/>
      <c r="J1656" s="352"/>
      <c r="K1656" s="69"/>
      <c r="L1656" s="318"/>
      <c r="M1656" s="116"/>
      <c r="N1656" s="319"/>
    </row>
    <row r="1657" spans="2:14" ht="15" x14ac:dyDescent="0.25">
      <c r="B1657" s="37"/>
      <c r="C1657" s="66"/>
      <c r="D1657" s="109"/>
      <c r="E1657" s="68"/>
      <c r="F1657" s="77"/>
      <c r="G1657" s="104"/>
      <c r="H1657" s="123"/>
      <c r="I1657" s="107"/>
      <c r="J1657" s="351"/>
      <c r="K1657" s="69"/>
      <c r="L1657" s="118"/>
      <c r="M1657" s="116"/>
      <c r="N1657" s="319"/>
    </row>
    <row r="1658" spans="2:14" ht="15" x14ac:dyDescent="0.25">
      <c r="B1658" s="65"/>
      <c r="C1658" s="78"/>
      <c r="D1658" s="109"/>
      <c r="E1658" s="68"/>
      <c r="F1658" s="77"/>
      <c r="G1658" s="311"/>
      <c r="H1658" s="312"/>
      <c r="I1658" s="313"/>
      <c r="J1658" s="352"/>
      <c r="K1658" s="69"/>
      <c r="L1658" s="318"/>
      <c r="M1658" s="116"/>
      <c r="N1658" s="319"/>
    </row>
    <row r="1659" spans="2:14" ht="15" x14ac:dyDescent="0.25">
      <c r="B1659" s="65"/>
      <c r="C1659" s="78"/>
      <c r="D1659" s="109"/>
      <c r="E1659" s="68"/>
      <c r="F1659" s="77"/>
      <c r="G1659" s="311"/>
      <c r="H1659" s="312"/>
      <c r="I1659" s="313"/>
      <c r="J1659" s="352"/>
      <c r="K1659" s="69"/>
      <c r="L1659" s="318"/>
      <c r="M1659" s="116"/>
      <c r="N1659" s="319"/>
    </row>
    <row r="1660" spans="2:14" ht="15" x14ac:dyDescent="0.25">
      <c r="B1660" s="65"/>
      <c r="C1660" s="78"/>
      <c r="D1660" s="109"/>
      <c r="E1660" s="68"/>
      <c r="F1660" s="77"/>
      <c r="G1660" s="311"/>
      <c r="H1660" s="312"/>
      <c r="I1660" s="313"/>
      <c r="J1660" s="352"/>
      <c r="K1660" s="69"/>
      <c r="L1660" s="318"/>
      <c r="M1660" s="116"/>
      <c r="N1660" s="319"/>
    </row>
    <row r="1661" spans="2:14" ht="15" x14ac:dyDescent="0.25">
      <c r="B1661" s="91"/>
      <c r="C1661" s="66"/>
      <c r="D1661" s="109"/>
      <c r="E1661" s="68"/>
      <c r="F1661" s="77"/>
      <c r="G1661" s="104"/>
      <c r="H1661" s="123"/>
      <c r="I1661" s="107"/>
      <c r="J1661" s="351"/>
      <c r="K1661" s="69"/>
      <c r="L1661" s="120"/>
      <c r="M1661" s="116"/>
      <c r="N1661" s="219"/>
    </row>
    <row r="1662" spans="2:14" ht="15" x14ac:dyDescent="0.25">
      <c r="B1662" s="65"/>
      <c r="C1662" s="78"/>
      <c r="D1662" s="109"/>
      <c r="E1662" s="68"/>
      <c r="F1662" s="77"/>
      <c r="G1662" s="311"/>
      <c r="H1662" s="312"/>
      <c r="I1662" s="313"/>
      <c r="J1662" s="352"/>
      <c r="K1662" s="69"/>
      <c r="L1662" s="318"/>
      <c r="M1662" s="116"/>
      <c r="N1662" s="319"/>
    </row>
    <row r="1663" spans="2:14" ht="15" x14ac:dyDescent="0.25">
      <c r="B1663" s="91"/>
      <c r="C1663" s="66"/>
      <c r="D1663" s="109"/>
      <c r="E1663" s="68"/>
      <c r="F1663" s="77"/>
      <c r="G1663" s="104"/>
      <c r="H1663" s="121"/>
      <c r="I1663" s="107"/>
      <c r="J1663" s="351"/>
      <c r="K1663" s="69"/>
      <c r="L1663" s="120"/>
      <c r="M1663" s="116"/>
      <c r="N1663" s="219"/>
    </row>
    <row r="1664" spans="2:14" ht="15" x14ac:dyDescent="0.25">
      <c r="B1664" s="37"/>
      <c r="C1664" s="66"/>
      <c r="D1664" s="109"/>
      <c r="E1664" s="68"/>
      <c r="F1664" s="77"/>
      <c r="G1664" s="104"/>
      <c r="H1664" s="121"/>
      <c r="I1664" s="107"/>
      <c r="J1664" s="351"/>
      <c r="K1664" s="69"/>
      <c r="L1664" s="120"/>
      <c r="M1664" s="116"/>
      <c r="N1664" s="219"/>
    </row>
    <row r="1665" spans="2:14" ht="15" x14ac:dyDescent="0.25">
      <c r="B1665" s="37"/>
      <c r="C1665" s="66"/>
      <c r="D1665" s="109"/>
      <c r="E1665" s="68"/>
      <c r="F1665" s="68"/>
      <c r="G1665" s="104"/>
      <c r="H1665" s="121"/>
      <c r="I1665" s="107"/>
      <c r="J1665" s="351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318"/>
      <c r="M1669" s="116"/>
      <c r="N1669" s="319"/>
    </row>
    <row r="1670" spans="2:14" ht="15" x14ac:dyDescent="0.25">
      <c r="B1670" s="65"/>
      <c r="C1670" s="78"/>
      <c r="D1670" s="109"/>
      <c r="E1670" s="68"/>
      <c r="F1670" s="77"/>
      <c r="G1670" s="311"/>
      <c r="H1670" s="312"/>
      <c r="I1670" s="313"/>
      <c r="J1670" s="352"/>
      <c r="K1670" s="69"/>
      <c r="L1670" s="318"/>
      <c r="M1670" s="116"/>
      <c r="N1670" s="319"/>
    </row>
    <row r="1671" spans="2:14" ht="15" x14ac:dyDescent="0.25">
      <c r="B1671" s="65"/>
      <c r="C1671" s="78"/>
      <c r="D1671" s="109"/>
      <c r="E1671" s="68"/>
      <c r="F1671" s="77"/>
      <c r="G1671" s="311"/>
      <c r="H1671" s="312"/>
      <c r="I1671" s="313"/>
      <c r="J1671" s="352"/>
      <c r="K1671" s="69"/>
      <c r="L1671" s="318"/>
      <c r="M1671" s="116"/>
      <c r="N1671" s="319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79"/>
      <c r="L1672" s="120"/>
      <c r="M1672" s="115"/>
      <c r="N1672" s="219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69"/>
      <c r="L1673" s="118"/>
      <c r="M1673" s="116"/>
      <c r="N1673" s="320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1"/>
      <c r="K1674" s="69"/>
      <c r="L1674" s="118"/>
      <c r="M1674" s="116"/>
      <c r="N1674" s="320"/>
    </row>
    <row r="1675" spans="2:14" ht="15" x14ac:dyDescent="0.25">
      <c r="B1675" s="37"/>
      <c r="C1675" s="66"/>
      <c r="D1675" s="109"/>
      <c r="E1675" s="68"/>
      <c r="F1675" s="77"/>
      <c r="G1675" s="104"/>
      <c r="H1675" s="121"/>
      <c r="I1675" s="107"/>
      <c r="J1675" s="351"/>
      <c r="K1675" s="114"/>
      <c r="L1675" s="118"/>
      <c r="M1675" s="117"/>
      <c r="N1675" s="320"/>
    </row>
    <row r="1676" spans="2:14" ht="15" x14ac:dyDescent="0.25">
      <c r="B1676" s="37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20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19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20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118"/>
      <c r="M1680" s="116"/>
      <c r="N1680" s="319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1"/>
      <c r="K1681" s="69"/>
      <c r="L1681" s="118"/>
      <c r="M1681" s="116"/>
      <c r="N1681" s="319"/>
    </row>
    <row r="1682" spans="2:14" ht="15" x14ac:dyDescent="0.25">
      <c r="B1682" s="91"/>
      <c r="C1682" s="66"/>
      <c r="D1682" s="109"/>
      <c r="E1682" s="68"/>
      <c r="F1682" s="77"/>
      <c r="G1682" s="104"/>
      <c r="H1682" s="121"/>
      <c r="I1682" s="107"/>
      <c r="J1682" s="351"/>
      <c r="K1682" s="69"/>
      <c r="L1682" s="118"/>
      <c r="M1682" s="116"/>
      <c r="N1682" s="319"/>
    </row>
    <row r="1683" spans="2:14" ht="15" x14ac:dyDescent="0.25">
      <c r="B1683" s="91"/>
      <c r="C1683" s="66"/>
      <c r="D1683" s="109"/>
      <c r="E1683" s="68"/>
      <c r="F1683" s="77"/>
      <c r="G1683" s="104"/>
      <c r="H1683" s="121"/>
      <c r="I1683" s="107"/>
      <c r="J1683" s="351"/>
      <c r="K1683" s="69"/>
      <c r="L1683" s="318"/>
      <c r="M1683" s="116"/>
      <c r="N1683" s="319"/>
    </row>
    <row r="1684" spans="2:14" ht="15" x14ac:dyDescent="0.25">
      <c r="B1684" s="91"/>
      <c r="C1684" s="78"/>
      <c r="D1684" s="109"/>
      <c r="E1684" s="68"/>
      <c r="F1684" s="77"/>
      <c r="G1684" s="311"/>
      <c r="H1684" s="312"/>
      <c r="I1684" s="313"/>
      <c r="J1684" s="352"/>
      <c r="K1684" s="69"/>
      <c r="L1684" s="318"/>
      <c r="M1684" s="116"/>
      <c r="N1684" s="319"/>
    </row>
    <row r="1685" spans="2:14" ht="15" x14ac:dyDescent="0.25">
      <c r="B1685" s="91"/>
      <c r="C1685" s="78"/>
      <c r="D1685" s="109"/>
      <c r="E1685" s="68"/>
      <c r="F1685" s="77"/>
      <c r="G1685" s="311"/>
      <c r="H1685" s="312"/>
      <c r="I1685" s="313"/>
      <c r="J1685" s="352"/>
      <c r="K1685" s="69"/>
      <c r="L1685" s="318"/>
      <c r="M1685" s="116"/>
      <c r="N1685" s="319"/>
    </row>
    <row r="1686" spans="2:14" ht="15" x14ac:dyDescent="0.25">
      <c r="B1686" s="91"/>
      <c r="C1686" s="66"/>
      <c r="D1686" s="109"/>
      <c r="E1686" s="68"/>
      <c r="F1686" s="68"/>
      <c r="G1686" s="104"/>
      <c r="H1686" s="121"/>
      <c r="I1686" s="107"/>
      <c r="J1686" s="351"/>
      <c r="K1686" s="69"/>
      <c r="L1686" s="118"/>
      <c r="M1686" s="116"/>
      <c r="N1686" s="320"/>
    </row>
    <row r="1687" spans="2:14" ht="15" x14ac:dyDescent="0.25">
      <c r="B1687" s="91"/>
      <c r="C1687" s="66"/>
      <c r="D1687" s="109"/>
      <c r="E1687" s="68"/>
      <c r="F1687" s="77"/>
      <c r="G1687" s="104"/>
      <c r="H1687" s="121"/>
      <c r="I1687" s="107"/>
      <c r="J1687" s="351"/>
      <c r="K1687" s="69"/>
      <c r="L1687" s="118"/>
      <c r="M1687" s="116"/>
      <c r="N1687" s="319"/>
    </row>
    <row r="1688" spans="2:14" ht="15" x14ac:dyDescent="0.25">
      <c r="B1688" s="91"/>
      <c r="C1688" s="66"/>
      <c r="D1688" s="109"/>
      <c r="E1688" s="68"/>
      <c r="F1688" s="77"/>
      <c r="G1688" s="104"/>
      <c r="H1688" s="121"/>
      <c r="I1688" s="107"/>
      <c r="J1688" s="351"/>
      <c r="K1688" s="69"/>
      <c r="L1688" s="118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318"/>
      <c r="M1689" s="116"/>
      <c r="N1689" s="319"/>
    </row>
    <row r="1690" spans="2:14" ht="15" x14ac:dyDescent="0.25">
      <c r="B1690" s="65"/>
      <c r="C1690" s="78"/>
      <c r="D1690" s="109"/>
      <c r="E1690" s="68"/>
      <c r="F1690" s="77"/>
      <c r="G1690" s="311"/>
      <c r="H1690" s="312"/>
      <c r="I1690" s="313"/>
      <c r="J1690" s="352"/>
      <c r="K1690" s="69"/>
      <c r="L1690" s="318"/>
      <c r="M1690" s="116"/>
      <c r="N1690" s="319"/>
    </row>
    <row r="1691" spans="2:14" ht="15" x14ac:dyDescent="0.25">
      <c r="B1691" s="65"/>
      <c r="C1691" s="78"/>
      <c r="D1691" s="109"/>
      <c r="E1691" s="68"/>
      <c r="F1691" s="77"/>
      <c r="G1691" s="311"/>
      <c r="H1691" s="312"/>
      <c r="I1691" s="313"/>
      <c r="J1691" s="352"/>
      <c r="K1691" s="69"/>
      <c r="L1691" s="216"/>
      <c r="M1691" s="116"/>
      <c r="N1691" s="319"/>
    </row>
    <row r="1692" spans="2:14" ht="15" x14ac:dyDescent="0.25">
      <c r="B1692" s="65"/>
      <c r="C1692" s="78"/>
      <c r="D1692" s="109"/>
      <c r="E1692" s="68"/>
      <c r="F1692" s="77"/>
      <c r="G1692" s="311"/>
      <c r="H1692" s="312"/>
      <c r="I1692" s="313"/>
      <c r="J1692" s="352"/>
      <c r="K1692" s="69"/>
      <c r="L1692" s="216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19"/>
    </row>
    <row r="1696" spans="2:14" ht="15" x14ac:dyDescent="0.25">
      <c r="B1696" s="91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19"/>
    </row>
    <row r="1697" spans="2:14" ht="15" x14ac:dyDescent="0.25">
      <c r="B1697" s="91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19"/>
    </row>
    <row r="1698" spans="2:14" ht="15" x14ac:dyDescent="0.25">
      <c r="B1698" s="91"/>
      <c r="C1698" s="78"/>
      <c r="D1698" s="100"/>
      <c r="E1698" s="101"/>
      <c r="F1698" s="77"/>
      <c r="G1698" s="311"/>
      <c r="H1698" s="321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19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19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19"/>
    </row>
    <row r="1702" spans="2:14" ht="15" x14ac:dyDescent="0.25">
      <c r="B1702" s="65"/>
      <c r="C1702" s="78"/>
      <c r="D1702" s="100"/>
      <c r="E1702" s="101"/>
      <c r="F1702" s="77"/>
      <c r="G1702" s="311"/>
      <c r="H1702" s="321"/>
      <c r="I1702" s="313"/>
      <c r="J1702" s="352"/>
      <c r="K1702" s="69"/>
      <c r="L1702" s="84"/>
      <c r="M1702" s="82"/>
      <c r="N1702" s="319"/>
    </row>
    <row r="1703" spans="2:14" ht="15" x14ac:dyDescent="0.25">
      <c r="B1703" s="65"/>
      <c r="C1703" s="66"/>
      <c r="D1703" s="100"/>
      <c r="E1703" s="101"/>
      <c r="F1703" s="77"/>
      <c r="G1703" s="104"/>
      <c r="H1703" s="106"/>
      <c r="I1703" s="107"/>
      <c r="J1703" s="351"/>
      <c r="K1703" s="69"/>
      <c r="L1703" s="84"/>
      <c r="M1703" s="82"/>
      <c r="N1703" s="319"/>
    </row>
    <row r="1704" spans="2:14" ht="15" x14ac:dyDescent="0.25">
      <c r="B1704" s="65"/>
      <c r="C1704" s="66"/>
      <c r="D1704" s="100"/>
      <c r="E1704" s="101"/>
      <c r="F1704" s="77"/>
      <c r="G1704" s="104"/>
      <c r="H1704" s="106"/>
      <c r="I1704" s="107"/>
      <c r="J1704" s="351"/>
      <c r="K1704" s="69"/>
      <c r="L1704" s="84"/>
      <c r="M1704" s="82"/>
      <c r="N1704" s="319"/>
    </row>
    <row r="1705" spans="2:14" ht="15" x14ac:dyDescent="0.25">
      <c r="B1705" s="65"/>
      <c r="C1705" s="78"/>
      <c r="D1705" s="100"/>
      <c r="E1705" s="101"/>
      <c r="F1705" s="77"/>
      <c r="G1705" s="311"/>
      <c r="H1705" s="321"/>
      <c r="I1705" s="313"/>
      <c r="J1705" s="352"/>
      <c r="K1705" s="69"/>
      <c r="L1705" s="84"/>
      <c r="M1705" s="82"/>
      <c r="N1705" s="319"/>
    </row>
    <row r="1706" spans="2:14" ht="15" x14ac:dyDescent="0.25">
      <c r="B1706" s="65"/>
      <c r="C1706" s="66"/>
      <c r="D1706" s="109"/>
      <c r="E1706" s="101"/>
      <c r="F1706" s="77"/>
      <c r="G1706" s="104"/>
      <c r="H1706" s="106"/>
      <c r="I1706" s="107"/>
      <c r="J1706" s="351"/>
      <c r="K1706" s="69"/>
      <c r="L1706" s="322"/>
      <c r="M1706" s="82"/>
      <c r="N1706" s="319"/>
    </row>
    <row r="1707" spans="2:14" ht="15" x14ac:dyDescent="0.25">
      <c r="B1707" s="65"/>
      <c r="C1707" s="66"/>
      <c r="D1707" s="100"/>
      <c r="E1707" s="101"/>
      <c r="F1707" s="77"/>
      <c r="G1707" s="104"/>
      <c r="H1707" s="106"/>
      <c r="I1707" s="107"/>
      <c r="J1707" s="351"/>
      <c r="K1707" s="69"/>
      <c r="L1707" s="84"/>
      <c r="M1707" s="82"/>
      <c r="N1707" s="319"/>
    </row>
    <row r="1708" spans="2:14" ht="15" x14ac:dyDescent="0.25">
      <c r="B1708" s="65"/>
      <c r="C1708" s="66"/>
      <c r="D1708" s="100"/>
      <c r="E1708" s="101"/>
      <c r="F1708" s="77"/>
      <c r="G1708" s="104"/>
      <c r="H1708" s="106"/>
      <c r="I1708" s="107"/>
      <c r="J1708" s="351"/>
      <c r="K1708" s="69"/>
      <c r="L1708" s="322"/>
      <c r="M1708" s="82"/>
      <c r="N1708" s="319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19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313"/>
      <c r="J1710" s="352"/>
      <c r="K1710" s="69"/>
      <c r="L1710" s="322"/>
      <c r="M1710" s="82"/>
      <c r="N1710" s="323"/>
    </row>
    <row r="1711" spans="2:14" ht="15" x14ac:dyDescent="0.25">
      <c r="B1711" s="65"/>
      <c r="C1711" s="78"/>
      <c r="D1711" s="100"/>
      <c r="E1711" s="101"/>
      <c r="F1711" s="77"/>
      <c r="G1711" s="311"/>
      <c r="H1711" s="321"/>
      <c r="I1711" s="313"/>
      <c r="J1711" s="352"/>
      <c r="K1711" s="69"/>
      <c r="L1711" s="322"/>
      <c r="M1711" s="82"/>
      <c r="N1711" s="323"/>
    </row>
    <row r="1712" spans="2:14" ht="15" x14ac:dyDescent="0.25">
      <c r="B1712" s="65"/>
      <c r="C1712" s="78"/>
      <c r="D1712" s="100"/>
      <c r="E1712" s="101"/>
      <c r="F1712" s="77"/>
      <c r="G1712" s="311"/>
      <c r="H1712" s="321"/>
      <c r="I1712" s="313"/>
      <c r="J1712" s="352"/>
      <c r="K1712" s="69"/>
      <c r="L1712" s="322"/>
      <c r="M1712" s="82"/>
      <c r="N1712" s="323"/>
    </row>
    <row r="1713" spans="2:14" ht="15" x14ac:dyDescent="0.25">
      <c r="B1713" s="65"/>
      <c r="C1713" s="78"/>
      <c r="D1713" s="100"/>
      <c r="E1713" s="101"/>
      <c r="F1713" s="77"/>
      <c r="G1713" s="311"/>
      <c r="H1713" s="321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66"/>
      <c r="D1717" s="100"/>
      <c r="E1717" s="101"/>
      <c r="F1717" s="77"/>
      <c r="G1717" s="104"/>
      <c r="H1717" s="106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66"/>
      <c r="D1718" s="100"/>
      <c r="E1718" s="101"/>
      <c r="F1718" s="77"/>
      <c r="G1718" s="104"/>
      <c r="H1718" s="106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66"/>
      <c r="D1719" s="100"/>
      <c r="E1719" s="101"/>
      <c r="F1719" s="68"/>
      <c r="G1719" s="104"/>
      <c r="H1719" s="106"/>
      <c r="I1719" s="107"/>
      <c r="J1719" s="351"/>
      <c r="K1719" s="69"/>
      <c r="L1719" s="84"/>
      <c r="M1719" s="82"/>
      <c r="N1719" s="323"/>
    </row>
    <row r="1720" spans="2:14" ht="15" x14ac:dyDescent="0.25">
      <c r="B1720" s="91"/>
      <c r="C1720" s="78"/>
      <c r="D1720" s="100"/>
      <c r="E1720" s="101"/>
      <c r="F1720" s="77"/>
      <c r="G1720" s="311"/>
      <c r="H1720" s="321"/>
      <c r="I1720" s="107"/>
      <c r="J1720" s="351"/>
      <c r="K1720" s="69"/>
      <c r="L1720" s="84"/>
      <c r="M1720" s="82"/>
      <c r="N1720" s="323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1"/>
      <c r="K1721" s="69"/>
      <c r="L1721" s="84"/>
      <c r="M1721" s="82"/>
      <c r="N1721" s="323"/>
    </row>
    <row r="1722" spans="2:14" ht="15" x14ac:dyDescent="0.25">
      <c r="B1722" s="91"/>
      <c r="C1722" s="66"/>
      <c r="D1722" s="100"/>
      <c r="E1722" s="101"/>
      <c r="F1722" s="77"/>
      <c r="G1722" s="104"/>
      <c r="H1722" s="106"/>
      <c r="I1722" s="107"/>
      <c r="J1722" s="351"/>
      <c r="K1722" s="70"/>
      <c r="L1722" s="84"/>
      <c r="M1722" s="82"/>
      <c r="N1722" s="323"/>
    </row>
    <row r="1723" spans="2:14" ht="15" x14ac:dyDescent="0.25">
      <c r="B1723" s="91"/>
      <c r="C1723" s="66"/>
      <c r="D1723" s="100"/>
      <c r="E1723" s="101"/>
      <c r="F1723" s="77"/>
      <c r="G1723" s="104"/>
      <c r="H1723" s="106"/>
      <c r="I1723" s="107"/>
      <c r="J1723" s="351"/>
      <c r="K1723" s="69"/>
      <c r="L1723" s="84"/>
      <c r="M1723" s="82"/>
      <c r="N1723" s="323"/>
    </row>
    <row r="1724" spans="2:14" ht="15" x14ac:dyDescent="0.25">
      <c r="B1724" s="91"/>
      <c r="C1724" s="78"/>
      <c r="D1724" s="100"/>
      <c r="E1724" s="101"/>
      <c r="F1724" s="68"/>
      <c r="G1724" s="311"/>
      <c r="H1724" s="321"/>
      <c r="I1724" s="107"/>
      <c r="J1724" s="351"/>
      <c r="K1724" s="69"/>
      <c r="L1724" s="84"/>
      <c r="M1724" s="82"/>
      <c r="N1724" s="323"/>
    </row>
    <row r="1725" spans="2:14" ht="15" x14ac:dyDescent="0.25">
      <c r="B1725" s="91"/>
      <c r="C1725" s="66"/>
      <c r="D1725" s="100"/>
      <c r="E1725" s="101"/>
      <c r="F1725" s="77"/>
      <c r="G1725" s="104"/>
      <c r="H1725" s="106"/>
      <c r="I1725" s="107"/>
      <c r="J1725" s="351"/>
      <c r="K1725" s="69"/>
      <c r="L1725" s="322"/>
      <c r="M1725" s="82"/>
      <c r="N1725" s="323"/>
    </row>
    <row r="1726" spans="2:14" ht="15" x14ac:dyDescent="0.25">
      <c r="B1726" s="65"/>
      <c r="C1726" s="78"/>
      <c r="D1726" s="100"/>
      <c r="E1726" s="101"/>
      <c r="F1726" s="77"/>
      <c r="G1726" s="311"/>
      <c r="H1726" s="321"/>
      <c r="I1726" s="313"/>
      <c r="J1726" s="352"/>
      <c r="K1726" s="69"/>
      <c r="L1726" s="322"/>
      <c r="M1726" s="82"/>
      <c r="N1726" s="323"/>
    </row>
    <row r="1727" spans="2:14" ht="15" x14ac:dyDescent="0.25">
      <c r="B1727" s="65"/>
      <c r="C1727" s="66"/>
      <c r="D1727" s="100"/>
      <c r="E1727" s="101"/>
      <c r="F1727" s="68"/>
      <c r="G1727" s="104"/>
      <c r="H1727" s="106"/>
      <c r="I1727" s="107"/>
      <c r="J1727" s="351"/>
      <c r="K1727" s="69"/>
      <c r="L1727" s="84"/>
      <c r="M1727" s="82"/>
      <c r="N1727" s="323"/>
    </row>
    <row r="1728" spans="2:14" ht="15" x14ac:dyDescent="0.25">
      <c r="B1728" s="65"/>
      <c r="C1728" s="66"/>
      <c r="D1728" s="100"/>
      <c r="E1728" s="101"/>
      <c r="F1728" s="77"/>
      <c r="G1728" s="104"/>
      <c r="H1728" s="106"/>
      <c r="I1728" s="107"/>
      <c r="J1728" s="351"/>
      <c r="K1728" s="69"/>
      <c r="L1728" s="84"/>
      <c r="M1728" s="82"/>
      <c r="N1728" s="323"/>
    </row>
    <row r="1729" spans="2:14" ht="15" x14ac:dyDescent="0.25">
      <c r="B1729" s="65"/>
      <c r="C1729" s="66"/>
      <c r="D1729" s="100"/>
      <c r="E1729" s="101"/>
      <c r="F1729" s="77"/>
      <c r="G1729" s="104"/>
      <c r="H1729" s="106"/>
      <c r="I1729" s="107"/>
      <c r="J1729" s="351"/>
      <c r="K1729" s="69"/>
      <c r="L1729" s="322"/>
      <c r="M1729" s="82"/>
      <c r="N1729" s="323"/>
    </row>
    <row r="1730" spans="2:14" ht="15" x14ac:dyDescent="0.25">
      <c r="B1730" s="65"/>
      <c r="C1730" s="66"/>
      <c r="D1730" s="100"/>
      <c r="E1730" s="101"/>
      <c r="F1730" s="77"/>
      <c r="G1730" s="104"/>
      <c r="H1730" s="106"/>
      <c r="I1730" s="107"/>
      <c r="J1730" s="351"/>
      <c r="K1730" s="69"/>
      <c r="L1730" s="322"/>
      <c r="M1730" s="82"/>
      <c r="N1730" s="323"/>
    </row>
    <row r="1731" spans="2:14" x14ac:dyDescent="0.2">
      <c r="B1731" s="65"/>
      <c r="C1731" s="78"/>
      <c r="D1731" s="100"/>
      <c r="E1731" s="101"/>
      <c r="F1731" s="77"/>
      <c r="G1731" s="311"/>
      <c r="H1731" s="321"/>
      <c r="I1731" s="324"/>
      <c r="J1731" s="354"/>
      <c r="K1731" s="69"/>
      <c r="L1731" s="84"/>
      <c r="M1731" s="82"/>
      <c r="N1731" s="323"/>
    </row>
    <row r="1732" spans="2:14" x14ac:dyDescent="0.2">
      <c r="B1732" s="65"/>
      <c r="C1732" s="78"/>
      <c r="D1732" s="100"/>
      <c r="E1732" s="101"/>
      <c r="F1732" s="77"/>
      <c r="G1732" s="311"/>
      <c r="H1732" s="321"/>
      <c r="I1732" s="324"/>
      <c r="J1732" s="354"/>
      <c r="K1732" s="69"/>
      <c r="L1732" s="84"/>
      <c r="M1732" s="82"/>
      <c r="N1732" s="323"/>
    </row>
    <row r="1733" spans="2:14" ht="15" x14ac:dyDescent="0.25">
      <c r="B1733" s="65"/>
      <c r="C1733" s="78"/>
      <c r="D1733" s="100"/>
      <c r="E1733" s="101"/>
      <c r="F1733" s="77"/>
      <c r="G1733" s="311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100"/>
      <c r="E1734" s="102"/>
      <c r="F1734" s="77"/>
      <c r="G1734" s="325"/>
      <c r="H1734" s="321"/>
      <c r="I1734" s="313"/>
      <c r="J1734" s="352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13"/>
      <c r="J1735" s="352"/>
      <c r="K1735" s="69"/>
      <c r="L1735" s="322"/>
      <c r="M1735" s="82"/>
      <c r="N1735" s="323"/>
    </row>
    <row r="1736" spans="2:14" ht="15" x14ac:dyDescent="0.25">
      <c r="B1736" s="65"/>
      <c r="C1736" s="78"/>
      <c r="D1736" s="97"/>
      <c r="E1736" s="67"/>
      <c r="F1736" s="77"/>
      <c r="G1736" s="325"/>
      <c r="H1736" s="321"/>
      <c r="I1736" s="313"/>
      <c r="J1736" s="352"/>
      <c r="K1736" s="69"/>
      <c r="L1736" s="322"/>
      <c r="M1736" s="82"/>
      <c r="N1736" s="323"/>
    </row>
    <row r="1737" spans="2:14" ht="15" x14ac:dyDescent="0.25">
      <c r="B1737" s="65"/>
      <c r="C1737" s="78"/>
      <c r="D1737" s="97"/>
      <c r="E1737" s="67"/>
      <c r="F1737" s="77"/>
      <c r="G1737" s="325"/>
      <c r="H1737" s="321"/>
      <c r="I1737" s="326"/>
      <c r="J1737" s="355"/>
      <c r="K1737" s="69"/>
      <c r="L1737" s="322"/>
      <c r="M1737" s="82"/>
      <c r="N1737" s="323"/>
    </row>
    <row r="1738" spans="2:14" ht="15" x14ac:dyDescent="0.25">
      <c r="B1738" s="65"/>
      <c r="C1738" s="78"/>
      <c r="D1738" s="97"/>
      <c r="E1738" s="67"/>
      <c r="F1738" s="77"/>
      <c r="G1738" s="325"/>
      <c r="H1738" s="321"/>
      <c r="I1738" s="326"/>
      <c r="J1738" s="355"/>
      <c r="K1738" s="69"/>
      <c r="L1738" s="322"/>
      <c r="M1738" s="82"/>
      <c r="N1738" s="323"/>
    </row>
    <row r="1739" spans="2:14" x14ac:dyDescent="0.2">
      <c r="B1739" s="65"/>
      <c r="C1739" s="66"/>
      <c r="D1739" s="90"/>
      <c r="E1739" s="67"/>
      <c r="F1739" s="77"/>
      <c r="G1739" s="77"/>
      <c r="H1739" s="106"/>
      <c r="I1739" s="94"/>
      <c r="J1739" s="356"/>
      <c r="K1739" s="80"/>
      <c r="L1739" s="84"/>
      <c r="M1739" s="82"/>
      <c r="N1739" s="327"/>
    </row>
    <row r="1740" spans="2:14" ht="15" x14ac:dyDescent="0.25">
      <c r="B1740" s="65"/>
      <c r="C1740" s="78"/>
      <c r="D1740" s="90"/>
      <c r="E1740" s="67"/>
      <c r="F1740" s="77"/>
      <c r="G1740" s="328"/>
      <c r="H1740" s="321"/>
      <c r="I1740" s="326"/>
      <c r="J1740" s="355"/>
      <c r="K1740" s="69"/>
      <c r="L1740" s="322"/>
      <c r="M1740" s="82"/>
      <c r="N1740" s="327"/>
    </row>
    <row r="1741" spans="2:14" ht="15" x14ac:dyDescent="0.25">
      <c r="B1741" s="65"/>
      <c r="C1741" s="66"/>
      <c r="D1741" s="90"/>
      <c r="E1741" s="67"/>
      <c r="F1741" s="77"/>
      <c r="G1741" s="77"/>
      <c r="H1741" s="106"/>
      <c r="I1741" s="95"/>
      <c r="J1741" s="357"/>
      <c r="K1741" s="80"/>
      <c r="L1741" s="84"/>
      <c r="M1741" s="82"/>
      <c r="N1741" s="327"/>
    </row>
    <row r="1742" spans="2:14" ht="15" x14ac:dyDescent="0.25">
      <c r="B1742" s="91"/>
      <c r="C1742" s="66"/>
      <c r="D1742" s="90"/>
      <c r="E1742" s="67"/>
      <c r="F1742" s="77"/>
      <c r="G1742" s="77"/>
      <c r="H1742" s="106"/>
      <c r="I1742" s="95"/>
      <c r="J1742" s="357"/>
      <c r="K1742" s="69"/>
      <c r="L1742" s="84"/>
      <c r="M1742" s="82"/>
      <c r="N1742" s="327"/>
    </row>
    <row r="1743" spans="2:14" x14ac:dyDescent="0.2">
      <c r="B1743" s="91"/>
      <c r="C1743" s="66"/>
      <c r="D1743" s="90"/>
      <c r="E1743" s="67"/>
      <c r="F1743" s="77"/>
      <c r="G1743" s="77"/>
      <c r="H1743" s="106"/>
      <c r="I1743" s="94"/>
      <c r="J1743" s="356"/>
      <c r="K1743" s="69"/>
      <c r="L1743" s="84"/>
      <c r="M1743" s="82"/>
      <c r="N1743" s="327"/>
    </row>
    <row r="1744" spans="2:14" x14ac:dyDescent="0.2">
      <c r="B1744" s="91"/>
      <c r="C1744" s="66"/>
      <c r="D1744" s="90"/>
      <c r="E1744" s="67"/>
      <c r="F1744" s="77"/>
      <c r="G1744" s="77"/>
      <c r="H1744" s="106"/>
      <c r="I1744" s="94"/>
      <c r="J1744" s="356"/>
      <c r="K1744" s="69"/>
      <c r="L1744" s="84"/>
      <c r="M1744" s="82"/>
      <c r="N1744" s="327"/>
    </row>
    <row r="1745" spans="2:14" ht="15" x14ac:dyDescent="0.25">
      <c r="B1745" s="91"/>
      <c r="C1745" s="66"/>
      <c r="D1745" s="90"/>
      <c r="E1745" s="67"/>
      <c r="F1745" s="77"/>
      <c r="G1745" s="77"/>
      <c r="H1745" s="106"/>
      <c r="I1745" s="95"/>
      <c r="J1745" s="357"/>
      <c r="K1745" s="80"/>
      <c r="L1745" s="84"/>
      <c r="M1745" s="82"/>
      <c r="N1745" s="327"/>
    </row>
    <row r="1746" spans="2:14" ht="15" x14ac:dyDescent="0.25">
      <c r="B1746" s="91"/>
      <c r="C1746" s="66"/>
      <c r="D1746" s="90"/>
      <c r="E1746" s="67"/>
      <c r="F1746" s="77"/>
      <c r="G1746" s="77"/>
      <c r="H1746" s="106"/>
      <c r="I1746" s="95"/>
      <c r="J1746" s="357"/>
      <c r="K1746" s="69"/>
      <c r="L1746" s="84"/>
      <c r="M1746" s="82"/>
      <c r="N1746" s="327"/>
    </row>
    <row r="1747" spans="2:14" ht="15" x14ac:dyDescent="0.25">
      <c r="B1747" s="91"/>
      <c r="C1747" s="78"/>
      <c r="D1747" s="90"/>
      <c r="E1747" s="67"/>
      <c r="F1747" s="77"/>
      <c r="G1747" s="328"/>
      <c r="H1747" s="321"/>
      <c r="I1747" s="326"/>
      <c r="J1747" s="355"/>
      <c r="K1747" s="69"/>
      <c r="L1747" s="84"/>
      <c r="M1747" s="82"/>
      <c r="N1747" s="327"/>
    </row>
    <row r="1748" spans="2:14" x14ac:dyDescent="0.2">
      <c r="B1748" s="91"/>
      <c r="C1748" s="66"/>
      <c r="D1748" s="90"/>
      <c r="E1748" s="67"/>
      <c r="F1748" s="77"/>
      <c r="G1748" s="77"/>
      <c r="H1748" s="106"/>
      <c r="I1748" s="94"/>
      <c r="J1748" s="356"/>
      <c r="K1748" s="69"/>
      <c r="L1748" s="84"/>
      <c r="M1748" s="82"/>
      <c r="N1748" s="327"/>
    </row>
    <row r="1749" spans="2:14" ht="15" x14ac:dyDescent="0.25">
      <c r="B1749" s="91"/>
      <c r="C1749" s="66"/>
      <c r="D1749" s="90"/>
      <c r="E1749" s="67"/>
      <c r="F1749" s="77"/>
      <c r="G1749" s="77"/>
      <c r="H1749" s="106"/>
      <c r="I1749" s="95"/>
      <c r="J1749" s="357"/>
      <c r="K1749" s="69"/>
      <c r="L1749" s="84"/>
      <c r="M1749" s="82"/>
      <c r="N1749" s="327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7"/>
      <c r="K1750" s="80"/>
      <c r="L1750" s="84"/>
      <c r="M1750" s="82"/>
      <c r="N1750" s="327"/>
    </row>
    <row r="1751" spans="2:14" x14ac:dyDescent="0.2">
      <c r="B1751" s="91"/>
      <c r="C1751" s="66"/>
      <c r="D1751" s="90"/>
      <c r="E1751" s="67"/>
      <c r="F1751" s="77"/>
      <c r="G1751" s="77"/>
      <c r="H1751" s="106"/>
      <c r="I1751" s="94"/>
      <c r="J1751" s="356"/>
      <c r="K1751" s="69"/>
      <c r="L1751" s="84"/>
      <c r="M1751" s="82"/>
      <c r="N1751" s="323"/>
    </row>
    <row r="1752" spans="2:14" ht="15" x14ac:dyDescent="0.25">
      <c r="B1752" s="91"/>
      <c r="C1752" s="66"/>
      <c r="D1752" s="90"/>
      <c r="E1752" s="67"/>
      <c r="F1752" s="77"/>
      <c r="G1752" s="77"/>
      <c r="H1752" s="106"/>
      <c r="I1752" s="95"/>
      <c r="J1752" s="357"/>
      <c r="K1752" s="69"/>
      <c r="L1752" s="322"/>
      <c r="M1752" s="82"/>
      <c r="N1752" s="323"/>
    </row>
    <row r="1753" spans="2:14" ht="15" x14ac:dyDescent="0.25">
      <c r="B1753" s="91"/>
      <c r="C1753" s="66"/>
      <c r="D1753" s="90"/>
      <c r="E1753" s="67"/>
      <c r="F1753" s="77"/>
      <c r="G1753" s="77"/>
      <c r="H1753" s="106"/>
      <c r="I1753" s="95"/>
      <c r="J1753" s="357"/>
      <c r="K1753" s="69"/>
      <c r="L1753" s="84"/>
      <c r="M1753" s="82"/>
      <c r="N1753" s="323"/>
    </row>
    <row r="1754" spans="2:14" ht="15" x14ac:dyDescent="0.25">
      <c r="B1754" s="65"/>
      <c r="C1754" s="78"/>
      <c r="D1754" s="90"/>
      <c r="E1754" s="67"/>
      <c r="F1754" s="77"/>
      <c r="G1754" s="328"/>
      <c r="H1754" s="321"/>
      <c r="I1754" s="326"/>
      <c r="J1754" s="355"/>
      <c r="K1754" s="69"/>
      <c r="L1754" s="322"/>
      <c r="M1754" s="82"/>
      <c r="N1754" s="323"/>
    </row>
    <row r="1755" spans="2:14" ht="15" x14ac:dyDescent="0.25">
      <c r="B1755" s="37"/>
      <c r="C1755" s="52"/>
      <c r="D1755" s="24"/>
      <c r="E1755" s="25"/>
      <c r="F1755" s="26"/>
      <c r="G1755" s="26"/>
      <c r="H1755" s="329"/>
      <c r="I1755" s="41"/>
      <c r="J1755" s="358"/>
      <c r="K1755" s="27"/>
      <c r="L1755" s="330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"/>
      <c r="M1756" s="34"/>
      <c r="N1756" s="331"/>
    </row>
    <row r="1757" spans="2:14" ht="15" x14ac:dyDescent="0.25">
      <c r="B1757" s="37"/>
      <c r="C1757" s="53"/>
      <c r="D1757" s="24"/>
      <c r="E1757" s="25"/>
      <c r="F1757" s="26"/>
      <c r="G1757" s="325"/>
      <c r="H1757" s="332"/>
      <c r="I1757" s="333"/>
      <c r="J1757" s="359"/>
      <c r="K1757" s="27"/>
      <c r="L1757" s="330"/>
      <c r="M1757" s="34"/>
      <c r="N1757" s="331"/>
    </row>
    <row r="1758" spans="2:14" ht="15" x14ac:dyDescent="0.25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31"/>
    </row>
    <row r="1759" spans="2:14" ht="15" x14ac:dyDescent="0.25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31"/>
    </row>
    <row r="1760" spans="2:14" ht="15" x14ac:dyDescent="0.25">
      <c r="B1760" s="30"/>
      <c r="C1760" s="52"/>
      <c r="D1760" s="24"/>
      <c r="E1760" s="25"/>
      <c r="F1760" s="26"/>
      <c r="G1760" s="26"/>
      <c r="H1760" s="329"/>
      <c r="I1760" s="41"/>
      <c r="J1760" s="358"/>
      <c r="K1760" s="27"/>
      <c r="L1760" s="330"/>
      <c r="M1760" s="34"/>
      <c r="N1760" s="331"/>
    </row>
    <row r="1761" spans="2:14" ht="15" x14ac:dyDescent="0.25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31"/>
    </row>
    <row r="1762" spans="2:14" ht="15" x14ac:dyDescent="0.25">
      <c r="B1762" s="37"/>
      <c r="C1762" s="5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31"/>
    </row>
    <row r="1763" spans="2:14" ht="15" x14ac:dyDescent="0.25">
      <c r="B1763" s="37"/>
      <c r="C1763" s="53"/>
      <c r="D1763" s="24"/>
      <c r="E1763" s="25"/>
      <c r="F1763" s="26"/>
      <c r="G1763" s="325"/>
      <c r="H1763" s="332"/>
      <c r="I1763" s="333"/>
      <c r="J1763" s="359"/>
      <c r="K1763" s="27"/>
      <c r="L1763" s="330"/>
      <c r="M1763" s="34"/>
      <c r="N1763" s="35"/>
    </row>
    <row r="1764" spans="2:14" ht="15" x14ac:dyDescent="0.25">
      <c r="B1764" s="30"/>
      <c r="C1764" s="23"/>
      <c r="D1764" s="24"/>
      <c r="E1764" s="25"/>
      <c r="F1764" s="26"/>
      <c r="G1764" s="325"/>
      <c r="H1764" s="332"/>
      <c r="I1764" s="333"/>
      <c r="J1764" s="359"/>
      <c r="K1764" s="27"/>
      <c r="L1764" s="330"/>
      <c r="M1764" s="34"/>
      <c r="N1764" s="35"/>
    </row>
    <row r="1765" spans="2:14" ht="15" x14ac:dyDescent="0.25">
      <c r="B1765" s="30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60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29"/>
      <c r="I1773" s="41"/>
      <c r="J1773" s="358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26"/>
      <c r="G1774" s="26"/>
      <c r="H1774" s="329"/>
      <c r="I1774" s="41"/>
      <c r="J1774" s="358"/>
      <c r="K1774" s="27"/>
      <c r="L1774" s="330"/>
      <c r="M1774" s="34"/>
      <c r="N1774" s="35"/>
    </row>
    <row r="1775" spans="2:14" x14ac:dyDescent="0.2">
      <c r="B1775" s="37"/>
      <c r="C1775" s="23"/>
      <c r="D1775" s="24"/>
      <c r="E1775" s="25"/>
      <c r="F1775" s="60"/>
      <c r="G1775" s="26"/>
      <c r="H1775" s="329"/>
      <c r="I1775" s="42"/>
      <c r="J1775" s="360"/>
      <c r="K1775" s="27"/>
      <c r="L1775" s="33"/>
      <c r="M1775" s="34"/>
      <c r="N1775" s="35"/>
    </row>
    <row r="1776" spans="2:14" ht="15" x14ac:dyDescent="0.25">
      <c r="B1776" s="37"/>
      <c r="C1776" s="52"/>
      <c r="D1776" s="24"/>
      <c r="E1776" s="25"/>
      <c r="F1776" s="26"/>
      <c r="G1776" s="26"/>
      <c r="H1776" s="329"/>
      <c r="I1776" s="41"/>
      <c r="J1776" s="358"/>
      <c r="K1776" s="27"/>
      <c r="L1776" s="33"/>
      <c r="M1776" s="34"/>
      <c r="N1776" s="35"/>
    </row>
    <row r="1777" spans="2:14" ht="15" x14ac:dyDescent="0.25">
      <c r="B1777" s="37"/>
      <c r="C1777" s="52"/>
      <c r="D1777" s="24"/>
      <c r="E1777" s="25"/>
      <c r="F1777" s="60"/>
      <c r="G1777" s="26"/>
      <c r="H1777" s="329"/>
      <c r="I1777" s="41"/>
      <c r="J1777" s="358"/>
      <c r="K1777" s="27"/>
      <c r="L1777" s="33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5"/>
      <c r="H1778" s="332"/>
      <c r="I1778" s="333"/>
      <c r="J1778" s="359"/>
      <c r="K1778" s="27"/>
      <c r="L1778" s="330"/>
      <c r="M1778" s="34"/>
      <c r="N1778" s="35"/>
    </row>
    <row r="1779" spans="2:14" ht="15" x14ac:dyDescent="0.25">
      <c r="B1779" s="30"/>
      <c r="C1779" s="52"/>
      <c r="D1779" s="24"/>
      <c r="E1779" s="25"/>
      <c r="F1779" s="26"/>
      <c r="G1779" s="26"/>
      <c r="H1779" s="329"/>
      <c r="I1779" s="41"/>
      <c r="J1779" s="358"/>
      <c r="K1779" s="27"/>
      <c r="L1779" s="33"/>
      <c r="M1779" s="34"/>
      <c r="N1779" s="35"/>
    </row>
    <row r="1780" spans="2:14" ht="15" x14ac:dyDescent="0.25">
      <c r="B1780" s="37"/>
      <c r="C1780" s="53"/>
      <c r="D1780" s="24"/>
      <c r="E1780" s="25"/>
      <c r="F1780" s="26"/>
      <c r="G1780" s="325"/>
      <c r="H1780" s="332"/>
      <c r="I1780" s="333"/>
      <c r="J1780" s="359"/>
      <c r="K1780" s="27"/>
      <c r="L1780" s="330"/>
      <c r="M1780" s="34"/>
      <c r="N1780" s="35"/>
    </row>
    <row r="1781" spans="2:14" ht="15" x14ac:dyDescent="0.25">
      <c r="B1781" s="37"/>
      <c r="C1781" s="53"/>
      <c r="D1781" s="24"/>
      <c r="E1781" s="25"/>
      <c r="F1781" s="26"/>
      <c r="G1781" s="325"/>
      <c r="H1781" s="332"/>
      <c r="I1781" s="333"/>
      <c r="J1781" s="359"/>
      <c r="K1781" s="27"/>
      <c r="L1781" s="330"/>
      <c r="M1781" s="34"/>
      <c r="N1781" s="35"/>
    </row>
    <row r="1782" spans="2:14" ht="15" x14ac:dyDescent="0.25">
      <c r="B1782" s="37"/>
      <c r="C1782" s="53"/>
      <c r="D1782" s="24"/>
      <c r="E1782" s="25"/>
      <c r="F1782" s="26"/>
      <c r="G1782" s="325"/>
      <c r="H1782" s="332"/>
      <c r="I1782" s="333"/>
      <c r="J1782" s="359"/>
      <c r="K1782" s="27"/>
      <c r="L1782" s="330"/>
      <c r="M1782" s="34"/>
      <c r="N1782" s="35"/>
    </row>
    <row r="1783" spans="2:14" ht="15" x14ac:dyDescent="0.25">
      <c r="B1783" s="30"/>
      <c r="C1783" s="52"/>
      <c r="D1783" s="24"/>
      <c r="E1783" s="25"/>
      <c r="F1783" s="26"/>
      <c r="G1783" s="26"/>
      <c r="H1783" s="329"/>
      <c r="I1783" s="41"/>
      <c r="J1783" s="358"/>
      <c r="K1783" s="27"/>
      <c r="L1783" s="33"/>
      <c r="M1783" s="34"/>
      <c r="N1783" s="35"/>
    </row>
    <row r="1784" spans="2:14" ht="15" x14ac:dyDescent="0.25">
      <c r="B1784" s="30"/>
      <c r="C1784" s="52"/>
      <c r="D1784" s="24"/>
      <c r="E1784" s="25"/>
      <c r="F1784" s="26"/>
      <c r="G1784" s="26"/>
      <c r="H1784" s="329"/>
      <c r="I1784" s="41"/>
      <c r="J1784" s="358"/>
      <c r="K1784" s="27"/>
      <c r="L1784" s="33"/>
      <c r="M1784" s="34"/>
      <c r="N1784" s="35"/>
    </row>
    <row r="1785" spans="2:14" ht="15" x14ac:dyDescent="0.25">
      <c r="B1785" s="30"/>
      <c r="C1785" s="52"/>
      <c r="D1785" s="24"/>
      <c r="E1785" s="25"/>
      <c r="F1785" s="26"/>
      <c r="G1785" s="26"/>
      <c r="H1785" s="329"/>
      <c r="I1785" s="41"/>
      <c r="J1785" s="358"/>
      <c r="K1785" s="27"/>
      <c r="L1785" s="33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5"/>
      <c r="H1786" s="332"/>
      <c r="I1786" s="333"/>
      <c r="J1786" s="359"/>
      <c r="K1786" s="27"/>
      <c r="L1786" s="330"/>
      <c r="M1786" s="34"/>
      <c r="N1786" s="35"/>
    </row>
    <row r="1787" spans="2:14" ht="15" x14ac:dyDescent="0.25">
      <c r="B1787" s="37"/>
      <c r="C1787" s="53"/>
      <c r="D1787" s="24"/>
      <c r="E1787" s="25"/>
      <c r="F1787" s="26"/>
      <c r="G1787" s="325"/>
      <c r="H1787" s="332"/>
      <c r="I1787" s="333"/>
      <c r="J1787" s="359"/>
      <c r="K1787" s="27"/>
      <c r="L1787" s="330"/>
      <c r="M1787" s="34"/>
      <c r="N1787" s="35"/>
    </row>
    <row r="1788" spans="2:14" ht="15" x14ac:dyDescent="0.25">
      <c r="B1788" s="37"/>
      <c r="C1788" s="53"/>
      <c r="D1788" s="24"/>
      <c r="E1788" s="25"/>
      <c r="F1788" s="26"/>
      <c r="G1788" s="325"/>
      <c r="H1788" s="332"/>
      <c r="I1788" s="333"/>
      <c r="J1788" s="359"/>
      <c r="K1788" s="27"/>
      <c r="L1788" s="330"/>
      <c r="M1788" s="34"/>
      <c r="N1788" s="35"/>
    </row>
    <row r="1789" spans="2:14" ht="15" x14ac:dyDescent="0.25">
      <c r="B1789" s="30"/>
      <c r="C1789" s="52"/>
      <c r="D1789" s="24"/>
      <c r="E1789" s="25"/>
      <c r="F1789" s="26"/>
      <c r="G1789" s="26"/>
      <c r="H1789" s="329"/>
      <c r="I1789" s="41"/>
      <c r="J1789" s="358"/>
      <c r="K1789" s="27"/>
      <c r="L1789" s="33"/>
      <c r="M1789" s="34"/>
      <c r="N1789" s="35"/>
    </row>
    <row r="1790" spans="2:14" ht="15" x14ac:dyDescent="0.25">
      <c r="B1790" s="30"/>
      <c r="C1790" s="23"/>
      <c r="D1790" s="24"/>
      <c r="E1790" s="25"/>
      <c r="F1790" s="26"/>
      <c r="G1790" s="26"/>
      <c r="H1790" s="329"/>
      <c r="I1790" s="41"/>
      <c r="J1790" s="358"/>
      <c r="K1790" s="36"/>
      <c r="L1790" s="33"/>
      <c r="M1790" s="34"/>
      <c r="N1790" s="35"/>
    </row>
    <row r="1791" spans="2:14" ht="15" x14ac:dyDescent="0.25">
      <c r="B1791" s="30"/>
      <c r="C1791" s="23"/>
      <c r="D1791" s="24"/>
      <c r="E1791" s="25"/>
      <c r="F1791" s="26"/>
      <c r="G1791" s="325"/>
      <c r="H1791" s="332"/>
      <c r="I1791" s="333"/>
      <c r="J1791" s="359"/>
      <c r="K1791" s="27"/>
      <c r="L1791" s="33"/>
      <c r="M1791" s="34"/>
      <c r="N1791" s="35"/>
    </row>
    <row r="1792" spans="2:14" ht="15" x14ac:dyDescent="0.25">
      <c r="B1792" s="30"/>
      <c r="C1792" s="52"/>
      <c r="D1792" s="24"/>
      <c r="E1792" s="25"/>
      <c r="F1792" s="26"/>
      <c r="G1792" s="26"/>
      <c r="H1792" s="329"/>
      <c r="I1792" s="41"/>
      <c r="J1792" s="358"/>
      <c r="K1792" s="27"/>
      <c r="L1792" s="33"/>
      <c r="M1792" s="34"/>
      <c r="N1792" s="35"/>
    </row>
    <row r="1793" spans="2:14" x14ac:dyDescent="0.2">
      <c r="B1793" s="37"/>
      <c r="C1793" s="52"/>
      <c r="D1793" s="24"/>
      <c r="E1793" s="25"/>
      <c r="F1793" s="26"/>
      <c r="G1793" s="26"/>
      <c r="H1793" s="329"/>
      <c r="I1793" s="42"/>
      <c r="J1793" s="360"/>
      <c r="K1793" s="27"/>
      <c r="L1793" s="33"/>
      <c r="M1793" s="34"/>
      <c r="N1793" s="35"/>
    </row>
    <row r="1794" spans="2:14" ht="15" x14ac:dyDescent="0.25">
      <c r="B1794" s="37"/>
      <c r="C1794" s="52"/>
      <c r="D1794" s="24"/>
      <c r="E1794" s="25"/>
      <c r="F1794" s="60"/>
      <c r="G1794" s="26"/>
      <c r="H1794" s="329"/>
      <c r="I1794" s="41"/>
      <c r="J1794" s="358"/>
      <c r="K1794" s="27"/>
      <c r="L1794" s="33"/>
      <c r="M1794" s="34"/>
      <c r="N1794" s="35"/>
    </row>
    <row r="1795" spans="2:14" ht="15" x14ac:dyDescent="0.25">
      <c r="B1795" s="37"/>
      <c r="C1795" s="52"/>
      <c r="D1795" s="24"/>
      <c r="E1795" s="25"/>
      <c r="F1795" s="26"/>
      <c r="G1795" s="26"/>
      <c r="H1795" s="329"/>
      <c r="I1795" s="41"/>
      <c r="J1795" s="358"/>
      <c r="K1795" s="27"/>
      <c r="L1795" s="33"/>
      <c r="M1795" s="34"/>
      <c r="N1795" s="35"/>
    </row>
    <row r="1796" spans="2:14" x14ac:dyDescent="0.2">
      <c r="B1796" s="37"/>
      <c r="C1796" s="52"/>
      <c r="D1796" s="24"/>
      <c r="E1796" s="25"/>
      <c r="F1796" s="26"/>
      <c r="G1796" s="26"/>
      <c r="H1796" s="329"/>
      <c r="I1796" s="42"/>
      <c r="J1796" s="360"/>
      <c r="K1796" s="27"/>
      <c r="L1796" s="33"/>
      <c r="M1796" s="34"/>
      <c r="N1796" s="35"/>
    </row>
    <row r="1797" spans="2:14" ht="15" x14ac:dyDescent="0.25">
      <c r="B1797" s="37"/>
      <c r="C1797" s="53"/>
      <c r="D1797" s="24"/>
      <c r="E1797" s="25"/>
      <c r="F1797" s="26"/>
      <c r="G1797" s="325"/>
      <c r="H1797" s="332"/>
      <c r="I1797" s="333"/>
      <c r="J1797" s="359"/>
      <c r="K1797" s="27"/>
      <c r="L1797" s="330"/>
      <c r="M1797" s="34"/>
      <c r="N1797" s="35"/>
    </row>
    <row r="1798" spans="2:14" x14ac:dyDescent="0.2">
      <c r="B1798" s="37"/>
      <c r="C1798" s="52"/>
      <c r="D1798" s="24"/>
      <c r="E1798" s="25"/>
      <c r="F1798" s="26"/>
      <c r="G1798" s="26"/>
      <c r="H1798" s="329"/>
      <c r="I1798" s="42"/>
      <c r="J1798" s="360"/>
      <c r="K1798" s="27"/>
      <c r="L1798" s="33"/>
      <c r="M1798" s="34"/>
      <c r="N1798" s="35"/>
    </row>
    <row r="1799" spans="2:14" x14ac:dyDescent="0.2">
      <c r="B1799" s="37"/>
      <c r="C1799" s="23"/>
      <c r="D1799" s="24"/>
      <c r="E1799" s="25"/>
      <c r="F1799" s="26"/>
      <c r="G1799" s="325"/>
      <c r="H1799" s="332"/>
      <c r="I1799" s="334"/>
      <c r="J1799" s="361"/>
      <c r="K1799" s="27"/>
      <c r="L1799" s="33"/>
      <c r="M1799" s="34"/>
      <c r="N1799" s="35"/>
    </row>
    <row r="1800" spans="2:14" x14ac:dyDescent="0.2">
      <c r="B1800" s="37"/>
      <c r="C1800" s="52"/>
      <c r="D1800" s="24"/>
      <c r="E1800" s="25"/>
      <c r="F1800" s="26"/>
      <c r="G1800" s="26"/>
      <c r="H1800" s="329"/>
      <c r="I1800" s="42"/>
      <c r="J1800" s="360"/>
      <c r="K1800" s="36"/>
      <c r="L1800" s="33"/>
      <c r="M1800" s="34"/>
      <c r="N1800" s="35"/>
    </row>
    <row r="1801" spans="2:14" x14ac:dyDescent="0.2">
      <c r="B1801" s="37"/>
      <c r="C1801" s="53"/>
      <c r="D1801" s="24"/>
      <c r="E1801" s="25"/>
      <c r="F1801" s="26"/>
      <c r="G1801" s="26"/>
      <c r="H1801" s="329"/>
      <c r="I1801" s="334"/>
      <c r="J1801" s="361"/>
      <c r="K1801" s="36"/>
      <c r="L1801" s="330"/>
      <c r="M1801" s="34"/>
      <c r="N1801" s="35"/>
    </row>
    <row r="1802" spans="2:14" ht="15" x14ac:dyDescent="0.25">
      <c r="B1802" s="37"/>
      <c r="C1802" s="52"/>
      <c r="D1802" s="24"/>
      <c r="E1802" s="25"/>
      <c r="F1802" s="26"/>
      <c r="G1802" s="26"/>
      <c r="H1802" s="329"/>
      <c r="I1802" s="41"/>
      <c r="J1802" s="358"/>
      <c r="K1802" s="27"/>
      <c r="L1802" s="330"/>
      <c r="M1802" s="34"/>
      <c r="N1802" s="35"/>
    </row>
    <row r="1803" spans="2:14" ht="15" x14ac:dyDescent="0.25">
      <c r="B1803" s="37"/>
      <c r="C1803" s="52"/>
      <c r="D1803" s="24"/>
      <c r="E1803" s="25"/>
      <c r="F1803" s="26"/>
      <c r="G1803" s="26"/>
      <c r="H1803" s="329"/>
      <c r="I1803" s="41"/>
      <c r="J1803" s="358"/>
      <c r="K1803" s="27"/>
      <c r="L1803" s="33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26"/>
      <c r="H1804" s="329"/>
      <c r="I1804" s="333"/>
      <c r="J1804" s="359"/>
      <c r="K1804" s="36"/>
      <c r="L1804" s="33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5"/>
      <c r="H1805" s="332"/>
      <c r="I1805" s="333"/>
      <c r="J1805" s="359"/>
      <c r="K1805" s="27"/>
      <c r="L1805" s="330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5"/>
      <c r="H1806" s="332"/>
      <c r="I1806" s="333"/>
      <c r="J1806" s="359"/>
      <c r="K1806" s="27"/>
      <c r="L1806" s="330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5"/>
      <c r="H1807" s="332"/>
      <c r="I1807" s="333"/>
      <c r="J1807" s="359"/>
      <c r="K1807" s="27"/>
      <c r="L1807" s="330"/>
      <c r="M1807" s="34"/>
      <c r="N1807" s="35"/>
    </row>
    <row r="1808" spans="2:14" ht="15" x14ac:dyDescent="0.25">
      <c r="B1808" s="30"/>
      <c r="C1808" s="52"/>
      <c r="D1808" s="24"/>
      <c r="E1808" s="25"/>
      <c r="F1808" s="26"/>
      <c r="G1808" s="26"/>
      <c r="H1808" s="329"/>
      <c r="I1808" s="41"/>
      <c r="J1808" s="358"/>
      <c r="K1808" s="27"/>
      <c r="L1808" s="33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5"/>
      <c r="H1810" s="332"/>
      <c r="I1810" s="333"/>
      <c r="J1810" s="359"/>
      <c r="K1810" s="27"/>
      <c r="L1810" s="330"/>
      <c r="M1810" s="34"/>
      <c r="N1810" s="35"/>
    </row>
    <row r="1811" spans="2:14" ht="15" x14ac:dyDescent="0.25">
      <c r="B1811" s="37"/>
      <c r="C1811" s="53"/>
      <c r="D1811" s="24"/>
      <c r="E1811" s="25"/>
      <c r="F1811" s="26"/>
      <c r="G1811" s="325"/>
      <c r="H1811" s="332"/>
      <c r="I1811" s="333"/>
      <c r="J1811" s="359"/>
      <c r="K1811" s="27"/>
      <c r="L1811" s="330"/>
      <c r="M1811" s="34"/>
      <c r="N1811" s="35"/>
    </row>
    <row r="1812" spans="2:14" ht="15" x14ac:dyDescent="0.25">
      <c r="B1812" s="37"/>
      <c r="C1812" s="53"/>
      <c r="D1812" s="24"/>
      <c r="E1812" s="25"/>
      <c r="F1812" s="26"/>
      <c r="G1812" s="325"/>
      <c r="H1812" s="332"/>
      <c r="I1812" s="333"/>
      <c r="J1812" s="359"/>
      <c r="K1812" s="27"/>
      <c r="L1812" s="330"/>
      <c r="M1812" s="34"/>
      <c r="N1812" s="35"/>
    </row>
    <row r="1813" spans="2:14" ht="15" x14ac:dyDescent="0.25">
      <c r="B1813" s="30"/>
      <c r="C1813" s="52"/>
      <c r="D1813" s="24"/>
      <c r="E1813" s="25"/>
      <c r="F1813" s="26"/>
      <c r="G1813" s="26"/>
      <c r="H1813" s="329"/>
      <c r="I1813" s="41"/>
      <c r="J1813" s="358"/>
      <c r="K1813" s="36"/>
      <c r="L1813" s="33"/>
      <c r="M1813" s="34"/>
      <c r="N1813" s="35"/>
    </row>
    <row r="1814" spans="2:14" ht="15" x14ac:dyDescent="0.25">
      <c r="B1814" s="30"/>
      <c r="C1814" s="52"/>
      <c r="D1814" s="24"/>
      <c r="E1814" s="25"/>
      <c r="F1814" s="26"/>
      <c r="G1814" s="26"/>
      <c r="H1814" s="329"/>
      <c r="I1814" s="41"/>
      <c r="J1814" s="358"/>
      <c r="K1814" s="36"/>
      <c r="L1814" s="33"/>
      <c r="M1814" s="34"/>
      <c r="N1814" s="35"/>
    </row>
    <row r="1815" spans="2:14" ht="15" x14ac:dyDescent="0.25">
      <c r="B1815" s="30"/>
      <c r="C1815" s="23"/>
      <c r="D1815" s="24"/>
      <c r="E1815" s="25"/>
      <c r="F1815" s="26"/>
      <c r="G1815" s="26"/>
      <c r="H1815" s="329"/>
      <c r="I1815" s="41"/>
      <c r="J1815" s="358"/>
      <c r="K1815" s="36"/>
      <c r="L1815" s="33"/>
      <c r="M1815" s="34"/>
      <c r="N1815" s="35"/>
    </row>
    <row r="1816" spans="2:14" ht="15" x14ac:dyDescent="0.25">
      <c r="B1816" s="30"/>
      <c r="C1816" s="23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52"/>
      <c r="D1817" s="24"/>
      <c r="E1817" s="25"/>
      <c r="F1817" s="26"/>
      <c r="G1817" s="26"/>
      <c r="H1817" s="329"/>
      <c r="I1817" s="41"/>
      <c r="J1817" s="358"/>
      <c r="K1817" s="27"/>
      <c r="L1817" s="33"/>
      <c r="M1817" s="34"/>
      <c r="N1817" s="35"/>
    </row>
    <row r="1818" spans="2:14" ht="15" x14ac:dyDescent="0.25">
      <c r="B1818" s="30"/>
      <c r="C1818" s="23"/>
      <c r="D1818" s="24"/>
      <c r="E1818" s="25"/>
      <c r="F1818" s="26"/>
      <c r="G1818" s="26"/>
      <c r="H1818" s="329"/>
      <c r="I1818" s="41"/>
      <c r="J1818" s="358"/>
      <c r="K1818" s="27"/>
      <c r="L1818" s="33"/>
      <c r="M1818" s="34"/>
      <c r="N1818" s="35"/>
    </row>
    <row r="1819" spans="2:14" ht="15" x14ac:dyDescent="0.25">
      <c r="B1819" s="30"/>
      <c r="C1819" s="52"/>
      <c r="D1819" s="24"/>
      <c r="E1819" s="25"/>
      <c r="F1819" s="26"/>
      <c r="G1819" s="26"/>
      <c r="H1819" s="329"/>
      <c r="I1819" s="41"/>
      <c r="J1819" s="358"/>
      <c r="K1819" s="27"/>
      <c r="L1819" s="33"/>
      <c r="M1819" s="34"/>
      <c r="N1819" s="35"/>
    </row>
    <row r="1820" spans="2:14" ht="15" x14ac:dyDescent="0.25">
      <c r="B1820" s="30"/>
      <c r="C1820" s="53"/>
      <c r="D1820" s="24"/>
      <c r="E1820" s="25"/>
      <c r="F1820" s="26"/>
      <c r="G1820" s="325"/>
      <c r="H1820" s="332"/>
      <c r="I1820" s="333"/>
      <c r="J1820" s="359"/>
      <c r="K1820" s="36"/>
      <c r="L1820" s="33"/>
      <c r="M1820" s="34"/>
      <c r="N1820" s="35"/>
    </row>
    <row r="1821" spans="2:14" ht="15" x14ac:dyDescent="0.25">
      <c r="B1821" s="30"/>
      <c r="C1821" s="52"/>
      <c r="D1821" s="24"/>
      <c r="E1821" s="25"/>
      <c r="F1821" s="26"/>
      <c r="G1821" s="26"/>
      <c r="H1821" s="329"/>
      <c r="I1821" s="41"/>
      <c r="J1821" s="358"/>
      <c r="K1821" s="27"/>
      <c r="L1821" s="33"/>
      <c r="M1821" s="34"/>
      <c r="N1821" s="35"/>
    </row>
    <row r="1822" spans="2:14" ht="15" x14ac:dyDescent="0.25">
      <c r="B1822" s="30"/>
      <c r="C1822" s="52"/>
      <c r="D1822" s="24"/>
      <c r="E1822" s="25"/>
      <c r="F1822" s="26"/>
      <c r="G1822" s="26"/>
      <c r="H1822" s="329"/>
      <c r="I1822" s="41"/>
      <c r="J1822" s="358"/>
      <c r="K1822" s="36"/>
      <c r="L1822" s="33"/>
      <c r="M1822" s="34"/>
      <c r="N1822" s="35"/>
    </row>
    <row r="1823" spans="2:14" ht="15" x14ac:dyDescent="0.25">
      <c r="B1823" s="37"/>
      <c r="C1823" s="52"/>
      <c r="D1823" s="24"/>
      <c r="E1823" s="25"/>
      <c r="F1823" s="26"/>
      <c r="G1823" s="26"/>
      <c r="H1823" s="329"/>
      <c r="I1823" s="41"/>
      <c r="J1823" s="358"/>
      <c r="K1823" s="27"/>
      <c r="L1823" s="33"/>
      <c r="M1823" s="34"/>
      <c r="N1823" s="35"/>
    </row>
    <row r="1824" spans="2:14" x14ac:dyDescent="0.2">
      <c r="B1824" s="37"/>
      <c r="C1824" s="23"/>
      <c r="D1824" s="24"/>
      <c r="E1824" s="25"/>
      <c r="F1824" s="26"/>
      <c r="G1824" s="26"/>
      <c r="H1824" s="329"/>
      <c r="I1824" s="42"/>
      <c r="J1824" s="360"/>
      <c r="K1824" s="36"/>
      <c r="L1824" s="33"/>
      <c r="M1824" s="34"/>
      <c r="N1824" s="35"/>
    </row>
    <row r="1825" spans="2:14" x14ac:dyDescent="0.2">
      <c r="B1825" s="37"/>
      <c r="C1825" s="23"/>
      <c r="D1825" s="24"/>
      <c r="E1825" s="25"/>
      <c r="F1825" s="26"/>
      <c r="G1825" s="26"/>
      <c r="H1825" s="329"/>
      <c r="I1825" s="42"/>
      <c r="J1825" s="360"/>
      <c r="K1825" s="36"/>
      <c r="L1825" s="33"/>
      <c r="M1825" s="34"/>
      <c r="N1825" s="35"/>
    </row>
    <row r="1826" spans="2:14" ht="15" x14ac:dyDescent="0.25">
      <c r="B1826" s="37"/>
      <c r="C1826" s="23"/>
      <c r="D1826" s="24"/>
      <c r="E1826" s="25"/>
      <c r="F1826" s="26"/>
      <c r="G1826" s="26"/>
      <c r="H1826" s="329"/>
      <c r="I1826" s="41"/>
      <c r="J1826" s="358"/>
      <c r="K1826" s="27"/>
      <c r="L1826" s="33"/>
      <c r="M1826" s="34"/>
      <c r="N1826" s="35"/>
    </row>
    <row r="1827" spans="2:14" x14ac:dyDescent="0.2">
      <c r="B1827" s="37"/>
      <c r="C1827" s="52"/>
      <c r="D1827" s="24"/>
      <c r="E1827" s="25"/>
      <c r="F1827" s="26"/>
      <c r="G1827" s="26"/>
      <c r="H1827" s="329"/>
      <c r="I1827" s="42"/>
      <c r="J1827" s="360"/>
      <c r="K1827" s="36"/>
      <c r="L1827" s="33"/>
      <c r="M1827" s="34"/>
      <c r="N1827" s="35"/>
    </row>
    <row r="1828" spans="2:14" ht="15" x14ac:dyDescent="0.25">
      <c r="B1828" s="37"/>
      <c r="C1828" s="52"/>
      <c r="D1828" s="24"/>
      <c r="E1828" s="25"/>
      <c r="F1828" s="26"/>
      <c r="G1828" s="26"/>
      <c r="H1828" s="329"/>
      <c r="I1828" s="41"/>
      <c r="J1828" s="358"/>
      <c r="K1828" s="27"/>
      <c r="L1828" s="33"/>
      <c r="M1828" s="34"/>
      <c r="N1828" s="35"/>
    </row>
    <row r="1829" spans="2:14" x14ac:dyDescent="0.2">
      <c r="B1829" s="37"/>
      <c r="C1829" s="52"/>
      <c r="D1829" s="24"/>
      <c r="E1829" s="25"/>
      <c r="F1829" s="26"/>
      <c r="G1829" s="26"/>
      <c r="H1829" s="329"/>
      <c r="I1829" s="42"/>
      <c r="J1829" s="360"/>
      <c r="K1829" s="36"/>
      <c r="L1829" s="330"/>
      <c r="M1829" s="34"/>
      <c r="N1829" s="35"/>
    </row>
    <row r="1830" spans="2:14" ht="15" x14ac:dyDescent="0.25">
      <c r="B1830" s="37"/>
      <c r="C1830" s="23"/>
      <c r="D1830" s="24"/>
      <c r="E1830" s="25"/>
      <c r="F1830" s="26"/>
      <c r="G1830" s="26"/>
      <c r="H1830" s="329"/>
      <c r="I1830" s="41"/>
      <c r="J1830" s="358"/>
      <c r="K1830" s="27"/>
      <c r="L1830" s="330"/>
      <c r="M1830" s="34"/>
      <c r="N1830" s="35"/>
    </row>
    <row r="1831" spans="2:14" ht="15" x14ac:dyDescent="0.25">
      <c r="B1831" s="37"/>
      <c r="C1831" s="23"/>
      <c r="D1831" s="24"/>
      <c r="E1831" s="25"/>
      <c r="F1831" s="26"/>
      <c r="G1831" s="26"/>
      <c r="H1831" s="329"/>
      <c r="I1831" s="41"/>
      <c r="J1831" s="358"/>
      <c r="K1831" s="27"/>
      <c r="L1831" s="330"/>
      <c r="M1831" s="34"/>
      <c r="N1831" s="35"/>
    </row>
    <row r="1832" spans="2:14" x14ac:dyDescent="0.2">
      <c r="B1832" s="37"/>
      <c r="C1832" s="23"/>
      <c r="D1832" s="24"/>
      <c r="E1832" s="25"/>
      <c r="F1832" s="26"/>
      <c r="G1832" s="325"/>
      <c r="H1832" s="332"/>
      <c r="I1832" s="334"/>
      <c r="J1832" s="361"/>
      <c r="K1832" s="27"/>
      <c r="L1832" s="33"/>
      <c r="M1832" s="34"/>
      <c r="N1832" s="35"/>
    </row>
    <row r="1833" spans="2:14" ht="15" x14ac:dyDescent="0.25">
      <c r="B1833" s="37"/>
      <c r="C1833" s="53"/>
      <c r="D1833" s="24"/>
      <c r="E1833" s="25"/>
      <c r="F1833" s="26"/>
      <c r="G1833" s="325"/>
      <c r="H1833" s="332"/>
      <c r="I1833" s="333"/>
      <c r="J1833" s="359"/>
      <c r="K1833" s="27"/>
      <c r="L1833" s="330"/>
      <c r="M1833" s="34"/>
      <c r="N1833" s="35"/>
    </row>
    <row r="1834" spans="2:14" ht="15" x14ac:dyDescent="0.25">
      <c r="B1834" s="37"/>
      <c r="C1834" s="53"/>
      <c r="D1834" s="24"/>
      <c r="E1834" s="25"/>
      <c r="F1834" s="26"/>
      <c r="G1834" s="325"/>
      <c r="H1834" s="332"/>
      <c r="I1834" s="333"/>
      <c r="J1834" s="359"/>
      <c r="K1834" s="27"/>
      <c r="L1834" s="330"/>
      <c r="M1834" s="34"/>
      <c r="N1834" s="35"/>
    </row>
    <row r="1835" spans="2:14" ht="15" x14ac:dyDescent="0.25">
      <c r="B1835" s="37"/>
      <c r="C1835" s="52"/>
      <c r="D1835" s="24"/>
      <c r="E1835" s="25"/>
      <c r="F1835" s="26"/>
      <c r="G1835" s="26"/>
      <c r="H1835" s="329"/>
      <c r="I1835" s="41"/>
      <c r="J1835" s="358"/>
      <c r="K1835" s="27"/>
      <c r="L1835" s="33"/>
      <c r="M1835" s="34"/>
      <c r="N1835" s="35"/>
    </row>
    <row r="1836" spans="2:14" x14ac:dyDescent="0.2">
      <c r="B1836" s="37"/>
      <c r="C1836" s="23"/>
      <c r="D1836" s="24"/>
      <c r="E1836" s="25"/>
      <c r="F1836" s="26"/>
      <c r="G1836" s="325"/>
      <c r="H1836" s="332"/>
      <c r="I1836" s="334"/>
      <c r="J1836" s="361"/>
      <c r="K1836" s="27"/>
      <c r="L1836" s="33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7"/>
      <c r="C1839" s="53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ht="15" x14ac:dyDescent="0.25">
      <c r="B1840" s="37"/>
      <c r="C1840" s="53"/>
      <c r="D1840" s="24"/>
      <c r="E1840" s="25"/>
      <c r="F1840" s="26"/>
      <c r="G1840" s="325"/>
      <c r="H1840" s="332"/>
      <c r="I1840" s="333"/>
      <c r="J1840" s="359"/>
      <c r="K1840" s="27"/>
      <c r="L1840" s="330"/>
      <c r="M1840" s="34"/>
      <c r="N1840" s="35"/>
    </row>
    <row r="1841" spans="2:14" ht="15" x14ac:dyDescent="0.25">
      <c r="B1841" s="37"/>
      <c r="D1841" s="24"/>
      <c r="E1841" s="25"/>
      <c r="F1841" s="26"/>
      <c r="G1841" s="325"/>
      <c r="H1841" s="332"/>
      <c r="I1841" s="333"/>
      <c r="J1841" s="359"/>
      <c r="K1841" s="27"/>
      <c r="L1841" s="330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26"/>
      <c r="H1842" s="329"/>
      <c r="I1842" s="41"/>
      <c r="J1842" s="358"/>
      <c r="K1842" s="27"/>
      <c r="L1842" s="33"/>
      <c r="M1842" s="34"/>
      <c r="N1842" s="35"/>
    </row>
    <row r="1843" spans="2:14" ht="15" x14ac:dyDescent="0.25">
      <c r="B1843" s="30"/>
      <c r="C1843" s="23"/>
      <c r="D1843" s="24"/>
      <c r="E1843" s="25"/>
      <c r="F1843" s="26"/>
      <c r="G1843" s="26"/>
      <c r="H1843" s="329"/>
      <c r="I1843" s="41"/>
      <c r="J1843" s="358"/>
      <c r="K1843" s="36"/>
      <c r="L1843" s="33"/>
      <c r="M1843" s="34"/>
      <c r="N1843" s="35"/>
    </row>
    <row r="1844" spans="2:14" ht="15" x14ac:dyDescent="0.25">
      <c r="B1844" s="30"/>
      <c r="C1844" s="23"/>
      <c r="D1844" s="24"/>
      <c r="E1844" s="25"/>
      <c r="F1844" s="26"/>
      <c r="G1844" s="325"/>
      <c r="H1844" s="332"/>
      <c r="I1844" s="333"/>
      <c r="J1844" s="359"/>
      <c r="K1844" s="27"/>
      <c r="L1844" s="33"/>
      <c r="M1844" s="34"/>
      <c r="N1844" s="35"/>
    </row>
    <row r="1845" spans="2:14" x14ac:dyDescent="0.2">
      <c r="B1845" s="30"/>
      <c r="C1845" s="23"/>
      <c r="D1845" s="24"/>
      <c r="E1845" s="25"/>
      <c r="F1845" s="26"/>
      <c r="G1845" s="26"/>
      <c r="H1845" s="329"/>
      <c r="I1845" s="42"/>
      <c r="J1845" s="360"/>
      <c r="K1845" s="27"/>
      <c r="L1845" s="33"/>
      <c r="M1845" s="34"/>
      <c r="N1845" s="35"/>
    </row>
    <row r="1846" spans="2:14" x14ac:dyDescent="0.2">
      <c r="B1846" s="37"/>
      <c r="C1846" s="23"/>
      <c r="D1846" s="24"/>
      <c r="E1846" s="25"/>
      <c r="F1846" s="26"/>
      <c r="G1846" s="26"/>
      <c r="H1846" s="329"/>
      <c r="I1846" s="42"/>
      <c r="J1846" s="360"/>
      <c r="K1846" s="27"/>
      <c r="L1846" s="33"/>
      <c r="M1846" s="34"/>
      <c r="N1846" s="35"/>
    </row>
    <row r="1847" spans="2:14" x14ac:dyDescent="0.2">
      <c r="B1847" s="37"/>
      <c r="C1847" s="23"/>
      <c r="D1847" s="24"/>
      <c r="E1847" s="25"/>
      <c r="F1847" s="26"/>
      <c r="G1847" s="26"/>
      <c r="H1847" s="329"/>
      <c r="I1847" s="42"/>
      <c r="J1847" s="360"/>
      <c r="K1847" s="36"/>
      <c r="L1847" s="33"/>
      <c r="M1847" s="34"/>
      <c r="N1847" s="35"/>
    </row>
    <row r="1848" spans="2:14" ht="15" x14ac:dyDescent="0.25">
      <c r="B1848" s="30"/>
      <c r="C1848" s="23"/>
      <c r="D1848" s="24"/>
      <c r="E1848" s="25"/>
      <c r="F1848" s="26"/>
      <c r="G1848" s="26"/>
      <c r="H1848" s="329"/>
      <c r="I1848" s="41"/>
      <c r="J1848" s="358"/>
      <c r="K1848" s="27"/>
      <c r="L1848" s="33"/>
      <c r="M1848" s="34"/>
      <c r="N1848" s="35"/>
    </row>
    <row r="1849" spans="2:14" x14ac:dyDescent="0.2">
      <c r="B1849" s="30"/>
      <c r="C1849" s="23"/>
      <c r="D1849" s="24"/>
      <c r="E1849" s="25"/>
      <c r="F1849" s="26"/>
      <c r="G1849" s="26"/>
      <c r="H1849" s="329"/>
      <c r="I1849" s="42"/>
      <c r="J1849" s="360"/>
      <c r="K1849" s="27"/>
      <c r="L1849" s="33"/>
      <c r="M1849" s="34"/>
      <c r="N1849" s="35"/>
    </row>
    <row r="1850" spans="2:14" ht="15" x14ac:dyDescent="0.25">
      <c r="B1850" s="30"/>
      <c r="C1850" s="23"/>
      <c r="D1850" s="24"/>
      <c r="E1850" s="25"/>
      <c r="F1850" s="26"/>
      <c r="G1850" s="325"/>
      <c r="H1850" s="332"/>
      <c r="I1850" s="333"/>
      <c r="J1850" s="359"/>
      <c r="K1850" s="27"/>
      <c r="L1850" s="33"/>
      <c r="M1850" s="34"/>
      <c r="N1850" s="35"/>
    </row>
    <row r="1851" spans="2:14" ht="15" x14ac:dyDescent="0.25">
      <c r="B1851" s="37"/>
      <c r="C1851" s="23"/>
      <c r="D1851" s="24"/>
      <c r="E1851" s="25"/>
      <c r="F1851" s="26"/>
      <c r="G1851" s="26"/>
      <c r="H1851" s="329"/>
      <c r="I1851" s="41"/>
      <c r="J1851" s="358"/>
      <c r="K1851" s="27"/>
      <c r="L1851" s="33"/>
      <c r="M1851" s="34"/>
      <c r="N1851" s="35"/>
    </row>
    <row r="1852" spans="2:14" x14ac:dyDescent="0.2">
      <c r="B1852" s="37"/>
      <c r="C1852" s="23"/>
      <c r="D1852" s="24"/>
      <c r="E1852" s="25"/>
      <c r="F1852" s="26"/>
      <c r="G1852" s="26"/>
      <c r="H1852" s="329"/>
      <c r="I1852" s="334"/>
      <c r="J1852" s="361"/>
      <c r="K1852" s="27"/>
      <c r="L1852" s="33"/>
      <c r="M1852" s="34"/>
      <c r="N1852" s="35"/>
    </row>
    <row r="1853" spans="2:14" ht="15" x14ac:dyDescent="0.25">
      <c r="B1853" s="37"/>
      <c r="C1853" s="23"/>
      <c r="D1853" s="24"/>
      <c r="E1853" s="25"/>
      <c r="F1853" s="26"/>
      <c r="G1853" s="26"/>
      <c r="H1853" s="329"/>
      <c r="I1853" s="41"/>
      <c r="J1853" s="358"/>
      <c r="K1853" s="27"/>
      <c r="L1853" s="330"/>
      <c r="M1853" s="34"/>
      <c r="N1853" s="35"/>
    </row>
    <row r="1854" spans="2:14" ht="15" x14ac:dyDescent="0.25">
      <c r="B1854" s="37"/>
      <c r="C1854" s="23"/>
      <c r="D1854" s="24"/>
      <c r="E1854" s="25"/>
      <c r="F1854" s="26"/>
      <c r="G1854" s="26"/>
      <c r="H1854" s="329"/>
      <c r="I1854" s="41"/>
      <c r="J1854" s="358"/>
      <c r="K1854" s="27"/>
      <c r="L1854" s="330"/>
      <c r="M1854" s="34"/>
      <c r="N1854" s="35"/>
    </row>
    <row r="1855" spans="2:14" x14ac:dyDescent="0.2">
      <c r="B1855" s="37"/>
      <c r="C1855" s="23"/>
      <c r="D1855" s="24"/>
      <c r="E1855" s="25"/>
      <c r="F1855" s="26"/>
      <c r="G1855" s="26"/>
      <c r="H1855" s="329"/>
      <c r="I1855" s="42"/>
      <c r="J1855" s="360"/>
      <c r="K1855" s="27"/>
      <c r="L1855" s="33"/>
      <c r="M1855" s="34"/>
      <c r="N1855" s="35"/>
    </row>
    <row r="1856" spans="2:14" x14ac:dyDescent="0.2">
      <c r="B1856" s="30"/>
      <c r="C1856" s="23"/>
      <c r="D1856" s="24"/>
      <c r="E1856" s="25"/>
      <c r="F1856" s="26"/>
      <c r="G1856" s="26"/>
      <c r="H1856" s="329"/>
      <c r="I1856" s="42"/>
      <c r="J1856" s="360"/>
      <c r="K1856" s="27"/>
      <c r="L1856" s="33"/>
      <c r="M1856" s="34"/>
      <c r="N1856" s="35"/>
    </row>
    <row r="1857" spans="2:14" ht="15" x14ac:dyDescent="0.25">
      <c r="B1857" s="37"/>
      <c r="C1857" s="23"/>
      <c r="D1857" s="24"/>
      <c r="E1857" s="25"/>
      <c r="F1857" s="26"/>
      <c r="G1857" s="325"/>
      <c r="H1857" s="332"/>
      <c r="I1857" s="333"/>
      <c r="J1857" s="359"/>
      <c r="K1857" s="27"/>
      <c r="L1857" s="330"/>
      <c r="M1857" s="34"/>
      <c r="N1857" s="35"/>
    </row>
    <row r="1858" spans="2:14" ht="15" x14ac:dyDescent="0.25">
      <c r="B1858" s="37"/>
      <c r="C1858" s="23"/>
      <c r="D1858" s="24"/>
      <c r="E1858" s="25"/>
      <c r="F1858" s="26"/>
      <c r="G1858" s="325"/>
      <c r="H1858" s="332"/>
      <c r="I1858" s="333"/>
      <c r="J1858" s="359"/>
      <c r="K1858" s="27"/>
      <c r="L1858" s="330"/>
      <c r="M1858" s="34"/>
      <c r="N1858" s="35"/>
    </row>
    <row r="1859" spans="2:14" ht="15" x14ac:dyDescent="0.25">
      <c r="B1859" s="37"/>
      <c r="C1859" s="23"/>
      <c r="D1859" s="24"/>
      <c r="E1859" s="25"/>
      <c r="F1859" s="26"/>
      <c r="G1859" s="325"/>
      <c r="H1859" s="332"/>
      <c r="I1859" s="333"/>
      <c r="J1859" s="359"/>
      <c r="K1859" s="27"/>
      <c r="L1859" s="330"/>
      <c r="M1859" s="34"/>
      <c r="N1859" s="35"/>
    </row>
    <row r="1860" spans="2:14" ht="15" x14ac:dyDescent="0.25">
      <c r="B1860" s="30"/>
      <c r="C1860" s="23"/>
      <c r="D1860" s="24"/>
      <c r="E1860" s="25"/>
      <c r="F1860" s="26"/>
      <c r="G1860" s="26"/>
      <c r="H1860" s="329"/>
      <c r="I1860" s="41"/>
      <c r="J1860" s="358"/>
      <c r="K1860" s="27"/>
      <c r="L1860" s="33"/>
      <c r="M1860" s="34"/>
      <c r="N1860" s="35"/>
    </row>
    <row r="1861" spans="2:14" ht="15" x14ac:dyDescent="0.25">
      <c r="B1861" s="30"/>
      <c r="C1861" s="23"/>
      <c r="D1861" s="24"/>
      <c r="E1861" s="25"/>
      <c r="F1861" s="26"/>
      <c r="G1861" s="26"/>
      <c r="H1861" s="329"/>
      <c r="I1861" s="41"/>
      <c r="J1861" s="358"/>
      <c r="K1861" s="27"/>
      <c r="L1861" s="330"/>
      <c r="M1861" s="34"/>
      <c r="N1861" s="35"/>
    </row>
    <row r="1862" spans="2:14" ht="15" x14ac:dyDescent="0.25">
      <c r="B1862" s="37"/>
      <c r="C1862" s="23"/>
      <c r="D1862" s="24"/>
      <c r="E1862" s="25"/>
      <c r="F1862" s="26"/>
      <c r="G1862" s="325"/>
      <c r="H1862" s="332"/>
      <c r="I1862" s="333"/>
      <c r="J1862" s="359"/>
      <c r="K1862" s="27"/>
      <c r="L1862" s="330"/>
      <c r="M1862" s="34"/>
      <c r="N1862" s="35"/>
    </row>
    <row r="1863" spans="2:14" ht="15" x14ac:dyDescent="0.25">
      <c r="B1863" s="37"/>
      <c r="C1863" s="23"/>
      <c r="D1863" s="24"/>
      <c r="E1863" s="25"/>
      <c r="F1863" s="26"/>
      <c r="G1863" s="325"/>
      <c r="H1863" s="332"/>
      <c r="I1863" s="333"/>
      <c r="J1863" s="359"/>
      <c r="K1863" s="27"/>
      <c r="L1863" s="330"/>
      <c r="M1863" s="34"/>
      <c r="N1863" s="35"/>
    </row>
    <row r="1864" spans="2:14" ht="15" x14ac:dyDescent="0.25">
      <c r="B1864" s="37"/>
      <c r="C1864" s="23"/>
      <c r="D1864" s="24"/>
      <c r="E1864" s="25"/>
      <c r="F1864" s="26"/>
      <c r="G1864" s="325"/>
      <c r="H1864" s="332"/>
      <c r="I1864" s="333"/>
      <c r="J1864" s="359"/>
      <c r="K1864" s="27"/>
      <c r="L1864" s="330"/>
      <c r="M1864" s="34"/>
      <c r="N1864" s="35"/>
    </row>
    <row r="1865" spans="2:14" x14ac:dyDescent="0.2">
      <c r="B1865" s="30"/>
      <c r="C1865" s="23"/>
      <c r="D1865" s="24"/>
      <c r="E1865" s="25"/>
      <c r="F1865" s="26"/>
      <c r="G1865" s="26"/>
      <c r="H1865" s="329"/>
      <c r="I1865" s="42"/>
      <c r="J1865" s="360"/>
      <c r="K1865" s="27"/>
      <c r="L1865" s="33"/>
      <c r="M1865" s="34"/>
      <c r="N1865" s="35"/>
    </row>
    <row r="1866" spans="2:14" x14ac:dyDescent="0.2">
      <c r="B1866" s="37"/>
      <c r="C1866" s="23"/>
      <c r="D1866" s="24"/>
      <c r="E1866" s="25"/>
      <c r="F1866" s="26"/>
      <c r="G1866" s="26"/>
      <c r="H1866" s="329"/>
      <c r="I1866" s="42"/>
      <c r="J1866" s="360"/>
      <c r="K1866" s="27"/>
      <c r="L1866" s="33"/>
      <c r="M1866" s="34"/>
      <c r="N1866" s="35"/>
    </row>
    <row r="1867" spans="2:14" x14ac:dyDescent="0.2">
      <c r="B1867" s="37"/>
      <c r="C1867" s="23"/>
      <c r="D1867" s="24"/>
      <c r="E1867" s="25"/>
      <c r="F1867" s="26"/>
      <c r="G1867" s="26"/>
      <c r="H1867" s="329"/>
      <c r="I1867" s="42"/>
      <c r="J1867" s="360"/>
      <c r="K1867" s="27"/>
      <c r="L1867" s="33"/>
      <c r="M1867" s="34"/>
      <c r="N1867" s="35"/>
    </row>
    <row r="1868" spans="2:14" ht="15" x14ac:dyDescent="0.25">
      <c r="B1868" s="37"/>
      <c r="C1868" s="23"/>
      <c r="D1868" s="24"/>
      <c r="E1868" s="25"/>
      <c r="F1868" s="26"/>
      <c r="G1868" s="26"/>
      <c r="H1868" s="329"/>
      <c r="I1868" s="41"/>
      <c r="J1868" s="358"/>
      <c r="K1868" s="36"/>
      <c r="L1868" s="33"/>
      <c r="M1868" s="34"/>
      <c r="N1868" s="35"/>
    </row>
  </sheetData>
  <sortState xmlns:xlrd2="http://schemas.microsoft.com/office/spreadsheetml/2017/richdata2" ref="B7:I1048576">
    <sortCondition ref="C7:C45"/>
  </sortState>
  <mergeCells count="3">
    <mergeCell ref="D1:H1"/>
    <mergeCell ref="D2:K2"/>
    <mergeCell ref="B3:F4"/>
  </mergeCells>
  <phoneticPr fontId="19" type="noConversion"/>
  <conditionalFormatting sqref="H1841:H1864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41:H1863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41:H1862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41:E1868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41:E1868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41:E1868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41:E1868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41:E1868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41:E1868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41:E1868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41:E1868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41:H1868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41:H1868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41:H1868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41:E1868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41:H1868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41:E1868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41:H1868">
    <cfRule type="iconSet" priority="282941">
      <iconSet>
        <cfvo type="percent" val="0"/>
        <cfvo type="percent" val="23"/>
        <cfvo type="percent" val="70"/>
      </iconSet>
    </cfRule>
  </conditionalFormatting>
  <conditionalFormatting sqref="H1841:H1868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41:H1868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41:H1868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41:H1868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41:E1868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41:H1868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41:H1868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41:H1868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41:H1868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41:H1868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41:E1868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41:H1868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41:H1868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41:E1868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41:E1868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41:H1868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41:H1868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41:H1868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41:E1868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41:H1868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41:H1868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41:H1868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41:H1868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41:H1868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41:H1868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41:E1868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41:H1868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41:H1868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41:H1868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41:H1868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41:H1868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41:H1868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41:H1868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41:H1868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41:E1868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41:H1868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41:E1868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41:H1868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41:E1868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41:H1868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41:H1868">
    <cfRule type="iconSet" priority="283409">
      <iconSet>
        <cfvo type="percent" val="0"/>
        <cfvo type="num" val="22"/>
        <cfvo type="num" val="26"/>
      </iconSet>
    </cfRule>
  </conditionalFormatting>
  <conditionalFormatting sqref="H1841:H1868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41:H1868">
    <cfRule type="iconSet" priority="283415">
      <iconSet>
        <cfvo type="percent" val="0"/>
        <cfvo type="num" val="21"/>
        <cfvo type="num" val="25"/>
      </iconSet>
    </cfRule>
  </conditionalFormatting>
  <conditionalFormatting sqref="H1841:H1868">
    <cfRule type="iconSet" priority="283417">
      <iconSet>
        <cfvo type="percent" val="0"/>
        <cfvo type="num" val="19"/>
        <cfvo type="num" val="23"/>
      </iconSet>
    </cfRule>
  </conditionalFormatting>
  <conditionalFormatting sqref="H1841:H1868">
    <cfRule type="iconSet" priority="283419">
      <iconSet>
        <cfvo type="percent" val="0"/>
        <cfvo type="num" val="23"/>
        <cfvo type="num" val="27"/>
      </iconSet>
    </cfRule>
  </conditionalFormatting>
  <conditionalFormatting sqref="E1755:E1757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50">
    <cfRule type="containsText" dxfId="34" priority="175" operator="containsText" text="M">
      <formula>NOT(ISERROR(SEARCH("M",M7)))</formula>
    </cfRule>
  </conditionalFormatting>
  <conditionalFormatting sqref="V6">
    <cfRule type="cellIs" dxfId="33" priority="172" operator="between">
      <formula>1</formula>
      <formula>4</formula>
    </cfRule>
  </conditionalFormatting>
  <conditionalFormatting sqref="E49:E1178 E7:E47">
    <cfRule type="cellIs" dxfId="32" priority="170" operator="greaterThan">
      <formula>7</formula>
    </cfRule>
  </conditionalFormatting>
  <conditionalFormatting sqref="E1488:E4766">
    <cfRule type="cellIs" dxfId="31" priority="137" operator="greaterThan">
      <formula>7</formula>
    </cfRule>
  </conditionalFormatting>
  <conditionalFormatting sqref="I49:I1250 G49:G51 I7:I47">
    <cfRule type="cellIs" dxfId="30" priority="41" operator="lessThan">
      <formula>E7</formula>
    </cfRule>
  </conditionalFormatting>
  <conditionalFormatting sqref="I1841:I1868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41:I1868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41:I1868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41:I1868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41:I1868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41:I1868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41:I1868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41:I1868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41:I1868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41:I1868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41:I1868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41:I1868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41:I1868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41:I1868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L7:L1250">
    <cfRule type="top10" dxfId="29" priority="297755" rank="1"/>
  </conditionalFormatting>
  <conditionalFormatting sqref="H1437:H1474 H1261:H1435 H49:H1250 H7:H47">
    <cfRule type="cellIs" dxfId="28" priority="297758" operator="greaterThan">
      <formula>$H$48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59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E1755:E1757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H1841:H1868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H1841:H1868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H1841:H1868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E1735:E1754</xm:sqref>
        </x14:conditionalFormatting>
        <x14:conditionalFormatting xmlns:xm="http://schemas.microsoft.com/office/excel/2006/main">
          <x14:cfRule type="iconSet" priority="297762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$H$48</xm:f>
              </x14:cfvo>
              <x14:cfIcon iconSet="NoIcons" iconId="0"/>
              <x14:cfIcon iconSet="NoIcons" iconId="0"/>
              <x14:cfIcon iconSet="3Stars" iconId="2"/>
            </x14:iconSet>
          </x14:cfRule>
          <xm:sqref>H1261:H1271 H49:H1250 H7:H47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1" t="s">
        <v>110</v>
      </c>
      <c r="E1" s="371"/>
      <c r="F1" s="371"/>
      <c r="G1" s="371"/>
      <c r="H1" s="371"/>
      <c r="I1" s="19"/>
      <c r="J1" s="16"/>
      <c r="K1"/>
    </row>
    <row r="2" spans="2:75" ht="33.75" customHeight="1" thickBot="1" x14ac:dyDescent="0.35">
      <c r="D2" s="372" t="s">
        <v>111</v>
      </c>
      <c r="E2" s="372"/>
      <c r="F2" s="372"/>
      <c r="G2" s="372"/>
      <c r="H2" s="372"/>
      <c r="I2" s="372"/>
      <c r="J2" s="372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3" t="s">
        <v>115</v>
      </c>
      <c r="E3" s="373"/>
      <c r="F3" s="373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3"/>
      <c r="E4" s="373"/>
      <c r="F4" s="373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5">
        <v>43</v>
      </c>
      <c r="C46" t="s">
        <v>145</v>
      </c>
      <c r="F46" t="s">
        <v>80</v>
      </c>
    </row>
    <row r="47" spans="2:16" x14ac:dyDescent="0.2">
      <c r="B47" s="365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2026-02-12T06:35:30Z</cp:lastPrinted>
  <dcterms:created xsi:type="dcterms:W3CDTF">2021-05-05T13:25:05Z</dcterms:created>
  <dcterms:modified xsi:type="dcterms:W3CDTF">2026-02-12T06:37:37Z</dcterms:modified>
</cp:coreProperties>
</file>