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1F2B1B12-20D7-43D8-8CB4-B0A5991D4431}" xr6:coauthVersionLast="47" xr6:coauthVersionMax="47" xr10:uidLastSave="{00000000-0000-0000-0000-000000000000}"/>
  <bookViews>
    <workbookView xWindow="15" yWindow="15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Import!$B$1:$O$29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7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7" i="1"/>
  <c r="C27" i="1"/>
  <c r="G27" i="1"/>
  <c r="F27" i="1"/>
  <c r="E27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H12" i="1"/>
  <c r="H19" i="1"/>
  <c r="H8" i="1"/>
  <c r="H20" i="1"/>
  <c r="H9" i="1"/>
  <c r="H24" i="1"/>
  <c r="H10" i="1"/>
  <c r="H7" i="1"/>
  <c r="H11" i="1"/>
  <c r="H21" i="1"/>
  <c r="H13" i="1"/>
  <c r="H22" i="1"/>
  <c r="H14" i="1"/>
  <c r="H15" i="1"/>
  <c r="H16" i="1"/>
  <c r="H17" i="1"/>
  <c r="H23" i="1"/>
  <c r="H18" i="1"/>
  <c r="H25" i="1"/>
  <c r="H26" i="1"/>
  <c r="U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P27" i="1"/>
  <c r="R27" i="1" s="1"/>
  <c r="Q28" i="1"/>
  <c r="Q29" i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P33" i="1"/>
  <c r="P37" i="1"/>
  <c r="P41" i="1"/>
  <c r="T44" i="1"/>
  <c r="O44" i="1"/>
  <c r="Q44" i="1" s="1"/>
  <c r="T45" i="1"/>
  <c r="T46" i="1"/>
  <c r="O45" i="1"/>
  <c r="Q45" i="1" s="1"/>
  <c r="O46" i="1"/>
  <c r="Q46" i="1" s="1"/>
  <c r="P3" i="6"/>
  <c r="M9" i="6"/>
  <c r="T47" i="1"/>
  <c r="O47" i="1"/>
  <c r="Q47" i="1" s="1"/>
  <c r="T48" i="1"/>
  <c r="O48" i="1"/>
  <c r="Q48" i="1" s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3" i="3"/>
  <c r="E12" i="3"/>
  <c r="D12" i="3"/>
  <c r="H11" i="3"/>
  <c r="AP6" i="3"/>
  <c r="E13" i="3"/>
  <c r="I19" i="1" l="1"/>
  <c r="I14" i="1"/>
  <c r="I17" i="1"/>
  <c r="J17" i="1" s="1"/>
  <c r="I12" i="1"/>
  <c r="J12" i="1" s="1"/>
  <c r="I8" i="1"/>
  <c r="J8" i="1" s="1"/>
  <c r="I18" i="1"/>
  <c r="I9" i="1"/>
  <c r="Q9" i="1" s="1"/>
  <c r="L9" i="1" s="1"/>
  <c r="I26" i="1"/>
  <c r="J26" i="1" s="1"/>
  <c r="I11" i="1"/>
  <c r="J11" i="1" s="1"/>
  <c r="I25" i="1"/>
  <c r="J25" i="1" s="1"/>
  <c r="I15" i="1"/>
  <c r="I24" i="1"/>
  <c r="Q24" i="1" s="1"/>
  <c r="L24" i="1" s="1"/>
  <c r="I23" i="1"/>
  <c r="J23" i="1" s="1"/>
  <c r="I21" i="1"/>
  <c r="N9" i="1"/>
  <c r="I22" i="1"/>
  <c r="Q22" i="1" s="1"/>
  <c r="L22" i="1" s="1"/>
  <c r="I7" i="1"/>
  <c r="I20" i="1"/>
  <c r="J20" i="1" s="1"/>
  <c r="J19" i="1"/>
  <c r="P29" i="1"/>
  <c r="I16" i="1"/>
  <c r="J21" i="1" s="1"/>
  <c r="I13" i="1"/>
  <c r="I10" i="1"/>
  <c r="Q10" i="1" s="1"/>
  <c r="L10" i="1" s="1"/>
  <c r="H27" i="1"/>
  <c r="V8" i="1" s="1"/>
  <c r="P40" i="1"/>
  <c r="N24" i="1"/>
  <c r="N20" i="1"/>
  <c r="N16" i="1"/>
  <c r="N12" i="1"/>
  <c r="N8" i="1"/>
  <c r="J15" i="1"/>
  <c r="N23" i="1"/>
  <c r="N19" i="1"/>
  <c r="N15" i="1"/>
  <c r="N11" i="1"/>
  <c r="N7" i="1"/>
  <c r="J18" i="1"/>
  <c r="J14" i="1"/>
  <c r="J10" i="1"/>
  <c r="N26" i="1"/>
  <c r="N22" i="1"/>
  <c r="N18" i="1"/>
  <c r="N14" i="1"/>
  <c r="N10" i="1"/>
  <c r="J13" i="1"/>
  <c r="N25" i="1"/>
  <c r="N21" i="1"/>
  <c r="N17" i="1"/>
  <c r="N13" i="1"/>
  <c r="Q25" i="1"/>
  <c r="L25" i="1" s="1"/>
  <c r="Q21" i="1"/>
  <c r="L21" i="1" s="1"/>
  <c r="Q13" i="1"/>
  <c r="L13" i="1" s="1"/>
  <c r="Q20" i="1"/>
  <c r="L20" i="1" s="1"/>
  <c r="Q16" i="1"/>
  <c r="L16" i="1" s="1"/>
  <c r="Q19" i="1"/>
  <c r="L19" i="1" s="1"/>
  <c r="Q15" i="1"/>
  <c r="L15" i="1" s="1"/>
  <c r="Q18" i="1"/>
  <c r="L18" i="1" s="1"/>
  <c r="Q14" i="1"/>
  <c r="L14" i="1" s="1"/>
  <c r="P36" i="1"/>
  <c r="P32" i="1"/>
  <c r="P28" i="1"/>
  <c r="U28" i="1"/>
  <c r="U32" i="1"/>
  <c r="U36" i="1"/>
  <c r="U29" i="1"/>
  <c r="U33" i="1"/>
  <c r="U41" i="1"/>
  <c r="U30" i="1"/>
  <c r="U38" i="1"/>
  <c r="U42" i="1"/>
  <c r="U31" i="1"/>
  <c r="U35" i="1"/>
  <c r="U39" i="1"/>
  <c r="P43" i="1"/>
  <c r="P39" i="1"/>
  <c r="P35" i="1"/>
  <c r="P31" i="1"/>
  <c r="Q27" i="1"/>
  <c r="P42" i="1"/>
  <c r="P38" i="1"/>
  <c r="P34" i="1"/>
  <c r="P30" i="1"/>
  <c r="U44" i="1"/>
  <c r="P44" i="1"/>
  <c r="U45" i="1"/>
  <c r="U46" i="1"/>
  <c r="P45" i="1"/>
  <c r="P46" i="1"/>
  <c r="M7" i="6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V20" i="1" l="1"/>
  <c r="Q17" i="1"/>
  <c r="L17" i="1" s="1"/>
  <c r="J9" i="1"/>
  <c r="Q26" i="1"/>
  <c r="L26" i="1" s="1"/>
  <c r="J7" i="1"/>
  <c r="I27" i="1"/>
  <c r="V23" i="1"/>
  <c r="V7" i="1"/>
  <c r="Q7" i="1"/>
  <c r="L7" i="1" s="1"/>
  <c r="Q23" i="1"/>
  <c r="L23" i="1" s="1"/>
  <c r="J16" i="1"/>
  <c r="Q11" i="1"/>
  <c r="L11" i="1" s="1"/>
  <c r="Q8" i="1"/>
  <c r="L8" i="1" s="1"/>
  <c r="V14" i="1"/>
  <c r="Q12" i="1"/>
  <c r="L12" i="1" s="1"/>
  <c r="V17" i="1"/>
  <c r="J24" i="1"/>
  <c r="V19" i="1"/>
  <c r="V26" i="1"/>
  <c r="V10" i="1"/>
  <c r="V13" i="1"/>
  <c r="V16" i="1"/>
  <c r="J22" i="1"/>
  <c r="V15" i="1"/>
  <c r="V22" i="1"/>
  <c r="V25" i="1"/>
  <c r="V9" i="1"/>
  <c r="V12" i="1"/>
  <c r="V11" i="1"/>
  <c r="V18" i="1"/>
  <c r="V21" i="1"/>
  <c r="V24" i="1"/>
  <c r="M11" i="6"/>
  <c r="N27" i="1"/>
  <c r="U43" i="1"/>
  <c r="V27" i="1"/>
  <c r="U34" i="1"/>
  <c r="U37" i="1"/>
  <c r="U40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27" i="1" l="1"/>
  <c r="S10" i="1"/>
  <c r="T10" i="1" s="1"/>
  <c r="S14" i="1"/>
  <c r="T14" i="1" s="1"/>
  <c r="S18" i="1"/>
  <c r="T18" i="1" s="1"/>
  <c r="S22" i="1"/>
  <c r="T22" i="1" s="1"/>
  <c r="S26" i="1"/>
  <c r="T26" i="1" s="1"/>
  <c r="S7" i="1"/>
  <c r="T7" i="1" s="1"/>
  <c r="S11" i="1"/>
  <c r="T11" i="1" s="1"/>
  <c r="S15" i="1"/>
  <c r="T15" i="1" s="1"/>
  <c r="S19" i="1"/>
  <c r="T19" i="1" s="1"/>
  <c r="S23" i="1"/>
  <c r="T23" i="1" s="1"/>
  <c r="S8" i="1"/>
  <c r="T8" i="1" s="1"/>
  <c r="S12" i="1"/>
  <c r="T12" i="1" s="1"/>
  <c r="S16" i="1"/>
  <c r="T16" i="1" s="1"/>
  <c r="S20" i="1"/>
  <c r="T20" i="1" s="1"/>
  <c r="S24" i="1"/>
  <c r="T24" i="1" s="1"/>
  <c r="S9" i="1"/>
  <c r="T9" i="1" s="1"/>
  <c r="S13" i="1"/>
  <c r="T13" i="1" s="1"/>
  <c r="S17" i="1"/>
  <c r="T17" i="1" s="1"/>
  <c r="S21" i="1"/>
  <c r="T21" i="1" s="1"/>
  <c r="S25" i="1"/>
  <c r="T25" i="1" s="1"/>
  <c r="R30" i="1"/>
  <c r="S30" i="1" s="1"/>
  <c r="R34" i="1"/>
  <c r="S34" i="1" s="1"/>
  <c r="R38" i="1"/>
  <c r="S38" i="1" s="1"/>
  <c r="R42" i="1"/>
  <c r="S42" i="1" s="1"/>
  <c r="S27" i="1"/>
  <c r="T27" i="1" s="1"/>
  <c r="R31" i="1"/>
  <c r="S31" i="1" s="1"/>
  <c r="R35" i="1"/>
  <c r="S35" i="1" s="1"/>
  <c r="R39" i="1"/>
  <c r="S39" i="1" s="1"/>
  <c r="R43" i="1"/>
  <c r="S43" i="1" s="1"/>
  <c r="R28" i="1"/>
  <c r="S28" i="1" s="1"/>
  <c r="R32" i="1"/>
  <c r="S32" i="1" s="1"/>
  <c r="R36" i="1"/>
  <c r="S36" i="1" s="1"/>
  <c r="R40" i="1"/>
  <c r="S40" i="1" s="1"/>
  <c r="R29" i="1"/>
  <c r="S29" i="1" s="1"/>
  <c r="R33" i="1"/>
  <c r="S33" i="1" s="1"/>
  <c r="R37" i="1"/>
  <c r="S37" i="1" s="1"/>
  <c r="R41" i="1"/>
  <c r="S41" i="1" s="1"/>
  <c r="R44" i="1"/>
  <c r="S44" i="1" s="1"/>
  <c r="R46" i="1"/>
  <c r="S46" i="1" s="1"/>
  <c r="R45" i="1"/>
  <c r="S45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<sst xmlns="http://schemas.openxmlformats.org/spreadsheetml/2006/main" count="259" uniqueCount="171">
  <si>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</si>
  <si>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</si>
  <si>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</si>
  <si>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</si>
  <si>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</si>
  <si>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</si>
  <si>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</si>
  <si>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</si>
  <si>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</si>
  <si>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</si>
  <si>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</si>
  <si>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</si>
  <si>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</si>
  <si>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</si>
  <si>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</si>
  <si>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</si>
  <si>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</si>
  <si>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</si>
  <si>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</si>
  <si>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</si>
  <si>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</si>
  <si>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</si>
  <si>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</si>
  <si>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</si>
  <si>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</si>
  <si>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</si>
  <si>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</si>
  <si>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</si>
  <si>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</si>
  <si>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</si>
  <si>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</si>
  <si>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</si>
  <si>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</si>
  <si>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</si>
  <si>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</si>
  <si>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</si>
  <si>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</si>
  <si>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</si>
  <si>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</si>
  <si>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</si>
  <si>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</si>
  <si>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</si>
  <si>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</si>
  <si>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</si>
  <si>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</si>
  <si>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</si>
  <si>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</si>
  <si>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</si>
  <si>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</si>
  <si>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</si>
  <si>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</si>
  <si>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</si>
  <si>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</si>
  <si>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</si>
  <si>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</si>
  <si>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</si>
  <si>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</si>
  <si>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</si>
  <si>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</si>
  <si>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</si>
  <si>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</si>
  <si>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</si>
  <si>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</si>
  <si>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</si>
  <si>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</si>
  <si>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</si>
  <si>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</si>
  <si>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</si>
  <si>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</si>
  <si>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</si>
  <si>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</si>
  <si>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</si>
  <si>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</si>
  <si>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</si>
  <si>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</si>
  <si>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</si>
  <si>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</si>
  <si>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</si>
  <si>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</si>
  <si>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</si>
  <si>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</si>
  <si>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</si>
  <si>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</si>
  <si>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</si>
  <si>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</si>
  <si>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</si>
  <si>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</si>
  <si>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</si>
  <si>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</si>
  <si>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</si>
  <si>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</si>
  <si>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</si>
  <si>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</si>
  <si>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</si>
  <si>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</si>
  <si>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</si>
  <si>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</si>
  <si>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</si>
  <si>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</si>
  <si>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</si>
  <si>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</si>
  <si>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</si>
  <si>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</si>
  <si>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</si>
  <si>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</si>
  <si>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</si>
  <si>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</si>
  <si>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</si>
  <si>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</si>
  <si>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</si>
  <si>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</si>
  <si>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</si>
  <si>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</si>
  <si>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</si>
  <si>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</si>
  <si>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</si>
  <si>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</si>
  <si>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</si>
  <si>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</si>
  <si>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</si>
  <si>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</si>
  <si>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</si>
  <si>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</si>
  <si>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</si>
  <si>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</si>
  <si>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</si>
  <si>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</si>
  <si>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</si>
  <si>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</si>
  <si>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</si>
  <si>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</si>
  <si>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</si>
  <si>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</si>
  <si>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</si>
  <si>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</si>
  <si>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</si>
  <si>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</si>
  <si>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</si>
  <si>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</si>
  <si>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</si>
  <si>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</si>
  <si>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</si>
  <si>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</si>
  <si>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</si>
  <si>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</si>
  <si>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</si>
  <si>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</si>
  <si>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</si>
  <si>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CARTAGENA RAMIREZ FREDY ALONSO</t>
  </si>
  <si>
    <t>FRANCO CARVAJAL GERARDO ANTONIO</t>
  </si>
  <si>
    <t>SALDARRIAGA PARRA LUIS ALBERTO</t>
  </si>
  <si>
    <t>LEON PEREZ RAUL ENRIQUE</t>
  </si>
  <si>
    <t>MARIN GARCIA JUAN DANIEL</t>
  </si>
  <si>
    <t>TUBERQUIA URREGO HAROL</t>
  </si>
  <si>
    <t>ARAQUE ARROYAVE JOSE ALBEIRO</t>
  </si>
  <si>
    <t>MARULANDA JARAMILLO DAWER ANDRES</t>
  </si>
  <si>
    <t>88XM</t>
  </si>
  <si>
    <t>BETANCUR GUZMAN JHON FERNANDO</t>
  </si>
  <si>
    <t>YEPES TORRES JHON ALEXANDER</t>
  </si>
  <si>
    <t>DAVID  HENRY GIOVANNY</t>
  </si>
  <si>
    <t>ESPINOZA ECHAVARRIA EMANUEL</t>
  </si>
  <si>
    <t>RUA CHAVARRIA YEFERSON ANDREY</t>
  </si>
  <si>
    <t>IBARGUEN GARRIDO JUAN ESTEBAN</t>
  </si>
  <si>
    <t>ROJAS ESCOBAR CRISTIAN ESNEIDER</t>
  </si>
  <si>
    <t>GIL  ARLEX</t>
  </si>
  <si>
    <t>HERNANDEZ MACIAS GILBERTO</t>
  </si>
  <si>
    <t>TABORDA ROJAS DIEGO ALEJANDRO</t>
  </si>
  <si>
    <t>Vehs</t>
  </si>
  <si>
    <t xml:space="preserve">2 Descuentos (conduct)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</si>
  <si>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17.1 USUARIOS</t>
    </r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</si>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</sst>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Import!$C$7:$C$27</c:f>
              <c:numCache>
                <c:formatCode>0</c:formatCode>
                <c:ptCount val="20"/>
                <c:pt idx="0">
                  <c:v>1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14</c:v>
                </c:pt>
                <c:pt idx="6" formatCode="General">
                  <c:v>15</c:v>
                </c:pt>
                <c:pt idx="7">
                  <c:v>21</c:v>
                </c:pt>
                <c:pt idx="8" formatCode="General">
                  <c:v>22</c:v>
                </c:pt>
                <c:pt idx="9">
                  <c:v>23</c:v>
                </c:pt>
                <c:pt idx="10">
                  <c:v>26</c:v>
                </c:pt>
                <c:pt idx="11">
                  <c:v>29</c:v>
                </c:pt>
                <c:pt idx="12">
                  <c:v>31</c:v>
                </c:pt>
                <c:pt idx="13">
                  <c:v>33</c:v>
                </c:pt>
                <c:pt idx="14" formatCode="General">
                  <c:v>35</c:v>
                </c:pt>
                <c:pt idx="15">
                  <c:v>37</c:v>
                </c:pt>
                <c:pt idx="16">
                  <c:v>38</c:v>
                </c:pt>
                <c:pt idx="17" formatCode="General">
                  <c:v>41</c:v>
                </c:pt>
                <c:pt idx="18">
                  <c:v>42</c:v>
                </c:pt>
                <c:pt idx="19">
                  <c:v>43</c:v>
                </c:pt>
              </c:numCache>
            </c:numRef>
          </c:cat>
          <c:val>
            <c:numRef>
              <c:f>Import!$H$7:$H$27</c:f>
              <c:numCache>
                <c:formatCode>_-* #,##0.0_-;\-* #,##0.0_-;_-* "-"??_-;_-@_-</c:formatCode>
                <c:ptCount val="20"/>
                <c:pt idx="0">
                  <c:v>17</c:v>
                </c:pt>
                <c:pt idx="1">
                  <c:v>21.222222222222221</c:v>
                </c:pt>
                <c:pt idx="2">
                  <c:v>16.777777777777779</c:v>
                </c:pt>
                <c:pt idx="3">
                  <c:v>11.9</c:v>
                </c:pt>
                <c:pt idx="4">
                  <c:v>13.916666666666666</c:v>
                </c:pt>
                <c:pt idx="5">
                  <c:v>17.833333333333332</c:v>
                </c:pt>
                <c:pt idx="6">
                  <c:v>15.1</c:v>
                </c:pt>
                <c:pt idx="7">
                  <c:v>20.444444444444443</c:v>
                </c:pt>
                <c:pt idx="8">
                  <c:v>17.600000000000001</c:v>
                </c:pt>
                <c:pt idx="9">
                  <c:v>16</c:v>
                </c:pt>
                <c:pt idx="10">
                  <c:v>20.3</c:v>
                </c:pt>
                <c:pt idx="11">
                  <c:v>17.454545454545453</c:v>
                </c:pt>
                <c:pt idx="12">
                  <c:v>15.555555555555555</c:v>
                </c:pt>
                <c:pt idx="13">
                  <c:v>13.666666666666666</c:v>
                </c:pt>
                <c:pt idx="14">
                  <c:v>18.727272727272727</c:v>
                </c:pt>
                <c:pt idx="15">
                  <c:v>19.2</c:v>
                </c:pt>
                <c:pt idx="16">
                  <c:v>22.444444444444443</c:v>
                </c:pt>
                <c:pt idx="17">
                  <c:v>10</c:v>
                </c:pt>
                <c:pt idx="18">
                  <c:v>15.714285714285714</c:v>
                </c:pt>
                <c:pt idx="19">
                  <c:v>17.90909090909091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27" totalsRowCount="1" headerRowDxfId="64" dataDxfId="63" totalsRowDxfId="62"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17.1 USUARIOS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/>
    <tableColumn id="11" xr3:uid="{00000000-0010-0000-0000-00000B000000}" name="DIFER. MICRO - BUS " totalsRowFunction="sum" dataDxfId="49" totalsRowDxfId="1" dataCellStyle="Millares">
      <calculatedColumnFormula>+(SUMIFS(G:G,M:M,"MICRO",E:E,"&gt;0")*100)/COUNTIF($E$7:$E$26,"&gt;0")</calculatedColumnFormula>
    </tableColumn>
    <tableColumn id="14" xr3:uid="{685349E8-0443-4629-ADBD-0B21118AE4D3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8" dataDxfId="47" totalsRowDxfId="46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5" totalsRowDxfId="44"/>
    <tableColumn id="2" xr3:uid="{7E9A4909-E53D-4F94-80A1-A675A394CC57}" name="VEH" totalsRowLabel="4" dataDxfId="43" totalsRowDxfId="42"/>
    <tableColumn id="3" xr3:uid="{32EB6A87-92EF-4CA2-B1E8-104D5D2326F5}" name="CONDUCTOR" totalsRowLabel="Vehs " dataDxfId="41" totalsRowDxfId="40"/>
    <tableColumn id="4" xr3:uid="{72FB169E-4910-4353-AF10-07DA297F0CD5}" name="VIAJES" totalsRowFunction="sum" dataDxfId="39" totalsRowDxfId="38"/>
    <tableColumn id="5" xr3:uid="{F323DE89-3087-4D39-B0ED-15680CB2FE01}" name="VIAJES PERD." totalsRowFunction="sum" dataDxfId="37" totalsRowDxfId="36"/>
    <tableColumn id="6" xr3:uid="{FF87B711-9A02-4FB5-B21F-73198A4385A8}" name="USUARIOS" totalsRowFunction="sum" dataDxfId="35" totalsRowDxfId="34" dataCellStyle="Millares"/>
    <tableColumn id="12" xr3:uid="{60E0DB3A-B7E4-44B6-BB26-D54278C24006}" name="PROM X VIAJE" totalsRowFunction="average" dataDxfId="33" totalsRowDxfId="32" dataCellStyle="Millares"/>
    <tableColumn id="7" xr3:uid="{12134CBA-AEEC-4025-BB5C-89B13D8F91D4}" name="PROM DE USUARIOS" totalsRowFunction="sum" dataDxfId="31" totalsRowDxfId="30" dataCellStyle="Millares"/>
    <tableColumn id="8" xr3:uid="{F35B2CED-DE3E-48D9-8E47-198F9B4F56C9}" name="NOVEDADES" dataDxfId="29" totalsRowDxfId="28"/>
    <tableColumn id="9" xr3:uid="{4BD57B08-79CF-4422-A880-91A289697DC2}" name="VALOR OPERACIÓN" dataDxfId="27" totalsRowDxfId="26" dataCellStyle="Millares"/>
    <tableColumn id="10" xr3:uid="{E8B6C5A5-759D-4901-BD5D-0ADA9540975C}" name="CLASIFIC." dataDxfId="25" totalsRowDxfId="24"/>
    <tableColumn id="11" xr3:uid="{CFA53866-4E21-473F-9C2D-8FB2962BACB5}" name="DIFER. MICRO - BUS " totalsRowFunction="sum" dataDxfId="23" totalsRowDxfId="22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7"/>
  <sheetViews>
    <sheetView showGridLines="0" tabSelected="1" showWhiteSpace="0" topLeftCell="A5" zoomScaleNormal="100" workbookViewId="0">
      <selection activeCell="D1"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39.5" bestFit="1" customWidth="1"/>
    <col min="12" max="12" width="10.5" style="337" bestFit="1" customWidth="1"/>
    <col min="13" max="13" width="9.625" customWidth="1"/>
    <col min="14" max="14" width="11.375" customWidth="1"/>
    <col min="15" max="15" width="11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+SUM(G6:G1838)/2</f>
        <v>3301</v>
      </c>
      <c r="R3" s="55">
        <f>+SUM(E6:E1838)/2</f>
        <v>193</v>
      </c>
      <c r="S3" s="55">
        <f>+Q3-R3</f>
        <v>3108</v>
      </c>
      <c r="T3" s="56">
        <f>+S3/R3</f>
        <v>16.103626943005182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46047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170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156</v>
      </c>
      <c r="C7" s="166">
        <v>1</v>
      </c>
      <c r="D7" s="151" t="s">
        <v>163</v>
      </c>
      <c r="E7" s="150">
        <v>11</v>
      </c>
      <c r="F7" s="150">
        <v>0</v>
      </c>
      <c r="G7" s="165">
        <v>187</v>
      </c>
      <c r="H7" s="226">
        <f t="shared" ref="H7:H26" si="0">+G7/E7</f>
        <v>17</v>
      </c>
      <c r="I7" s="227">
        <f>+(SUM($G$7:$G$1048576)/SUM($E$7:$E$1048576))*E7</f>
        <v>188.13989637305701</v>
      </c>
      <c r="J7" s="363">
        <f>+Tabla2[[#This Row],[PROM DE USUARIOS]]-Tabla2[[#This Row],[USUARIOS]]</f>
        <v>1.1398963730570131</v>
      </c>
      <c r="K7" s="151"/>
      <c r="L7" s="163">
        <f>Q7*635</f>
        <v>112483.8341968912</v>
      </c>
      <c r="M7" s="162" t="str">
        <f>+VLOOKUP(C7,Lista!B:D,3,0)</f>
        <v>MICRO</v>
      </c>
      <c r="N7" s="164">
        <f>+(SUMIFS(G:G,M:M,"MICRO",E:E,"&gt;0")*100)/COUNTIF($E$7:$E$26,"&gt;0")</f>
        <v>8340</v>
      </c>
      <c r="O7" s="164">
        <f>Tabla2[[#This Row],[USUARIOS]]*150</f>
        <v>28050</v>
      </c>
      <c r="P7" s="50">
        <f>+(E7*1)-W7</f>
        <v>11</v>
      </c>
      <c r="Q7" s="47">
        <f>+I7-P7-X7</f>
        <v>177.13989637305701</v>
      </c>
      <c r="R7" s="49">
        <f>+G7-P7</f>
        <v>176</v>
      </c>
      <c r="S7" s="51">
        <f>+E7*$T$3</f>
        <v>177.13989637305701</v>
      </c>
      <c r="T7" s="46">
        <f t="shared" ref="T7:T26" si="1">+S7*550</f>
        <v>97426.943005181354</v>
      </c>
      <c r="U7" t="str">
        <f>+IF(K7&lt;&gt;"",K7,"")</f>
        <v/>
      </c>
      <c r="V7">
        <f>+RANK(H7,$H$6:$H$1048576,1)</f>
        <v>10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156</v>
      </c>
      <c r="C8" s="166">
        <v>7</v>
      </c>
      <c r="D8" s="151" t="s">
        <v>153</v>
      </c>
      <c r="E8" s="150">
        <v>9</v>
      </c>
      <c r="F8" s="150">
        <v>0</v>
      </c>
      <c r="G8" s="165">
        <v>191</v>
      </c>
      <c r="H8" s="226">
        <f t="shared" si="0"/>
        <v>21.222222222222221</v>
      </c>
      <c r="I8" s="227">
        <f>+(SUM($G$7:$G$1048576)/SUM($E$7:$E$1048576))*E8</f>
        <v>153.93264248704662</v>
      </c>
      <c r="J8" s="363">
        <f>+Tabla2[[#This Row],[PROM DE USUARIOS]]-Tabla2[[#This Row],[USUARIOS]]</f>
        <v>-37.067357512953379</v>
      </c>
      <c r="K8" s="151"/>
      <c r="L8" s="163">
        <f>Q8*635</f>
        <v>92032.227979274598</v>
      </c>
      <c r="M8" s="162">
        <f>+VLOOKUP(C8,Lista!B:D,3,0)</f>
        <v>0</v>
      </c>
      <c r="N8" s="164">
        <f>+(SUMIFS(G:G,M:M,"MICRO",E:E,"&gt;0")*100)/COUNTIF($E$7:$E$26,"&gt;0")</f>
        <v>8340</v>
      </c>
      <c r="O8" s="164">
        <f>Tabla2[[#This Row],[USUARIOS]]*150</f>
        <v>28650</v>
      </c>
      <c r="P8" s="50">
        <f>+(E8*1)-W8</f>
        <v>9</v>
      </c>
      <c r="Q8" s="47">
        <f>+I8-P8-X8</f>
        <v>144.93264248704662</v>
      </c>
      <c r="R8" s="49">
        <f>+G8-P8</f>
        <v>182</v>
      </c>
      <c r="S8" s="51">
        <f>+E8*$T$3</f>
        <v>144.93264248704662</v>
      </c>
      <c r="T8" s="46">
        <f t="shared" si="1"/>
        <v>79712.953367875642</v>
      </c>
      <c r="U8" t="str">
        <f>+IF(K8&lt;&gt;"",K8,"")</f>
        <v/>
      </c>
      <c r="V8">
        <f>+RANK(H8,$H$6:$H$1048576,1)</f>
        <v>20</v>
      </c>
      <c r="Z8" t="str">
        <f>TRIM(Tabla2[[#This Row],[CONDUCTOR]])</f>
        <v>TUBERQUIA URREGO HAROL</v>
      </c>
    </row>
    <row r="9" spans="1:32" x14ac:dyDescent="0.2">
      <c r="B9" s="136" t="s">
        <v>156</v>
      </c>
      <c r="C9" s="166">
        <v>9</v>
      </c>
      <c r="D9" s="151" t="s">
        <v>148</v>
      </c>
      <c r="E9" s="150">
        <v>9</v>
      </c>
      <c r="F9" s="150">
        <v>0</v>
      </c>
      <c r="G9" s="165">
        <v>151</v>
      </c>
      <c r="H9" s="226">
        <f t="shared" si="0"/>
        <v>16.777777777777779</v>
      </c>
      <c r="I9" s="227">
        <f>+(SUM($G$7:$G$1048576)/SUM($E$7:$E$1048576))*E9</f>
        <v>153.93264248704662</v>
      </c>
      <c r="J9" s="363">
        <f>+Tabla2[[#This Row],[PROM DE USUARIOS]]-Tabla2[[#This Row],[USUARIOS]]</f>
        <v>2.9326424870466212</v>
      </c>
      <c r="K9" s="151"/>
      <c r="L9" s="163">
        <f>Q9*635</f>
        <v>92032.227979274598</v>
      </c>
      <c r="M9" s="162" t="str">
        <f>+VLOOKUP(C9,Lista!B:D,3,0)</f>
        <v>MICRO</v>
      </c>
      <c r="N9" s="164">
        <f>+(SUMIFS(G:G,M:M,"MICRO",E:E,"&gt;0")*100)/COUNTIF($E$7:$E$26,"&gt;0")</f>
        <v>8340</v>
      </c>
      <c r="O9" s="164">
        <f>Tabla2[[#This Row],[USUARIOS]]*150</f>
        <v>22650</v>
      </c>
      <c r="P9" s="50">
        <f>+(E9*1)-W9</f>
        <v>9</v>
      </c>
      <c r="Q9" s="47">
        <f>+I9-P9-X9</f>
        <v>144.93264248704662</v>
      </c>
      <c r="R9" s="49">
        <f>+G9-P9</f>
        <v>142</v>
      </c>
      <c r="S9" s="51">
        <f>+E9*$T$3</f>
        <v>144.93264248704662</v>
      </c>
      <c r="T9" s="46">
        <f t="shared" si="1"/>
        <v>79712.953367875642</v>
      </c>
      <c r="U9" t="str">
        <f>+IF(K9&lt;&gt;"",K9,"")</f>
        <v/>
      </c>
      <c r="V9">
        <f>+RANK(H9,$H$6:$H$1048576,1)</f>
        <v>9</v>
      </c>
      <c r="Z9" t="str">
        <f>TRIM(Tabla2[[#This Row],[CONDUCTOR]])</f>
        <v>CARTAGENA RAMIREZ FREDY ALONSO</v>
      </c>
    </row>
    <row r="10" spans="1:32" x14ac:dyDescent="0.2">
      <c r="B10" s="136" t="s">
        <v>156</v>
      </c>
      <c r="C10" s="166">
        <v>11</v>
      </c>
      <c r="D10" s="151" t="s">
        <v>158</v>
      </c>
      <c r="E10" s="150">
        <v>10</v>
      </c>
      <c r="F10" s="150">
        <v>0</v>
      </c>
      <c r="G10" s="146">
        <v>119</v>
      </c>
      <c r="H10" s="226">
        <f t="shared" si="0"/>
        <v>11.9</v>
      </c>
      <c r="I10" s="364">
        <f>+(SUM($G$7:$G$1048576)/SUM($E$7:$E$1048576))*E10</f>
        <v>171.03626943005182</v>
      </c>
      <c r="J10" s="363">
        <f>+Tabla2[[#This Row],[PROM DE USUARIOS]]-Tabla2[[#This Row],[USUARIOS]]</f>
        <v>52.036269430051817</v>
      </c>
      <c r="K10" s="151"/>
      <c r="L10" s="163">
        <f>Q10*635</f>
        <v>102258.03108808291</v>
      </c>
      <c r="M10" s="162" t="str">
        <f>+VLOOKUP(C10,Lista!B:D,3,0)</f>
        <v>MICRO</v>
      </c>
      <c r="N10" s="164">
        <f>+(SUMIFS(G:G,M:M,"MICRO",E:E,"&gt;0")*100)/COUNTIF($E$7:$E$26,"&gt;0")</f>
        <v>8340</v>
      </c>
      <c r="O10" s="164">
        <f>Tabla2[[#This Row],[USUARIOS]]*150</f>
        <v>17850</v>
      </c>
      <c r="P10" s="50">
        <f>+(E10*1)-W10</f>
        <v>10</v>
      </c>
      <c r="Q10" s="47">
        <f>+I10-P10-X10</f>
        <v>161.03626943005182</v>
      </c>
      <c r="R10" s="49">
        <f>+G10-P10</f>
        <v>109</v>
      </c>
      <c r="S10" s="51">
        <f>+E10*$T$3</f>
        <v>161.03626943005182</v>
      </c>
      <c r="T10" s="46">
        <f t="shared" si="1"/>
        <v>88569.948186528505</v>
      </c>
      <c r="U10" t="str">
        <f>+IF(K10&lt;&gt;"",K10,"")</f>
        <v/>
      </c>
      <c r="V10">
        <f>+RANK(H10,$H$6:$H$1048576,1)</f>
        <v>2</v>
      </c>
      <c r="Z10" t="str">
        <f>TRIM(Tabla2[[#This Row],[CONDUCTOR]])</f>
        <v>YEPES TORRES JHON ALEXANDER</v>
      </c>
    </row>
    <row r="11" spans="1:32" x14ac:dyDescent="0.2">
      <c r="B11" s="136" t="s">
        <v>156</v>
      </c>
      <c r="C11" s="166">
        <v>13</v>
      </c>
      <c r="D11" s="151" t="s">
        <v>164</v>
      </c>
      <c r="E11" s="150">
        <v>12</v>
      </c>
      <c r="F11" s="150">
        <v>0</v>
      </c>
      <c r="G11" s="165">
        <v>167</v>
      </c>
      <c r="H11" s="226">
        <f t="shared" si="0"/>
        <v>13.916666666666666</v>
      </c>
      <c r="I11" s="227">
        <f>+(SUM($G$7:$G$1048576)/SUM($E$7:$E$1048576))*E11</f>
        <v>205.24352331606218</v>
      </c>
      <c r="J11" s="363">
        <f>+Tabla2[[#This Row],[PROM DE USUARIOS]]-Tabla2[[#This Row],[USUARIOS]]</f>
        <v>38.243523316062181</v>
      </c>
      <c r="K11" s="151"/>
      <c r="L11" s="163">
        <f>Q11*635</f>
        <v>122709.63730569948</v>
      </c>
      <c r="M11" s="162" t="str">
        <f>+VLOOKUP(C11,Lista!B:D,3,0)</f>
        <v>MICRO</v>
      </c>
      <c r="N11" s="164">
        <f>+(SUMIFS(G:G,M:M,"MICRO",E:E,"&gt;0")*100)/COUNTIF($E$7:$E$26,"&gt;0")</f>
        <v>8340</v>
      </c>
      <c r="O11" s="164">
        <f>Tabla2[[#This Row],[USUARIOS]]*150</f>
        <v>25050</v>
      </c>
      <c r="P11" s="50">
        <f>+(E11*1)-W11</f>
        <v>12</v>
      </c>
      <c r="Q11" s="47">
        <f>+I11-P11-X11</f>
        <v>193.24352331606218</v>
      </c>
      <c r="R11" s="49">
        <f>+G11-P11</f>
        <v>155</v>
      </c>
      <c r="S11" s="51">
        <f>+E11*$T$3</f>
        <v>193.24352331606218</v>
      </c>
      <c r="T11" s="46">
        <f t="shared" si="1"/>
        <v>106283.9378238342</v>
      </c>
      <c r="U11" t="str">
        <f>+IF(K11&lt;&gt;"",K11,"")</f>
        <v/>
      </c>
      <c r="V11">
        <f>+RANK(H11,$H$6:$H$1048576,1)</f>
        <v>4</v>
      </c>
      <c r="Z11" t="str">
        <f>TRIM(Tabla2[[#This Row],[CONDUCTOR]])</f>
        <v>GIL ARLEX</v>
      </c>
    </row>
    <row r="12" spans="1:32" x14ac:dyDescent="0.2">
      <c r="B12" s="136" t="s">
        <v>156</v>
      </c>
      <c r="C12" s="166">
        <v>14</v>
      </c>
      <c r="D12" s="151" t="s">
        <v>120</v>
      </c>
      <c r="E12" s="150">
        <v>12</v>
      </c>
      <c r="F12" s="150">
        <v>0</v>
      </c>
      <c r="G12" s="146">
        <v>214</v>
      </c>
      <c r="H12" s="226">
        <f t="shared" si="0"/>
        <v>17.833333333333332</v>
      </c>
      <c r="I12" s="364">
        <f>+(SUM($G$7:$G$1048576)/SUM($E$7:$E$1048576))*E12</f>
        <v>205.24352331606218</v>
      </c>
      <c r="J12" s="363">
        <f>+Tabla2[[#This Row],[PROM DE USUARIOS]]-Tabla2[[#This Row],[USUARIOS]]</f>
        <v>-8.7564766839378194</v>
      </c>
      <c r="K12" s="151" t="s">
        <v>168</v>
      </c>
      <c r="L12" s="163">
        <f>Q12*635</f>
        <v>122709.63730569948</v>
      </c>
      <c r="M12" s="162">
        <f>+VLOOKUP(C12,Lista!B:D,3,0)</f>
        <v>0</v>
      </c>
      <c r="N12" s="164">
        <f>+(SUMIFS(G:G,M:M,"MICRO",E:E,"&gt;0")*100)/COUNTIF($E$7:$E$26,"&gt;0")</f>
        <v>8340</v>
      </c>
      <c r="O12" s="164">
        <f>Tabla2[[#This Row],[USUARIOS]]*150</f>
        <v>32100</v>
      </c>
      <c r="P12" s="50">
        <f>+(E12*1)-W12</f>
        <v>12</v>
      </c>
      <c r="Q12" s="47">
        <f>+I12-P12-X12</f>
        <v>193.24352331606218</v>
      </c>
      <c r="R12" s="49">
        <f>+G12-P12</f>
        <v>202</v>
      </c>
      <c r="S12" s="51">
        <f>+E12*$T$3</f>
        <v>193.24352331606218</v>
      </c>
      <c r="T12" s="46">
        <f t="shared" si="1"/>
        <v>106283.9378238342</v>
      </c>
      <c r="U12" t="str">
        <f>+IF(K12&lt;&gt;"",K12,"")</f>
        <v xml:space="preserve">2 Descuentos (conduct) </v>
      </c>
      <c r="V12">
        <f>+RANK(H12,$H$6:$H$1048576,1)</f>
        <v>14</v>
      </c>
      <c r="Z12" t="str">
        <f>TRIM(Tabla2[[#This Row],[CONDUCTOR]])</f>
        <v>DURANGO PAEZ GILDARDO</v>
      </c>
    </row>
    <row r="13" spans="1:32" x14ac:dyDescent="0.2">
      <c r="B13" s="136" t="s">
        <v>156</v>
      </c>
      <c r="C13" s="137">
        <v>15</v>
      </c>
      <c r="D13" s="151" t="s">
        <v>165</v>
      </c>
      <c r="E13" s="150">
        <v>10</v>
      </c>
      <c r="F13" s="150"/>
      <c r="G13" s="146">
        <v>151</v>
      </c>
      <c r="H13" s="226">
        <f t="shared" si="0"/>
        <v>15.1</v>
      </c>
      <c r="I13" s="227">
        <f>+(SUM($G$7:$G$1048576)/SUM($E$7:$E$1048576))*E13</f>
        <v>171.03626943005182</v>
      </c>
      <c r="J13" s="363">
        <f>+Tabla2[[#This Row],[PROM DE USUARIOS]]-Tabla2[[#This Row],[USUARIOS]]</f>
        <v>20.036269430051817</v>
      </c>
      <c r="K13" s="151"/>
      <c r="L13" s="163">
        <f>Q13*635</f>
        <v>102258.03108808291</v>
      </c>
      <c r="M13" s="162">
        <f>+VLOOKUP(C13,Lista!B:D,3,0)</f>
        <v>0</v>
      </c>
      <c r="N13" s="164">
        <f>+(SUMIFS(G:G,M:M,"MICRO",E:E,"&gt;0")*100)/COUNTIF($E$7:$E$26,"&gt;0")</f>
        <v>8340</v>
      </c>
      <c r="O13" s="164">
        <f>Tabla2[[#This Row],[USUARIOS]]*150</f>
        <v>22650</v>
      </c>
      <c r="P13" s="50">
        <f>+(E13*1)-W13</f>
        <v>10</v>
      </c>
      <c r="Q13" s="47">
        <f>+I13-P13-X13</f>
        <v>161.03626943005182</v>
      </c>
      <c r="R13" s="49">
        <f>+G13-P13</f>
        <v>141</v>
      </c>
      <c r="S13" s="51">
        <f>+E13*$T$3</f>
        <v>161.03626943005182</v>
      </c>
      <c r="T13" s="46">
        <f t="shared" si="1"/>
        <v>88569.948186528505</v>
      </c>
      <c r="U13" t="str">
        <f>+IF(K13&lt;&gt;"",K13,"")</f>
        <v/>
      </c>
      <c r="V13">
        <f>+RANK(H13,$H$6:$H$1048576,1)</f>
        <v>5</v>
      </c>
      <c r="Z13" t="str">
        <f>TRIM(Tabla2[[#This Row],[CONDUCTOR]])</f>
        <v>HERNANDEZ MACIAS GILBERTO</v>
      </c>
    </row>
    <row r="14" spans="1:32" x14ac:dyDescent="0.2">
      <c r="B14" s="136" t="s">
        <v>156</v>
      </c>
      <c r="C14" s="166">
        <v>21</v>
      </c>
      <c r="D14" s="151" t="s">
        <v>159</v>
      </c>
      <c r="E14" s="150">
        <v>9</v>
      </c>
      <c r="F14" s="150">
        <v>0</v>
      </c>
      <c r="G14" s="165">
        <v>184</v>
      </c>
      <c r="H14" s="226">
        <f t="shared" si="0"/>
        <v>20.444444444444443</v>
      </c>
      <c r="I14" s="227">
        <f>+(SUM($G$7:$G$1048576)/SUM($E$7:$E$1048576))*E14</f>
        <v>153.93264248704662</v>
      </c>
      <c r="J14" s="363">
        <f>+Tabla2[[#This Row],[PROM DE USUARIOS]]-Tabla2[[#This Row],[USUARIOS]]</f>
        <v>-30.067357512953379</v>
      </c>
      <c r="K14" s="151"/>
      <c r="L14" s="163">
        <f>Q14*635</f>
        <v>92032.227979274598</v>
      </c>
      <c r="M14" s="162" t="str">
        <f>+VLOOKUP(C14,Lista!B:D,3,0)</f>
        <v>MICRO</v>
      </c>
      <c r="N14" s="164">
        <f>+(SUMIFS(G:G,M:M,"MICRO",E:E,"&gt;0")*100)/COUNTIF($E$7:$E$26,"&gt;0")</f>
        <v>8340</v>
      </c>
      <c r="O14" s="164">
        <f>Tabla2[[#This Row],[USUARIOS]]*150</f>
        <v>27600</v>
      </c>
      <c r="P14" s="50">
        <f>+(E14*1)-W14</f>
        <v>9</v>
      </c>
      <c r="Q14" s="47">
        <f>+I14-P14-X14</f>
        <v>144.93264248704662</v>
      </c>
      <c r="R14" s="49">
        <f>+G14-P14</f>
        <v>175</v>
      </c>
      <c r="S14" s="51">
        <f>+E14*$T$3</f>
        <v>144.93264248704662</v>
      </c>
      <c r="T14" s="46">
        <f t="shared" si="1"/>
        <v>79712.953367875642</v>
      </c>
      <c r="U14" t="str">
        <f>+IF(K14&lt;&gt;"",K14,"")</f>
        <v/>
      </c>
      <c r="V14">
        <f>+RANK(H14,$H$6:$H$1048576,1)</f>
        <v>19</v>
      </c>
      <c r="Z14" t="str">
        <f>TRIM(Tabla2[[#This Row],[CONDUCTOR]])</f>
        <v>DAVID HENRY GIOVANNY</v>
      </c>
    </row>
    <row r="15" spans="1:32" x14ac:dyDescent="0.2">
      <c r="B15" s="136" t="s">
        <v>156</v>
      </c>
      <c r="C15" s="137">
        <v>22</v>
      </c>
      <c r="D15" s="151" t="s">
        <v>161</v>
      </c>
      <c r="E15" s="150">
        <v>5</v>
      </c>
      <c r="F15" s="150">
        <v>0</v>
      </c>
      <c r="G15" s="165">
        <v>88</v>
      </c>
      <c r="H15" s="226">
        <f t="shared" si="0"/>
        <v>17.600000000000001</v>
      </c>
      <c r="I15" s="227">
        <f>+(SUM($G$7:$G$1048576)/SUM($E$7:$E$1048576))*E15</f>
        <v>85.518134715025909</v>
      </c>
      <c r="J15" s="363">
        <f>+Tabla2[[#This Row],[PROM DE USUARIOS]]-Tabla2[[#This Row],[USUARIOS]]</f>
        <v>-2.4818652849740914</v>
      </c>
      <c r="K15" s="151"/>
      <c r="L15" s="163">
        <f>Q15*635</f>
        <v>51129.015544041453</v>
      </c>
      <c r="M15" s="162">
        <f>+VLOOKUP(C15,Lista!B:D,3,0)</f>
        <v>0</v>
      </c>
      <c r="N15" s="164">
        <f>+(SUMIFS(G:G,M:M,"MICRO",E:E,"&gt;0")*100)/COUNTIF($E$7:$E$26,"&gt;0")</f>
        <v>8340</v>
      </c>
      <c r="O15" s="164">
        <f>Tabla2[[#This Row],[USUARIOS]]*150</f>
        <v>13200</v>
      </c>
      <c r="P15" s="50">
        <f>+(E15*1)-W15</f>
        <v>5</v>
      </c>
      <c r="Q15" s="47">
        <f>+I15-P15-X15</f>
        <v>80.518134715025909</v>
      </c>
      <c r="R15" s="49">
        <f>+G15-P15</f>
        <v>83</v>
      </c>
      <c r="S15" s="51">
        <f>+E15*$T$3</f>
        <v>80.518134715025909</v>
      </c>
      <c r="T15" s="46">
        <f t="shared" si="1"/>
        <v>44284.974093264253</v>
      </c>
      <c r="U15" t="str">
        <f>+IF(K15&lt;&gt;"",K15,"")</f>
        <v/>
      </c>
      <c r="V15">
        <f>+RANK(H15,$H$6:$H$1048576,1)</f>
        <v>13</v>
      </c>
      <c r="Z15" t="str">
        <f>TRIM(Tabla2[[#This Row],[CONDUCTOR]])</f>
        <v>RUA CHAVARRIA YEFERSON ANDREY</v>
      </c>
    </row>
    <row r="16" spans="1:32" x14ac:dyDescent="0.2">
      <c r="B16" s="136" t="s">
        <v>156</v>
      </c>
      <c r="C16" s="166">
        <v>23</v>
      </c>
      <c r="D16" s="151" t="s">
        <v>150</v>
      </c>
      <c r="E16" s="150">
        <v>9</v>
      </c>
      <c r="F16" s="150">
        <v>0</v>
      </c>
      <c r="G16" s="165">
        <v>144</v>
      </c>
      <c r="H16" s="226">
        <f t="shared" si="0"/>
        <v>16</v>
      </c>
      <c r="I16" s="227">
        <f>+(SUM($G$7:$G$1048576)/SUM($E$7:$E$1048576))*E16</f>
        <v>153.93264248704662</v>
      </c>
      <c r="J16" s="363">
        <f>+Tabla2[[#This Row],[PROM DE USUARIOS]]-Tabla2[[#This Row],[USUARIOS]]</f>
        <v>9.9326424870466212</v>
      </c>
      <c r="K16" s="151"/>
      <c r="L16" s="163">
        <f>Q16*635</f>
        <v>92032.227979274598</v>
      </c>
      <c r="M16" s="162" t="str">
        <f>+VLOOKUP(C16,Lista!B:D,3,0)</f>
        <v xml:space="preserve">MICRO </v>
      </c>
      <c r="N16" s="164">
        <f>+(SUMIFS(G:G,M:M,"MICRO",E:E,"&gt;0")*100)/COUNTIF($E$7:$E$26,"&gt;0")</f>
        <v>8340</v>
      </c>
      <c r="O16" s="164">
        <f>Tabla2[[#This Row],[USUARIOS]]*150</f>
        <v>21600</v>
      </c>
      <c r="P16" s="50">
        <f>+(E16*1)-W16</f>
        <v>9</v>
      </c>
      <c r="Q16" s="47">
        <f>+I16-P16-X16</f>
        <v>144.93264248704662</v>
      </c>
      <c r="R16" s="49">
        <f>+G16-P16</f>
        <v>135</v>
      </c>
      <c r="S16" s="51">
        <f>+E16*$T$3</f>
        <v>144.93264248704662</v>
      </c>
      <c r="T16" s="46">
        <f t="shared" si="1"/>
        <v>79712.953367875642</v>
      </c>
      <c r="U16" t="str">
        <f>+IF(K16&lt;&gt;"",K16,"")</f>
        <v/>
      </c>
      <c r="V16">
        <f>+RANK(H16,$H$6:$H$1048576,1)</f>
        <v>8</v>
      </c>
      <c r="Z16" t="str">
        <f>TRIM(Tabla2[[#This Row],[CONDUCTOR]])</f>
        <v>SALDARRIAGA PARRA LUIS ALBERTO</v>
      </c>
    </row>
    <row r="17" spans="2:26" x14ac:dyDescent="0.2">
      <c r="B17" s="136" t="s">
        <v>156</v>
      </c>
      <c r="C17" s="166">
        <v>26</v>
      </c>
      <c r="D17" s="151" t="s">
        <v>160</v>
      </c>
      <c r="E17" s="150">
        <v>10</v>
      </c>
      <c r="F17" s="150">
        <v>0</v>
      </c>
      <c r="G17" s="146">
        <v>203</v>
      </c>
      <c r="H17" s="226">
        <f t="shared" si="0"/>
        <v>20.3</v>
      </c>
      <c r="I17" s="364">
        <f>+(SUM($G$7:$G$1048576)/SUM($E$7:$E$1048576))*E17</f>
        <v>171.03626943005182</v>
      </c>
      <c r="J17" s="363">
        <f>+Tabla2[[#This Row],[PROM DE USUARIOS]]-Tabla2[[#This Row],[USUARIOS]]</f>
        <v>-31.963730569948183</v>
      </c>
      <c r="K17" s="151"/>
      <c r="L17" s="163">
        <f>Q17*635</f>
        <v>102258.03108808291</v>
      </c>
      <c r="M17" s="162" t="str">
        <f>+VLOOKUP(C17,Lista!B:D,3,0)</f>
        <v>MICRO</v>
      </c>
      <c r="N17" s="164">
        <f>+(SUMIFS(G:G,M:M,"MICRO",E:E,"&gt;0")*100)/COUNTIF($E$7:$E$26,"&gt;0")</f>
        <v>8340</v>
      </c>
      <c r="O17" s="164">
        <f>Tabla2[[#This Row],[USUARIOS]]*150</f>
        <v>30450</v>
      </c>
      <c r="P17" s="50">
        <f>+(E17*1)-W17</f>
        <v>10</v>
      </c>
      <c r="Q17" s="47">
        <f>+I17-P17-X17</f>
        <v>161.03626943005182</v>
      </c>
      <c r="R17" s="49">
        <f>+G17-P17</f>
        <v>193</v>
      </c>
      <c r="S17" s="51">
        <f>+E17*$T$3</f>
        <v>161.03626943005182</v>
      </c>
      <c r="T17" s="46">
        <f t="shared" si="1"/>
        <v>88569.948186528505</v>
      </c>
      <c r="U17" t="str">
        <f>+IF(K17&lt;&gt;"",K17,"")</f>
        <v/>
      </c>
      <c r="V17">
        <f>+RANK(H17,$H$6:$H$1048576,1)</f>
        <v>18</v>
      </c>
      <c r="Z17" t="str">
        <f>TRIM(Tabla2[[#This Row],[CONDUCTOR]])</f>
        <v>ESPINOZA ECHAVARRIA EMANUEL</v>
      </c>
    </row>
    <row r="18" spans="2:26" x14ac:dyDescent="0.2">
      <c r="B18" s="136" t="s">
        <v>156</v>
      </c>
      <c r="C18" s="166">
        <v>29</v>
      </c>
      <c r="D18" s="151" t="s">
        <v>151</v>
      </c>
      <c r="E18" s="150">
        <v>11</v>
      </c>
      <c r="F18" s="150">
        <v>0</v>
      </c>
      <c r="G18" s="146">
        <v>192</v>
      </c>
      <c r="H18" s="226">
        <f t="shared" si="0"/>
        <v>17.454545454545453</v>
      </c>
      <c r="I18" s="364">
        <f>+(SUM($G$7:$G$1048576)/SUM($E$7:$E$1048576))*E18</f>
        <v>188.13989637305701</v>
      </c>
      <c r="J18" s="363">
        <f>+Tabla2[[#This Row],[PROM DE USUARIOS]]-Tabla2[[#This Row],[USUARIOS]]</f>
        <v>-3.8601036269429869</v>
      </c>
      <c r="K18" s="151"/>
      <c r="L18" s="163">
        <f>Q18*635</f>
        <v>112483.8341968912</v>
      </c>
      <c r="M18" s="162" t="str">
        <f>+VLOOKUP(C18,Lista!B:D,3,0)</f>
        <v>MICRO</v>
      </c>
      <c r="N18" s="164">
        <f>+(SUMIFS(G:G,M:M,"MICRO",E:E,"&gt;0")*100)/COUNTIF($E$7:$E$26,"&gt;0")</f>
        <v>8340</v>
      </c>
      <c r="O18" s="164">
        <f>Tabla2[[#This Row],[USUARIOS]]*150</f>
        <v>28800</v>
      </c>
      <c r="P18" s="50">
        <f>+(E18*1)-W18</f>
        <v>11</v>
      </c>
      <c r="Q18" s="47">
        <f>+I18-P18-X18</f>
        <v>177.13989637305701</v>
      </c>
      <c r="R18" s="49">
        <f>+G18-P18</f>
        <v>181</v>
      </c>
      <c r="S18" s="51">
        <f>+E18*$T$3</f>
        <v>177.13989637305701</v>
      </c>
      <c r="T18" s="46">
        <f t="shared" si="1"/>
        <v>97426.943005181354</v>
      </c>
      <c r="U18" t="str">
        <f>+IF(K18&lt;&gt;"",K18,"")</f>
        <v/>
      </c>
      <c r="V18">
        <f>+RANK(H18,$H$6:$H$1048576,1)</f>
        <v>12</v>
      </c>
      <c r="Z18" t="str">
        <f>TRIM(Tabla2[[#This Row],[CONDUCTOR]])</f>
        <v>LEON PEREZ RAUL ENRIQUE</v>
      </c>
    </row>
    <row r="19" spans="2:26" x14ac:dyDescent="0.2">
      <c r="B19" s="136" t="s">
        <v>156</v>
      </c>
      <c r="C19" s="166">
        <v>31</v>
      </c>
      <c r="D19" s="151" t="s">
        <v>149</v>
      </c>
      <c r="E19" s="150">
        <v>9</v>
      </c>
      <c r="F19" s="150">
        <v>0</v>
      </c>
      <c r="G19" s="146">
        <v>140</v>
      </c>
      <c r="H19" s="226">
        <f t="shared" si="0"/>
        <v>15.555555555555555</v>
      </c>
      <c r="I19" s="364">
        <f>+(SUM($G$7:$G$1048576)/SUM($E$7:$E$1048576))*E19</f>
        <v>153.93264248704662</v>
      </c>
      <c r="J19" s="363">
        <f>+Tabla2[[#This Row],[PROM DE USUARIOS]]-Tabla2[[#This Row],[USUARIOS]]</f>
        <v>13.932642487046621</v>
      </c>
      <c r="K19" s="151"/>
      <c r="L19" s="163">
        <f>Q19*635</f>
        <v>92032.227979274598</v>
      </c>
      <c r="M19" s="162" t="str">
        <f>+VLOOKUP(C19,Lista!B:D,3,0)</f>
        <v>MICRO</v>
      </c>
      <c r="N19" s="164">
        <f>+(SUMIFS(G:G,M:M,"MICRO",E:E,"&gt;0")*100)/COUNTIF($E$7:$E$26,"&gt;0")</f>
        <v>8340</v>
      </c>
      <c r="O19" s="164">
        <f>Tabla2[[#This Row],[USUARIOS]]*150</f>
        <v>21000</v>
      </c>
      <c r="P19" s="50">
        <f>+(E19*1)-W19</f>
        <v>9</v>
      </c>
      <c r="Q19" s="47">
        <f>+I19-P19-X19</f>
        <v>144.93264248704662</v>
      </c>
      <c r="R19" s="49">
        <f>+G19-P19</f>
        <v>131</v>
      </c>
      <c r="S19" s="51">
        <f>+E19*$T$3</f>
        <v>144.93264248704662</v>
      </c>
      <c r="T19" s="46">
        <f t="shared" si="1"/>
        <v>79712.953367875642</v>
      </c>
      <c r="U19" t="str">
        <f>+IF(K19&lt;&gt;"",K19,"")</f>
        <v/>
      </c>
      <c r="V19">
        <f>+RANK(H19,$H$6:$H$1048576,1)</f>
        <v>6</v>
      </c>
      <c r="Z19" t="str">
        <f>TRIM(Tabla2[[#This Row],[CONDUCTOR]])</f>
        <v>FRANCO CARVAJAL GERARDO ANTONIO</v>
      </c>
    </row>
    <row r="20" spans="2:26" x14ac:dyDescent="0.2">
      <c r="B20" s="136" t="s">
        <v>156</v>
      </c>
      <c r="C20" s="166">
        <v>33</v>
      </c>
      <c r="D20" s="151" t="s">
        <v>155</v>
      </c>
      <c r="E20" s="150">
        <v>9</v>
      </c>
      <c r="F20" s="150"/>
      <c r="G20" s="146">
        <v>123</v>
      </c>
      <c r="H20" s="226">
        <f t="shared" si="0"/>
        <v>13.666666666666666</v>
      </c>
      <c r="I20" s="364">
        <f>+(SUM($G$7:$G$1048576)/SUM($E$7:$E$1048576))*E20</f>
        <v>153.93264248704662</v>
      </c>
      <c r="J20" s="363">
        <f>+Tabla2[[#This Row],[PROM DE USUARIOS]]-Tabla2[[#This Row],[USUARIOS]]</f>
        <v>30.932642487046621</v>
      </c>
      <c r="K20" s="151"/>
      <c r="L20" s="163">
        <f>Q20*635</f>
        <v>92032.227979274598</v>
      </c>
      <c r="M20" s="162" t="str">
        <f>+VLOOKUP(C20,Lista!B:D,3,0)</f>
        <v>MICRO</v>
      </c>
      <c r="N20" s="164">
        <f>+(SUMIFS(G:G,M:M,"MICRO",E:E,"&gt;0")*100)/COUNTIF($E$7:$E$26,"&gt;0")</f>
        <v>8340</v>
      </c>
      <c r="O20" s="164">
        <f>Tabla2[[#This Row],[USUARIOS]]*150</f>
        <v>18450</v>
      </c>
      <c r="P20" s="50">
        <f>+(E20*1)-W20</f>
        <v>9</v>
      </c>
      <c r="Q20" s="47">
        <f>+I20-P20-X20</f>
        <v>144.93264248704662</v>
      </c>
      <c r="R20" s="49">
        <f>+G20-P20</f>
        <v>114</v>
      </c>
      <c r="S20" s="51">
        <f>+E20*$T$3</f>
        <v>144.93264248704662</v>
      </c>
      <c r="T20" s="46">
        <f t="shared" si="1"/>
        <v>79712.953367875642</v>
      </c>
      <c r="U20" t="str">
        <f>+IF(K20&lt;&gt;"",K20,"")</f>
        <v/>
      </c>
      <c r="V20">
        <f>+RANK(H20,$H$6:$H$1048576,1)</f>
        <v>3</v>
      </c>
      <c r="Z20" t="str">
        <f>TRIM(Tabla2[[#This Row],[CONDUCTOR]])</f>
        <v>MARULANDA JARAMILLO DAWER ANDRES</v>
      </c>
    </row>
    <row r="21" spans="2:26" x14ac:dyDescent="0.2">
      <c r="B21" s="136" t="s">
        <v>156</v>
      </c>
      <c r="C21" s="137">
        <v>35</v>
      </c>
      <c r="D21" s="151" t="s">
        <v>154</v>
      </c>
      <c r="E21" s="150">
        <v>11</v>
      </c>
      <c r="F21" s="150">
        <v>0</v>
      </c>
      <c r="G21" s="146">
        <v>206</v>
      </c>
      <c r="H21" s="226">
        <f t="shared" si="0"/>
        <v>18.727272727272727</v>
      </c>
      <c r="I21" s="227">
        <f>+(SUM($G$7:$G$1048576)/SUM($E$7:$E$1048576))*E21</f>
        <v>188.13989637305701</v>
      </c>
      <c r="J21" s="363">
        <f>+Tabla2[[#This Row],[PROM DE USUARIOS]]-Tabla2[[#This Row],[USUARIOS]]</f>
        <v>-17.860103626942987</v>
      </c>
      <c r="K21" s="151"/>
      <c r="L21" s="163">
        <f>Q21*635</f>
        <v>112483.8341968912</v>
      </c>
      <c r="M21" s="162">
        <f>+VLOOKUP(C21,Lista!B:D,3,0)</f>
        <v>0</v>
      </c>
      <c r="N21" s="164">
        <f>+(SUMIFS(G:G,M:M,"MICRO",E:E,"&gt;0")*100)/COUNTIF($E$7:$E$26,"&gt;0")</f>
        <v>8340</v>
      </c>
      <c r="O21" s="164">
        <f>Tabla2[[#This Row],[USUARIOS]]*150</f>
        <v>30900</v>
      </c>
      <c r="P21" s="50">
        <f>+(E21*1)-W21</f>
        <v>11</v>
      </c>
      <c r="Q21" s="47">
        <f>+I21-P21-X21</f>
        <v>177.13989637305701</v>
      </c>
      <c r="R21" s="49">
        <f>+G21-P21</f>
        <v>195</v>
      </c>
      <c r="S21" s="51">
        <f>+E21*$T$3</f>
        <v>177.13989637305701</v>
      </c>
      <c r="T21" s="46">
        <f t="shared" si="1"/>
        <v>97426.943005181354</v>
      </c>
      <c r="U21" t="str">
        <f>+IF(K21&lt;&gt;"",K21,"")</f>
        <v/>
      </c>
      <c r="V21">
        <f>+RANK(H21,$H$6:$H$1048576,1)</f>
        <v>16</v>
      </c>
      <c r="Z21" t="str">
        <f>TRIM(Tabla2[[#This Row],[CONDUCTOR]])</f>
        <v>ARAQUE ARROYAVE JOSE ALBEIRO</v>
      </c>
    </row>
    <row r="22" spans="2:26" x14ac:dyDescent="0.2">
      <c r="B22" s="136" t="s">
        <v>156</v>
      </c>
      <c r="C22" s="166">
        <v>37</v>
      </c>
      <c r="D22" s="151" t="s">
        <v>166</v>
      </c>
      <c r="E22" s="150">
        <v>10</v>
      </c>
      <c r="F22" s="150">
        <v>0</v>
      </c>
      <c r="G22" s="165">
        <v>192</v>
      </c>
      <c r="H22" s="226">
        <f t="shared" si="0"/>
        <v>19.2</v>
      </c>
      <c r="I22" s="227">
        <f>+(SUM($G$7:$G$1048576)/SUM($E$7:$E$1048576))*E22</f>
        <v>171.03626943005182</v>
      </c>
      <c r="J22" s="363">
        <f>+Tabla2[[#This Row],[PROM DE USUARIOS]]-Tabla2[[#This Row],[USUARIOS]]</f>
        <v>-20.963730569948183</v>
      </c>
      <c r="K22" s="151"/>
      <c r="L22" s="163">
        <f>Q22*635</f>
        <v>102258.03108808291</v>
      </c>
      <c r="M22" s="162">
        <f>+VLOOKUP(C22,Lista!B:D,3,0)</f>
        <v>0</v>
      </c>
      <c r="N22" s="164">
        <f>+(SUMIFS(G:G,M:M,"MICRO",E:E,"&gt;0")*100)/COUNTIF($E$7:$E$26,"&gt;0")</f>
        <v>8340</v>
      </c>
      <c r="O22" s="164">
        <f>Tabla2[[#This Row],[USUARIOS]]*150</f>
        <v>28800</v>
      </c>
      <c r="P22" s="50">
        <f>+(E22*1)-W22</f>
        <v>10</v>
      </c>
      <c r="Q22" s="47">
        <f>+I22-P22-X22</f>
        <v>161.03626943005182</v>
      </c>
      <c r="R22" s="49">
        <f>+G22-P22</f>
        <v>182</v>
      </c>
      <c r="S22" s="51">
        <f>+E22*$T$3</f>
        <v>161.03626943005182</v>
      </c>
      <c r="T22" s="46">
        <f t="shared" si="1"/>
        <v>88569.948186528505</v>
      </c>
      <c r="U22" t="str">
        <f>+IF(K22&lt;&gt;"",K22,"")</f>
        <v/>
      </c>
      <c r="V22">
        <f>+RANK(H22,$H$6:$H$1048576,1)</f>
        <v>17</v>
      </c>
      <c r="Z22" t="str">
        <f>TRIM(Tabla2[[#This Row],[CONDUCTOR]])</f>
        <v>TABORDA ROJAS DIEGO ALEJANDRO</v>
      </c>
    </row>
    <row r="23" spans="2:26" x14ac:dyDescent="0.2">
      <c r="B23" s="136" t="s">
        <v>156</v>
      </c>
      <c r="C23" s="166">
        <v>38</v>
      </c>
      <c r="D23" s="151" t="s">
        <v>162</v>
      </c>
      <c r="E23" s="150">
        <v>9</v>
      </c>
      <c r="F23" s="150">
        <v>0</v>
      </c>
      <c r="G23" s="165">
        <v>202</v>
      </c>
      <c r="H23" s="226">
        <f t="shared" si="0"/>
        <v>22.444444444444443</v>
      </c>
      <c r="I23" s="227">
        <f>+(SUM($G$7:$G$1048576)/SUM($E$7:$E$1048576))*E23</f>
        <v>153.93264248704662</v>
      </c>
      <c r="J23" s="363">
        <f>+Tabla2[[#This Row],[PROM DE USUARIOS]]-Tabla2[[#This Row],[USUARIOS]]</f>
        <v>-48.067357512953379</v>
      </c>
      <c r="K23" s="151"/>
      <c r="L23" s="163">
        <f>Q23*635</f>
        <v>92032.227979274598</v>
      </c>
      <c r="M23" s="162" t="str">
        <f>+VLOOKUP(C23,Lista!B:D,3,0)</f>
        <v>MICRO</v>
      </c>
      <c r="N23" s="164">
        <f>+(SUMIFS(G:G,M:M,"MICRO",E:E,"&gt;0")*100)/COUNTIF($E$7:$E$26,"&gt;0")</f>
        <v>8340</v>
      </c>
      <c r="O23" s="164">
        <f>Tabla2[[#This Row],[USUARIOS]]*150</f>
        <v>30300</v>
      </c>
      <c r="P23" s="50">
        <f>+(E23*1)-W23</f>
        <v>9</v>
      </c>
      <c r="Q23" s="47">
        <f>+I23-P23-X23</f>
        <v>144.93264248704662</v>
      </c>
      <c r="R23" s="49">
        <f>+G23-P23</f>
        <v>193</v>
      </c>
      <c r="S23" s="51">
        <f>+E23*$T$3</f>
        <v>144.93264248704662</v>
      </c>
      <c r="T23" s="46">
        <f t="shared" si="1"/>
        <v>79712.953367875642</v>
      </c>
      <c r="U23" t="str">
        <f>+IF(K23&lt;&gt;"",K23,"")</f>
        <v/>
      </c>
      <c r="V23">
        <f>+RANK(H23,$H$6:$H$1048576,1)</f>
        <v>21</v>
      </c>
      <c r="Z23" t="str">
        <f>TRIM(Tabla2[[#This Row],[CONDUCTOR]])</f>
        <v>IBARGUEN GARRIDO JUAN ESTEBAN</v>
      </c>
    </row>
    <row r="24" spans="2:26" x14ac:dyDescent="0.2">
      <c r="B24" s="136" t="s">
        <v>156</v>
      </c>
      <c r="C24" s="137">
        <v>41</v>
      </c>
      <c r="D24" s="151" t="s">
        <v>161</v>
      </c>
      <c r="E24" s="150">
        <v>3</v>
      </c>
      <c r="F24" s="150">
        <v>0</v>
      </c>
      <c r="G24" s="146">
        <v>30</v>
      </c>
      <c r="H24" s="226">
        <f t="shared" si="0"/>
        <v>10</v>
      </c>
      <c r="I24" s="227">
        <f>+(SUM($G$7:$G$1048576)/SUM($E$7:$E$1048576))*E24</f>
        <v>51.310880829015545</v>
      </c>
      <c r="J24" s="363">
        <f>+Tabla2[[#This Row],[PROM DE USUARIOS]]-Tabla2[[#This Row],[USUARIOS]]</f>
        <v>21.310880829015545</v>
      </c>
      <c r="K24" s="151"/>
      <c r="L24" s="163">
        <f>Q24*635</f>
        <v>30677.40932642487</v>
      </c>
      <c r="M24" s="162">
        <f>+VLOOKUP(C24,Lista!B:D,3,0)</f>
        <v>0</v>
      </c>
      <c r="N24" s="164">
        <f>+(SUMIFS(G:G,M:M,"MICRO",E:E,"&gt;0")*100)/COUNTIF($E$7:$E$26,"&gt;0")</f>
        <v>8340</v>
      </c>
      <c r="O24" s="164">
        <f>Tabla2[[#This Row],[USUARIOS]]*150</f>
        <v>4500</v>
      </c>
      <c r="P24" s="50">
        <f>+(E24*1)-W24</f>
        <v>3</v>
      </c>
      <c r="Q24" s="47">
        <f>+I24-P24-X24</f>
        <v>48.310880829015545</v>
      </c>
      <c r="R24" s="49">
        <f>+G24-P24</f>
        <v>27</v>
      </c>
      <c r="S24" s="51">
        <f>+E24*$T$3</f>
        <v>48.310880829015545</v>
      </c>
      <c r="T24" s="46">
        <f t="shared" si="1"/>
        <v>26570.984455958551</v>
      </c>
      <c r="U24" t="str">
        <f>+IF(K24&lt;&gt;"",K24,"")</f>
        <v/>
      </c>
      <c r="V24">
        <f>+RANK(H24,$H$6:$H$1048576,1)</f>
        <v>1</v>
      </c>
      <c r="Z24" t="str">
        <f>TRIM(Tabla2[[#This Row],[CONDUCTOR]])</f>
        <v>RUA CHAVARRIA YEFERSON ANDREY</v>
      </c>
    </row>
    <row r="25" spans="2:26" x14ac:dyDescent="0.2">
      <c r="B25" s="136" t="s">
        <v>156</v>
      </c>
      <c r="C25" s="166">
        <v>42</v>
      </c>
      <c r="D25" s="151" t="s">
        <v>157</v>
      </c>
      <c r="E25" s="150">
        <v>14</v>
      </c>
      <c r="F25" s="150">
        <v>0</v>
      </c>
      <c r="G25" s="165">
        <v>220</v>
      </c>
      <c r="H25" s="226">
        <f t="shared" si="0"/>
        <v>15.714285714285714</v>
      </c>
      <c r="I25" s="227">
        <f>+(SUM($G$7:$G$1048576)/SUM($E$7:$E$1048576))*E25</f>
        <v>239.45077720207254</v>
      </c>
      <c r="J25" s="363">
        <f>+Tabla2[[#This Row],[PROM DE USUARIOS]]-Tabla2[[#This Row],[USUARIOS]]</f>
        <v>19.450777202072544</v>
      </c>
      <c r="K25" s="151" t="s">
        <v>168</v>
      </c>
      <c r="L25" s="163">
        <f>Q25*635</f>
        <v>143161.24352331608</v>
      </c>
      <c r="M25" s="162">
        <f>+VLOOKUP(C25,Lista!B:D,3,0)</f>
        <v>0</v>
      </c>
      <c r="N25" s="164">
        <f>+(SUMIFS(G:G,M:M,"MICRO",E:E,"&gt;0")*100)/COUNTIF($E$7:$E$26,"&gt;0")</f>
        <v>8340</v>
      </c>
      <c r="O25" s="164">
        <f>Tabla2[[#This Row],[USUARIOS]]*150</f>
        <v>33000</v>
      </c>
      <c r="P25" s="50">
        <f>+(E25*1)-W25</f>
        <v>14</v>
      </c>
      <c r="Q25" s="47">
        <f>+I25-P25-X25</f>
        <v>225.45077720207254</v>
      </c>
      <c r="R25" s="49">
        <f>+G25-P25</f>
        <v>206</v>
      </c>
      <c r="S25" s="51">
        <f>+E25*$T$3</f>
        <v>225.45077720207254</v>
      </c>
      <c r="T25" s="46">
        <f t="shared" si="1"/>
        <v>123997.9274611399</v>
      </c>
      <c r="U25" t="str">
        <f>+IF(K25&lt;&gt;"",K25,"")</f>
        <v xml:space="preserve">2 Descuentos (conduct) </v>
      </c>
      <c r="V25">
        <f>+RANK(H25,$H$6:$H$1048576,1)</f>
        <v>7</v>
      </c>
      <c r="Z25" t="str">
        <f>TRIM(Tabla2[[#This Row],[CONDUCTOR]])</f>
        <v>BETANCUR GUZMAN JHON FERNANDO</v>
      </c>
    </row>
    <row r="26" spans="2:26" x14ac:dyDescent="0.2">
      <c r="B26" s="136" t="s">
        <v>156</v>
      </c>
      <c r="C26" s="166">
        <v>43</v>
      </c>
      <c r="D26" s="151" t="s">
        <v>152</v>
      </c>
      <c r="E26" s="150">
        <v>11</v>
      </c>
      <c r="F26" s="150">
        <v>0</v>
      </c>
      <c r="G26" s="165">
        <v>197</v>
      </c>
      <c r="H26" s="226">
        <f t="shared" si="0"/>
        <v>17.90909090909091</v>
      </c>
      <c r="I26" s="227">
        <f>+(SUM($G$7:$G$1048576)/SUM($E$7:$E$1048576))*E26</f>
        <v>188.13989637305701</v>
      </c>
      <c r="J26" s="363">
        <f>+Tabla2[[#This Row],[PROM DE USUARIOS]]-Tabla2[[#This Row],[USUARIOS]]</f>
        <v>-8.8601036269429869</v>
      </c>
      <c r="K26" s="151"/>
      <c r="L26" s="163">
        <f>Q26*635</f>
        <v>112483.8341968912</v>
      </c>
      <c r="M26" s="162">
        <f>+VLOOKUP(C26,Lista!B:D,3,0)</f>
        <v>0</v>
      </c>
      <c r="N26" s="164">
        <f>+(SUMIFS(G:G,M:M,"MICRO",E:E,"&gt;0")*100)/COUNTIF($E$7:$E$26,"&gt;0")</f>
        <v>8340</v>
      </c>
      <c r="O26" s="164">
        <f>Tabla2[[#This Row],[USUARIOS]]*150</f>
        <v>29550</v>
      </c>
      <c r="P26" s="50">
        <f>+(E26*1)-W26</f>
        <v>11</v>
      </c>
      <c r="Q26" s="47">
        <f>+I26-P26-X26</f>
        <v>177.13989637305701</v>
      </c>
      <c r="R26" s="49">
        <f>+G26-P26</f>
        <v>186</v>
      </c>
      <c r="S26" s="51">
        <f>+E26*$T$3</f>
        <v>177.13989637305701</v>
      </c>
      <c r="T26" s="46">
        <f t="shared" si="1"/>
        <v>97426.943005181354</v>
      </c>
      <c r="U26" t="str">
        <f>+IF(K26&lt;&gt;"",K26,"")</f>
        <v/>
      </c>
      <c r="V26">
        <f>+RANK(H26,$H$6:$H$1048576,1)</f>
        <v>15</v>
      </c>
      <c r="Z26" t="str">
        <f>TRIM(Tabla2[[#This Row],[CONDUCTOR]])</f>
        <v>MARIN GARCIA JUAN DANIEL</v>
      </c>
    </row>
    <row r="27" spans="2:26" x14ac:dyDescent="0.2">
      <c r="B27" s="232"/>
      <c r="C27" s="239">
        <f>SUBTOTAL(102,Tabla2[VEH])</f>
        <v>20</v>
      </c>
      <c r="D27" s="233" t="s">
        <v>167</v>
      </c>
      <c r="E27" s="234">
        <f>SUBTOTAL(109,Tabla2[VIAJES])</f>
        <v>193</v>
      </c>
      <c r="F27" s="234">
        <f>SUBTOTAL(109,Tabla2[VIAJES PERD.])</f>
        <v>0</v>
      </c>
      <c r="G27" s="240">
        <f>SUBTOTAL(109,Tabla2[USUARIOS])</f>
        <v>3301</v>
      </c>
      <c r="H27" s="373">
        <f>+Tabla2[[#Totals],[USUARIOS]]/Tabla2[[#Totals],[VIAJES]]</f>
        <v>17.103626943005182</v>
      </c>
      <c r="I27" s="240">
        <f>SUBTOTAL(109,Tabla2[PROM DE USUARIOS])</f>
        <v>3301</v>
      </c>
      <c r="J27" s="372">
        <f>SUBTOTAL(109,Tabla2[RECIBE / ENTREGA])</f>
        <v>2.8421709430404007E-14</v>
      </c>
      <c r="K27" s="235" t="s">
        <v>169</v>
      </c>
      <c r="L27" s="236"/>
      <c r="M27" s="237"/>
      <c r="N27" s="238">
        <f>SUBTOTAL(109,Tabla2[DIFER. MICRO - BUS ])</f>
        <v>166800</v>
      </c>
      <c r="O27" s="238">
        <f>SUBTOTAL(109,Tabla2[FONDO (SIT)])</f>
        <v>495150</v>
      </c>
      <c r="P27" s="50" t="e">
        <f>+(#REF!*1)-W27</f>
        <v>#REF!</v>
      </c>
      <c r="Q27" s="47" t="e">
        <f>+#REF!-P27-X27</f>
        <v>#REF!</v>
      </c>
      <c r="R27" s="49" t="e">
        <f>+#REF!-P27</f>
        <v>#REF!</v>
      </c>
      <c r="S27" s="51" t="e">
        <f>+#REF!*$T$3</f>
        <v>#REF!</v>
      </c>
      <c r="T27" s="46" t="e">
        <f t="shared" ref="S27:T43" si="2">+S27*550</f>
        <v>#REF!</v>
      </c>
      <c r="U27" t="e">
        <f>+IF(#REF!&lt;&gt;"",#REF!,"")</f>
        <v>#REF!</v>
      </c>
      <c r="V27" t="e">
        <f>+RANK(#REF!,$H$6:$H$1048576,1)</f>
        <v>#REF!</v>
      </c>
      <c r="Z27" t="e">
        <f>TRIM(Tabla2[[#This Row],[CONDUCTOR]])</f>
        <v>#VALUE!</v>
      </c>
    </row>
    <row r="28" spans="2:26" x14ac:dyDescent="0.2">
      <c r="B28" s="245"/>
      <c r="C28" s="246"/>
      <c r="D28" s="247"/>
      <c r="E28" s="248"/>
      <c r="F28" s="248"/>
      <c r="G28" s="249"/>
      <c r="H28" s="250"/>
      <c r="I28" s="251"/>
      <c r="J28" s="341"/>
      <c r="K28" s="247"/>
      <c r="L28" s="252"/>
      <c r="M28" s="253"/>
      <c r="N28" s="203"/>
      <c r="O28" s="50"/>
      <c r="P28" s="47" t="e">
        <f>+#REF!-O28-W28</f>
        <v>#REF!</v>
      </c>
      <c r="Q28" s="49" t="e">
        <f>+#REF!-O28</f>
        <v>#REF!</v>
      </c>
      <c r="R28" s="51" t="e">
        <f>+#REF!*$T$3</f>
        <v>#REF!</v>
      </c>
      <c r="S28" s="46" t="e">
        <f t="shared" si="2"/>
        <v>#REF!</v>
      </c>
      <c r="T28" t="e">
        <f>+IF(#REF!&lt;&gt;"",#REF!,"")</f>
        <v>#REF!</v>
      </c>
      <c r="U28" t="e">
        <f>+RANK(#REF!,$H$6:$H$1048576,1)</f>
        <v>#REF!</v>
      </c>
      <c r="Y28" t="e">
        <f>TRIM(Tabla2[[#This Row],[CONDUCTOR]])</f>
        <v>#VALUE!</v>
      </c>
    </row>
    <row r="29" spans="2:26" x14ac:dyDescent="0.2">
      <c r="B29" s="245"/>
      <c r="C29" s="246"/>
      <c r="D29" s="247"/>
      <c r="E29" s="248"/>
      <c r="F29" s="248"/>
      <c r="G29" s="249"/>
      <c r="H29" s="250"/>
      <c r="I29" s="251"/>
      <c r="J29" s="341"/>
      <c r="K29" s="247"/>
      <c r="L29" s="252"/>
      <c r="M29" s="253"/>
      <c r="N29" s="203"/>
      <c r="O29" s="50"/>
      <c r="P29" s="47" t="e">
        <f>+#REF!-O29-W29</f>
        <v>#REF!</v>
      </c>
      <c r="Q29" s="49" t="e">
        <f>+#REF!-O29</f>
        <v>#REF!</v>
      </c>
      <c r="R29" s="51" t="e">
        <f>+#REF!*$T$3</f>
        <v>#REF!</v>
      </c>
      <c r="S29" s="46" t="e">
        <f t="shared" si="2"/>
        <v>#REF!</v>
      </c>
      <c r="T29" t="e">
        <f>+IF(#REF!&lt;&gt;"",#REF!,"")</f>
        <v>#REF!</v>
      </c>
      <c r="U29" t="e">
        <f>+RANK(#REF!,$H$6:$H$1048576,1)</f>
        <v>#REF!</v>
      </c>
      <c r="Y29" t="e">
        <f>TRIM(Tabla2[[#This Row],[CONDUCTOR]])</f>
        <v>#VALUE!</v>
      </c>
    </row>
    <row r="30" spans="2:26" s="2" customFormat="1" x14ac:dyDescent="0.2">
      <c r="B30" s="245"/>
      <c r="C30" s="246"/>
      <c r="D30" s="247"/>
      <c r="E30" s="248"/>
      <c r="F30" s="248"/>
      <c r="G30" s="249"/>
      <c r="H30" s="250"/>
      <c r="I30" s="251"/>
      <c r="J30" s="341"/>
      <c r="K30" s="247"/>
      <c r="L30" s="252"/>
      <c r="M30" s="253"/>
      <c r="N30" s="203"/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si="2"/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6" x14ac:dyDescent="0.2">
      <c r="B31" s="245"/>
      <c r="C31" s="246"/>
      <c r="D31" s="247"/>
      <c r="E31" s="248"/>
      <c r="F31" s="248"/>
      <c r="G31" s="254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2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6" x14ac:dyDescent="0.2">
      <c r="B32" s="245"/>
      <c r="C32" s="246"/>
      <c r="D32" s="247"/>
      <c r="E32" s="248"/>
      <c r="F32" s="248"/>
      <c r="G32" s="254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2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55"/>
      <c r="D33" s="247"/>
      <c r="E33" s="248"/>
      <c r="F33" s="248"/>
      <c r="G33" s="199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2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55"/>
      <c r="D34" s="247"/>
      <c r="E34" s="248"/>
      <c r="F34" s="248"/>
      <c r="G34" s="199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2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46"/>
      <c r="D35" s="247"/>
      <c r="E35" s="248"/>
      <c r="F35" s="248"/>
      <c r="G35" s="254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2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55"/>
      <c r="D36" s="247"/>
      <c r="E36" s="248"/>
      <c r="F36" s="248"/>
      <c r="G36" s="199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2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46"/>
      <c r="D37" s="247"/>
      <c r="E37" s="248"/>
      <c r="F37" s="248"/>
      <c r="G37" s="254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2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2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2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2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2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2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2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ref="S44" si="3">+R44*550</f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:S46" si="4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si="4"/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5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6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7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+(E90*1)-V50</f>
        <v>0</v>
      </c>
      <c r="P50" s="134">
        <f>+I90-O50-W50</f>
        <v>0</v>
      </c>
      <c r="Q50" s="11">
        <f>+G90-O50</f>
        <v>0</v>
      </c>
      <c r="R50">
        <f>+E90*$T$3</f>
        <v>0</v>
      </c>
      <c r="S50">
        <f t="shared" ref="S50:S55" si="8">+R50*550</f>
        <v>0</v>
      </c>
      <c r="T50" t="str">
        <f>+IF(K90&lt;&gt;"",K90,"")</f>
        <v/>
      </c>
      <c r="U50" t="e">
        <f>+RANK(H90,$H$6:$H$1048576,1)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+(E91*1)-V51</f>
        <v>0</v>
      </c>
      <c r="P51" s="134">
        <f>+I91-O51-W51</f>
        <v>0</v>
      </c>
      <c r="Q51" s="11">
        <f>+G91-O51</f>
        <v>0</v>
      </c>
      <c r="R51">
        <f>+E91*$T$3</f>
        <v>0</v>
      </c>
      <c r="S51">
        <f t="shared" si="8"/>
        <v>0</v>
      </c>
      <c r="T51" t="str">
        <f>+IF(K91&lt;&gt;"",K91,"")</f>
        <v/>
      </c>
      <c r="U51" t="e">
        <f>+RANK(H91,$H$6:$H$1048576,1)</f>
        <v>#N/A</v>
      </c>
    </row>
    <row r="52" spans="2:21" x14ac:dyDescent="0.2">
      <c r="B52" s="245"/>
      <c r="C52" s="255"/>
      <c r="D52" s="247"/>
      <c r="E52" s="248"/>
      <c r="F52" s="248"/>
      <c r="G52" s="256"/>
      <c r="H52" s="250"/>
      <c r="I52" s="221"/>
      <c r="J52" s="342"/>
      <c r="K52" s="247"/>
      <c r="L52" s="252"/>
      <c r="M52" s="253"/>
      <c r="N52" s="203"/>
      <c r="O52">
        <f>+(E92*1)-V52</f>
        <v>0</v>
      </c>
      <c r="P52" s="134">
        <f>+I92-O52-W52</f>
        <v>0</v>
      </c>
      <c r="Q52" s="11">
        <f>+G92-O52</f>
        <v>0</v>
      </c>
      <c r="R52">
        <f>+E92*$T$3</f>
        <v>0</v>
      </c>
      <c r="S52">
        <f t="shared" si="8"/>
        <v>0</v>
      </c>
      <c r="T52" t="str">
        <f>+IF(K92&lt;&gt;"",K92,"")</f>
        <v/>
      </c>
      <c r="U52" t="e">
        <f>+RANK(H92,$H$6:$H$1048576,1)</f>
        <v>#N/A</v>
      </c>
    </row>
    <row r="53" spans="2:21" x14ac:dyDescent="0.2">
      <c r="B53" s="245"/>
      <c r="C53" s="246"/>
      <c r="D53" s="247"/>
      <c r="E53" s="248"/>
      <c r="F53" s="248"/>
      <c r="G53" s="256"/>
      <c r="H53" s="250"/>
      <c r="I53" s="221"/>
      <c r="J53" s="342"/>
      <c r="K53" s="247"/>
      <c r="L53" s="252"/>
      <c r="M53" s="253"/>
      <c r="N53" s="203"/>
      <c r="O53">
        <f>+(E93*1)-V53</f>
        <v>0</v>
      </c>
      <c r="P53" s="134">
        <f>+I93-O53-W53</f>
        <v>0</v>
      </c>
      <c r="Q53" s="11">
        <f>+G93-O53</f>
        <v>0</v>
      </c>
      <c r="R53">
        <f>+E93*$T$3</f>
        <v>0</v>
      </c>
      <c r="S53">
        <f t="shared" si="8"/>
        <v>0</v>
      </c>
      <c r="T53" t="str">
        <f>+IF(K93&lt;&gt;"",K93,"")</f>
        <v/>
      </c>
      <c r="U53" t="e">
        <f>+RANK(H93,$H$6:$H$1048576,1)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21"/>
      <c r="J54" s="342"/>
      <c r="K54" s="247"/>
      <c r="L54" s="252"/>
      <c r="M54" s="253"/>
      <c r="N54" s="203"/>
      <c r="O54">
        <f>+(E94*1)-V54</f>
        <v>0</v>
      </c>
      <c r="P54" s="134">
        <f>+I94-O54-W54</f>
        <v>0</v>
      </c>
      <c r="Q54" s="11">
        <f>+G94-O54</f>
        <v>0</v>
      </c>
      <c r="R54">
        <f>+E94*$T$3</f>
        <v>0</v>
      </c>
      <c r="S54">
        <f t="shared" si="8"/>
        <v>0</v>
      </c>
      <c r="T54" t="str">
        <f>+IF(K94&lt;&gt;"",K94,"")</f>
        <v/>
      </c>
      <c r="U54" t="e">
        <f>+RANK(H94,$H$6:$H$1048576,1)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21"/>
      <c r="J55" s="342"/>
      <c r="K55" s="247"/>
      <c r="L55" s="252"/>
      <c r="M55" s="253"/>
      <c r="N55" s="203"/>
      <c r="O55">
        <f>+(E95*1)-V55</f>
        <v>0</v>
      </c>
      <c r="P55" s="134">
        <f>+I95-O55-W55</f>
        <v>0</v>
      </c>
      <c r="Q55" s="11">
        <f>+G95-O55</f>
        <v>0</v>
      </c>
      <c r="R55">
        <f>+E95*$T$3</f>
        <v>0</v>
      </c>
      <c r="S55">
        <f t="shared" si="8"/>
        <v>0</v>
      </c>
      <c r="T55" t="str">
        <f>+IF(K95&lt;&gt;"",K95,"")</f>
        <v/>
      </c>
      <c r="U55" t="e">
        <f>+RANK(H95,$H$6:$H$1048576,1)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55"/>
      <c r="D57" s="247"/>
      <c r="E57" s="248"/>
      <c r="F57" s="248"/>
      <c r="G57" s="199"/>
      <c r="H57" s="257"/>
      <c r="I57" s="222"/>
      <c r="J57" s="343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21"/>
      <c r="J58" s="342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55"/>
      <c r="D59" s="247"/>
      <c r="E59" s="248"/>
      <c r="F59" s="248"/>
      <c r="G59" s="199"/>
      <c r="H59" s="257"/>
      <c r="I59" s="222"/>
      <c r="J59" s="343"/>
      <c r="K59" s="247"/>
      <c r="L59" s="252"/>
      <c r="M59" s="253"/>
      <c r="N59" s="258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55"/>
      <c r="D60" s="247"/>
      <c r="E60" s="248"/>
      <c r="F60" s="248"/>
      <c r="G60" s="254"/>
      <c r="H60" s="257"/>
      <c r="I60" s="222"/>
      <c r="J60" s="343"/>
      <c r="K60" s="247"/>
      <c r="L60" s="252"/>
      <c r="M60" s="253"/>
      <c r="N60" s="258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21"/>
      <c r="J61" s="342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9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21"/>
      <c r="J62" s="342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9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21"/>
      <c r="J63" s="342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9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55"/>
      <c r="D64" s="247"/>
      <c r="E64" s="248"/>
      <c r="F64" s="248"/>
      <c r="G64" s="199"/>
      <c r="H64" s="257"/>
      <c r="I64" s="222"/>
      <c r="J64" s="343"/>
      <c r="K64" s="247"/>
      <c r="L64" s="203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9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21"/>
      <c r="J65" s="342"/>
      <c r="K65" s="247"/>
      <c r="L65" s="252"/>
      <c r="M65" s="253"/>
      <c r="N65" s="258"/>
      <c r="O65">
        <f>+(E59*1)-V65</f>
        <v>0</v>
      </c>
      <c r="P65" s="134">
        <f>+I59-O65-W65</f>
        <v>0</v>
      </c>
      <c r="Q65" s="11">
        <f>+G59-O65</f>
        <v>0</v>
      </c>
      <c r="R65">
        <f>+E59*$T$3</f>
        <v>0</v>
      </c>
      <c r="S65">
        <f t="shared" si="9"/>
        <v>0</v>
      </c>
      <c r="T65" t="str">
        <f>+IF(K59&lt;&gt;"",K59,"")</f>
        <v/>
      </c>
      <c r="U65" t="e">
        <f>+RANK(H59,$H$6:$H$1048576,1)</f>
        <v>#N/A</v>
      </c>
    </row>
    <row r="66" spans="2:21" x14ac:dyDescent="0.2">
      <c r="B66" s="245"/>
      <c r="C66" s="246"/>
      <c r="D66" s="247"/>
      <c r="E66" s="248"/>
      <c r="F66" s="248"/>
      <c r="G66" s="256"/>
      <c r="H66" s="250"/>
      <c r="I66" s="221"/>
      <c r="J66" s="342"/>
      <c r="K66" s="247"/>
      <c r="L66" s="252"/>
      <c r="M66" s="253"/>
      <c r="N66" s="258"/>
      <c r="O66">
        <f>+(E60*1)-V66</f>
        <v>0</v>
      </c>
      <c r="P66" s="134">
        <f>+I60-O66-W66</f>
        <v>0</v>
      </c>
      <c r="Q66" s="11">
        <f>+G60-O66</f>
        <v>0</v>
      </c>
      <c r="R66">
        <f>+E60*$T$3</f>
        <v>0</v>
      </c>
      <c r="S66">
        <f t="shared" si="9"/>
        <v>0</v>
      </c>
      <c r="T66" t="str">
        <f>+IF(K60&lt;&gt;"",K60,"")</f>
        <v/>
      </c>
      <c r="U66" t="e">
        <f>+RANK(H60,$H$6:$H$1048576,1)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21"/>
      <c r="J67" s="342"/>
      <c r="K67" s="247"/>
      <c r="L67" s="252"/>
      <c r="M67" s="253"/>
      <c r="N67" s="258"/>
      <c r="O67">
        <f>+(E61*1)-V67</f>
        <v>0</v>
      </c>
      <c r="P67" s="134">
        <f>+I61-O67-W67</f>
        <v>0</v>
      </c>
      <c r="Q67" s="11">
        <f>+G61-O67</f>
        <v>0</v>
      </c>
      <c r="R67">
        <f>+E61*$T$3</f>
        <v>0</v>
      </c>
      <c r="S67">
        <f t="shared" si="9"/>
        <v>0</v>
      </c>
      <c r="T67" t="str">
        <f>+IF(K61&lt;&gt;"",K61,"")</f>
        <v/>
      </c>
      <c r="U67" t="e">
        <f>+RANK(H61,$H$6:$H$1048576,1)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+(E62*1)-V68</f>
        <v>0</v>
      </c>
      <c r="P68" s="134">
        <f>+I62-O68-W68</f>
        <v>0</v>
      </c>
      <c r="Q68" s="11">
        <f>+G62-O68</f>
        <v>0</v>
      </c>
      <c r="R68">
        <f>+E62*$T$3</f>
        <v>0</v>
      </c>
      <c r="S68">
        <f t="shared" si="9"/>
        <v>0</v>
      </c>
      <c r="T68" t="str">
        <f>+IF(K62&lt;&gt;"",K62,"")</f>
        <v/>
      </c>
      <c r="U68" t="e">
        <f>+RANK(H62,$H$6:$H$1048576,1)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+(E63*1)-V69</f>
        <v>0</v>
      </c>
      <c r="P69" s="134">
        <f>+I63-O69-W69</f>
        <v>0</v>
      </c>
      <c r="Q69" s="11">
        <f>+G63-O69</f>
        <v>0</v>
      </c>
      <c r="R69">
        <f>+E63*$T$3</f>
        <v>0</v>
      </c>
      <c r="S69">
        <f t="shared" si="9"/>
        <v>0</v>
      </c>
      <c r="T69" t="str">
        <f>+IF(K63&lt;&gt;"",K63,"")</f>
        <v/>
      </c>
      <c r="U69" t="e">
        <f>+RANK(H63,$H$6:$H$1048576,1)</f>
        <v>#N/A</v>
      </c>
    </row>
    <row r="70" spans="2:21" x14ac:dyDescent="0.2">
      <c r="B70" s="245"/>
      <c r="C70" s="246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58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03"/>
      <c r="M72" s="253"/>
      <c r="N72" s="258"/>
    </row>
    <row r="73" spans="2:21" x14ac:dyDescent="0.2">
      <c r="B73" s="245"/>
      <c r="C73" s="255"/>
      <c r="D73" s="247"/>
      <c r="E73" s="248"/>
      <c r="F73" s="248"/>
      <c r="G73" s="199"/>
      <c r="H73" s="257"/>
      <c r="I73" s="222"/>
      <c r="J73" s="343"/>
      <c r="K73" s="247"/>
      <c r="L73" s="203"/>
      <c r="M73" s="253"/>
      <c r="N73" s="258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58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03"/>
      <c r="M76" s="253"/>
      <c r="N76" s="258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03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9"/>
      <c r="I78" s="260"/>
      <c r="J78" s="344"/>
      <c r="K78" s="247"/>
      <c r="L78" s="203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03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6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6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6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55"/>
      <c r="D97" s="247"/>
      <c r="E97" s="248"/>
      <c r="F97" s="248"/>
      <c r="G97" s="199"/>
      <c r="H97" s="257"/>
      <c r="I97" s="222"/>
      <c r="J97" s="343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03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03"/>
    </row>
    <row r="103" spans="2:14" x14ac:dyDescent="0.2">
      <c r="B103" s="245"/>
      <c r="C103" s="246"/>
      <c r="D103" s="245"/>
      <c r="E103" s="248"/>
      <c r="F103" s="248"/>
      <c r="G103" s="261"/>
      <c r="H103" s="250"/>
      <c r="I103" s="221"/>
      <c r="J103" s="342"/>
      <c r="K103" s="247"/>
      <c r="L103" s="252"/>
      <c r="M103" s="253"/>
      <c r="N103" s="203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03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2">
      <c r="B108" s="245"/>
      <c r="C108" s="255"/>
      <c r="D108" s="247"/>
      <c r="E108" s="248"/>
      <c r="F108" s="248"/>
      <c r="G108" s="199"/>
      <c r="H108" s="257"/>
      <c r="I108" s="222"/>
      <c r="J108" s="343"/>
      <c r="K108" s="262"/>
      <c r="L108" s="252"/>
      <c r="M108" s="253"/>
      <c r="N108" s="203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03"/>
    </row>
    <row r="110" spans="2:14" x14ac:dyDescent="0.2">
      <c r="B110" s="245"/>
      <c r="C110" s="255"/>
      <c r="D110" s="247"/>
      <c r="E110" s="248"/>
      <c r="F110" s="248"/>
      <c r="G110" s="199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03"/>
    </row>
    <row r="112" spans="2:14" x14ac:dyDescent="0.2">
      <c r="B112" s="245"/>
      <c r="C112" s="246"/>
      <c r="D112" s="247"/>
      <c r="E112" s="248"/>
      <c r="F112" s="248"/>
      <c r="G112" s="254"/>
      <c r="H112" s="200"/>
      <c r="I112" s="221"/>
      <c r="J112" s="342"/>
      <c r="K112" s="247"/>
      <c r="L112" s="252"/>
      <c r="M112" s="253"/>
      <c r="N112" s="203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0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03"/>
    </row>
    <row r="117" spans="2:14" x14ac:dyDescent="0.2">
      <c r="B117" s="245"/>
      <c r="C117" s="255"/>
      <c r="D117" s="247"/>
      <c r="E117" s="248"/>
      <c r="F117" s="248"/>
      <c r="G117" s="199"/>
      <c r="H117" s="20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0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55"/>
      <c r="D119" s="247"/>
      <c r="E119" s="248"/>
      <c r="F119" s="248"/>
      <c r="G119" s="199"/>
      <c r="H119" s="20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0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55"/>
      <c r="D121" s="247"/>
      <c r="E121" s="248"/>
      <c r="F121" s="248"/>
      <c r="G121" s="199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55"/>
      <c r="D122" s="247"/>
      <c r="E122" s="248"/>
      <c r="F122" s="248"/>
      <c r="G122" s="199"/>
      <c r="H122" s="20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55"/>
      <c r="D123" s="245"/>
      <c r="E123" s="248"/>
      <c r="F123" s="248"/>
      <c r="G123" s="201"/>
      <c r="H123" s="20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0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55"/>
      <c r="D131" s="247"/>
      <c r="E131" s="248"/>
      <c r="F131" s="248"/>
      <c r="G131" s="199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55"/>
      <c r="D133" s="247"/>
      <c r="E133" s="248"/>
      <c r="F133" s="248"/>
      <c r="G133" s="199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50"/>
      <c r="I137" s="251"/>
      <c r="J137" s="341"/>
      <c r="K137" s="247"/>
      <c r="L137" s="252"/>
      <c r="M137" s="253"/>
      <c r="N137" s="203"/>
    </row>
    <row r="138" spans="2:14" x14ac:dyDescent="0.2">
      <c r="B138" s="245"/>
      <c r="C138" s="246"/>
      <c r="D138" s="247"/>
      <c r="E138" s="248"/>
      <c r="F138" s="248"/>
      <c r="G138" s="254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46"/>
      <c r="D140" s="247"/>
      <c r="E140" s="248"/>
      <c r="F140" s="248"/>
      <c r="G140" s="254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58"/>
    </row>
    <row r="145" spans="2:14" x14ac:dyDescent="0.2">
      <c r="B145" s="245"/>
      <c r="C145" s="246"/>
      <c r="D145" s="247"/>
      <c r="E145" s="248"/>
      <c r="F145" s="248"/>
      <c r="G145" s="254"/>
      <c r="H145" s="20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03"/>
      <c r="M174" s="253"/>
      <c r="N174" s="258"/>
    </row>
    <row r="175" spans="2:14" x14ac:dyDescent="0.2">
      <c r="B175" s="245"/>
      <c r="C175" s="246"/>
      <c r="D175" s="247"/>
      <c r="E175" s="248"/>
      <c r="F175" s="248"/>
      <c r="G175" s="254"/>
      <c r="H175" s="250"/>
      <c r="I175" s="221"/>
      <c r="J175" s="342"/>
      <c r="K175" s="247"/>
      <c r="L175" s="252"/>
      <c r="M175" s="253"/>
      <c r="N175" s="258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44"/>
      <c r="I177" s="222"/>
      <c r="J177" s="343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55"/>
      <c r="D179" s="247"/>
      <c r="E179" s="248"/>
      <c r="F179" s="248"/>
      <c r="G179" s="199"/>
      <c r="H179" s="244"/>
      <c r="I179" s="222"/>
      <c r="J179" s="343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44"/>
      <c r="I181" s="222"/>
      <c r="J181" s="343"/>
      <c r="K181" s="247"/>
      <c r="L181" s="203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03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44"/>
      <c r="I183" s="222"/>
      <c r="J183" s="343"/>
      <c r="K183" s="247"/>
      <c r="L183" s="203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03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55"/>
      <c r="D186" s="247"/>
      <c r="E186" s="248"/>
      <c r="F186" s="248"/>
      <c r="G186" s="199"/>
      <c r="H186" s="244"/>
      <c r="I186" s="222"/>
      <c r="J186" s="343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03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03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44"/>
      <c r="I192" s="222"/>
      <c r="J192" s="343"/>
      <c r="K192" s="247"/>
      <c r="L192" s="203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03"/>
      <c r="M198" s="253"/>
      <c r="N198" s="203"/>
    </row>
    <row r="199" spans="2:14" x14ac:dyDescent="0.2">
      <c r="B199" s="245"/>
      <c r="C199" s="246"/>
      <c r="D199" s="245"/>
      <c r="E199" s="248"/>
      <c r="F199" s="248"/>
      <c r="G199" s="261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46"/>
      <c r="D203" s="245"/>
      <c r="E203" s="248"/>
      <c r="F203" s="248"/>
      <c r="G203" s="261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46"/>
      <c r="D205" s="245"/>
      <c r="E205" s="248"/>
      <c r="F205" s="248"/>
      <c r="G205" s="261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55"/>
      <c r="D208" s="247"/>
      <c r="E208" s="248"/>
      <c r="F208" s="248"/>
      <c r="G208" s="261"/>
      <c r="H208" s="263"/>
      <c r="I208" s="260"/>
      <c r="J208" s="344"/>
      <c r="K208" s="247"/>
      <c r="L208" s="252"/>
      <c r="M208" s="253"/>
      <c r="N208" s="203"/>
    </row>
    <row r="209" spans="2:14" x14ac:dyDescent="0.2">
      <c r="B209" s="245"/>
      <c r="C209" s="246"/>
      <c r="D209" s="245"/>
      <c r="E209" s="248"/>
      <c r="F209" s="248"/>
      <c r="G209" s="261"/>
      <c r="H209" s="200"/>
      <c r="I209" s="221"/>
      <c r="J209" s="342"/>
      <c r="K209" s="245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55"/>
      <c r="D218" s="247"/>
      <c r="E218" s="248"/>
      <c r="F218" s="248"/>
      <c r="G218" s="199"/>
      <c r="H218" s="244"/>
      <c r="I218" s="222"/>
      <c r="J218" s="343"/>
      <c r="K218" s="247"/>
      <c r="L218" s="252"/>
      <c r="M218" s="253"/>
      <c r="N218" s="203"/>
    </row>
    <row r="219" spans="2:14" x14ac:dyDescent="0.2">
      <c r="B219" s="245"/>
      <c r="C219" s="255"/>
      <c r="D219" s="247"/>
      <c r="E219" s="248"/>
      <c r="F219" s="248"/>
      <c r="G219" s="199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03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55"/>
      <c r="D242" s="247"/>
      <c r="E242" s="248"/>
      <c r="F242" s="248"/>
      <c r="G242" s="261"/>
      <c r="H242" s="200"/>
      <c r="I242" s="221"/>
      <c r="J242" s="342"/>
      <c r="K242" s="245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62"/>
      <c r="L243" s="252"/>
      <c r="M243" s="253"/>
      <c r="N243" s="203"/>
    </row>
    <row r="244" spans="2:14" x14ac:dyDescent="0.2">
      <c r="B244" s="245"/>
      <c r="C244" s="255"/>
      <c r="D244" s="245"/>
      <c r="E244" s="248"/>
      <c r="F244" s="248"/>
      <c r="G244" s="201"/>
      <c r="H244" s="200"/>
      <c r="I244" s="221"/>
      <c r="J244" s="342"/>
      <c r="K244" s="262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5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5"/>
      <c r="E248" s="248"/>
      <c r="F248" s="248"/>
      <c r="G248" s="261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55"/>
      <c r="D249" s="247"/>
      <c r="E249" s="248"/>
      <c r="F249" s="248"/>
      <c r="G249" s="199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55"/>
      <c r="D254" s="245"/>
      <c r="E254" s="248"/>
      <c r="F254" s="248"/>
      <c r="G254" s="201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55"/>
      <c r="D255" s="245"/>
      <c r="E255" s="248"/>
      <c r="F255" s="248"/>
      <c r="G255" s="261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55"/>
      <c r="D259" s="247"/>
      <c r="E259" s="248"/>
      <c r="F259" s="248"/>
      <c r="G259" s="199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5"/>
      <c r="E260" s="248"/>
      <c r="F260" s="248"/>
      <c r="G260" s="261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7"/>
      <c r="E263" s="248"/>
      <c r="F263" s="248"/>
      <c r="G263" s="199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5"/>
      <c r="E265" s="248"/>
      <c r="F265" s="248"/>
      <c r="G265" s="261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55"/>
      <c r="D266" s="247"/>
      <c r="E266" s="248"/>
      <c r="F266" s="248"/>
      <c r="G266" s="199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2"/>
      <c r="I268" s="223"/>
      <c r="J268" s="345"/>
      <c r="K268" s="264"/>
      <c r="L268" s="252"/>
      <c r="M268" s="253"/>
      <c r="N268" s="265"/>
    </row>
    <row r="269" spans="2:14" x14ac:dyDescent="0.2">
      <c r="B269" s="245"/>
      <c r="C269" s="246"/>
      <c r="D269" s="247"/>
      <c r="E269" s="248"/>
      <c r="F269" s="248"/>
      <c r="G269" s="254"/>
      <c r="H269" s="202"/>
      <c r="I269" s="223"/>
      <c r="J269" s="345"/>
      <c r="K269" s="264"/>
      <c r="L269" s="252"/>
      <c r="M269" s="253"/>
      <c r="N269" s="265"/>
    </row>
    <row r="270" spans="2:14" x14ac:dyDescent="0.2">
      <c r="B270" s="245"/>
      <c r="C270" s="246"/>
      <c r="D270" s="247"/>
      <c r="E270" s="248"/>
      <c r="F270" s="248"/>
      <c r="G270" s="254"/>
      <c r="H270" s="202"/>
      <c r="I270" s="223"/>
      <c r="J270" s="345"/>
      <c r="K270" s="264"/>
      <c r="L270" s="252"/>
      <c r="M270" s="253"/>
      <c r="N270" s="265"/>
    </row>
    <row r="271" spans="2:14" x14ac:dyDescent="0.2">
      <c r="B271" s="245"/>
      <c r="C271" s="246"/>
      <c r="D271" s="247"/>
      <c r="E271" s="248"/>
      <c r="F271" s="248"/>
      <c r="G271" s="254"/>
      <c r="H271" s="202"/>
      <c r="I271" s="223"/>
      <c r="J271" s="345"/>
      <c r="K271" s="266"/>
      <c r="L271" s="252"/>
      <c r="M271" s="253"/>
      <c r="N271" s="265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6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4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6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5"/>
      <c r="E283" s="248"/>
      <c r="F283" s="248"/>
      <c r="G283" s="261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7"/>
      <c r="E284" s="248"/>
      <c r="F284" s="248"/>
      <c r="G284" s="254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7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7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55"/>
      <c r="D356" s="247"/>
      <c r="E356" s="248"/>
      <c r="F356" s="248"/>
      <c r="G356" s="199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55"/>
      <c r="D360" s="247"/>
      <c r="E360" s="248"/>
      <c r="F360" s="248"/>
      <c r="G360" s="199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55"/>
      <c r="D361" s="247"/>
      <c r="E361" s="248"/>
      <c r="F361" s="248"/>
      <c r="G361" s="199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55"/>
      <c r="D362" s="247"/>
      <c r="E362" s="248"/>
      <c r="F362" s="248"/>
      <c r="G362" s="199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55"/>
      <c r="D367" s="247"/>
      <c r="E367" s="248"/>
      <c r="F367" s="248"/>
      <c r="G367" s="199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55"/>
      <c r="D372" s="247"/>
      <c r="E372" s="248"/>
      <c r="F372" s="248"/>
      <c r="G372" s="199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5"/>
      <c r="E383" s="248"/>
      <c r="F383" s="248"/>
      <c r="G383" s="261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5"/>
      <c r="E384" s="248"/>
      <c r="F384" s="248"/>
      <c r="G384" s="261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5"/>
      <c r="E387" s="248"/>
      <c r="F387" s="248"/>
      <c r="G387" s="261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5"/>
      <c r="E388" s="248"/>
      <c r="F388" s="248"/>
      <c r="G388" s="261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55"/>
      <c r="D389" s="247"/>
      <c r="E389" s="248"/>
      <c r="F389" s="248"/>
      <c r="G389" s="199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55"/>
      <c r="D396" s="247"/>
      <c r="E396" s="248"/>
      <c r="F396" s="248"/>
      <c r="G396" s="199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55"/>
      <c r="D398" s="247"/>
      <c r="E398" s="248"/>
      <c r="F398" s="248"/>
      <c r="G398" s="199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4"/>
      <c r="L409" s="252"/>
      <c r="M409" s="253"/>
      <c r="N409" s="265"/>
    </row>
    <row r="410" spans="2:14" x14ac:dyDescent="0.2">
      <c r="B410" s="245"/>
      <c r="C410" s="246"/>
      <c r="D410" s="245"/>
      <c r="E410" s="248"/>
      <c r="F410" s="248"/>
      <c r="G410" s="261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4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5"/>
      <c r="E418" s="248"/>
      <c r="F418" s="248"/>
      <c r="G418" s="261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55"/>
      <c r="D424" s="247"/>
      <c r="E424" s="248"/>
      <c r="F424" s="248"/>
      <c r="G424" s="199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55"/>
      <c r="D427" s="247"/>
      <c r="E427" s="248"/>
      <c r="F427" s="248"/>
      <c r="G427" s="199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68"/>
      <c r="F431" s="268"/>
      <c r="G431" s="269"/>
      <c r="H431" s="270"/>
      <c r="I431" s="271"/>
      <c r="J431" s="346"/>
      <c r="K431" s="266"/>
      <c r="L431" s="252"/>
      <c r="M431" s="253"/>
      <c r="N431" s="265"/>
    </row>
    <row r="432" spans="2:14" x14ac:dyDescent="0.2">
      <c r="B432" s="245"/>
      <c r="C432" s="255"/>
      <c r="D432" s="247"/>
      <c r="E432" s="248"/>
      <c r="F432" s="248"/>
      <c r="G432" s="261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55"/>
      <c r="D434" s="247"/>
      <c r="E434" s="248"/>
      <c r="F434" s="248"/>
      <c r="G434" s="199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5"/>
      <c r="E435" s="248"/>
      <c r="F435" s="248"/>
      <c r="G435" s="261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4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5"/>
      <c r="E470" s="248"/>
      <c r="F470" s="248"/>
      <c r="G470" s="261"/>
      <c r="H470" s="202"/>
      <c r="I470" s="223"/>
      <c r="J470" s="345"/>
      <c r="K470" s="264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4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4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4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55"/>
      <c r="D483" s="247"/>
      <c r="E483" s="248"/>
      <c r="F483" s="248"/>
      <c r="G483" s="199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4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7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5"/>
      <c r="E503" s="248"/>
      <c r="F503" s="272"/>
      <c r="G503" s="261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55"/>
      <c r="D507" s="247"/>
      <c r="E507" s="248"/>
      <c r="F507" s="248"/>
      <c r="G507" s="199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55"/>
      <c r="D509" s="247"/>
      <c r="E509" s="248"/>
      <c r="F509" s="248"/>
      <c r="G509" s="199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55"/>
      <c r="D510" s="247"/>
      <c r="E510" s="248"/>
      <c r="F510" s="248"/>
      <c r="G510" s="199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5"/>
      <c r="E520" s="248"/>
      <c r="F520" s="248"/>
      <c r="G520" s="261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55"/>
      <c r="D523" s="247"/>
      <c r="E523" s="248"/>
      <c r="F523" s="248"/>
      <c r="G523" s="199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5"/>
      <c r="E526" s="248"/>
      <c r="F526" s="248"/>
      <c r="G526" s="261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55"/>
      <c r="D546" s="245"/>
      <c r="E546" s="248"/>
      <c r="F546" s="248"/>
      <c r="G546" s="20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55"/>
      <c r="D552" s="245"/>
      <c r="E552" s="248"/>
      <c r="F552" s="248"/>
      <c r="G552" s="201"/>
      <c r="H552" s="202"/>
      <c r="I552" s="223"/>
      <c r="J552" s="345"/>
      <c r="K552" s="264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55"/>
      <c r="D554" s="247"/>
      <c r="E554" s="248"/>
      <c r="F554" s="248"/>
      <c r="G554" s="199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55"/>
      <c r="D557" s="247"/>
      <c r="E557" s="248"/>
      <c r="F557" s="248"/>
      <c r="G557" s="199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55"/>
      <c r="D558" s="247"/>
      <c r="E558" s="248"/>
      <c r="F558" s="248"/>
      <c r="G558" s="199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55"/>
      <c r="D559" s="247"/>
      <c r="E559" s="248"/>
      <c r="F559" s="248"/>
      <c r="G559" s="199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55"/>
      <c r="D562" s="247"/>
      <c r="E562" s="248"/>
      <c r="F562" s="248"/>
      <c r="G562" s="199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7"/>
      <c r="E565" s="248"/>
      <c r="F565" s="248"/>
      <c r="G565" s="199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5"/>
      <c r="E574" s="248"/>
      <c r="F574" s="248"/>
      <c r="G574" s="261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5"/>
      <c r="E584" s="248"/>
      <c r="F584" s="248"/>
      <c r="G584" s="201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55"/>
      <c r="D590" s="247"/>
      <c r="E590" s="248"/>
      <c r="F590" s="248"/>
      <c r="G590" s="199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55"/>
      <c r="D591" s="247"/>
      <c r="E591" s="248"/>
      <c r="F591" s="248"/>
      <c r="G591" s="199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55"/>
      <c r="D592" s="247"/>
      <c r="E592" s="248"/>
      <c r="F592" s="248"/>
      <c r="G592" s="199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4"/>
      <c r="L594" s="252"/>
      <c r="M594" s="253"/>
      <c r="N594" s="265"/>
    </row>
    <row r="595" spans="2:14" x14ac:dyDescent="0.2">
      <c r="B595" s="245"/>
      <c r="C595" s="255"/>
      <c r="D595" s="247"/>
      <c r="E595" s="248"/>
      <c r="F595" s="248"/>
      <c r="G595" s="199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5"/>
      <c r="E596" s="248"/>
      <c r="F596" s="248"/>
      <c r="G596" s="261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4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7"/>
      <c r="E621" s="248"/>
      <c r="F621" s="248"/>
      <c r="G621" s="199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7"/>
      <c r="E622" s="248"/>
      <c r="F622" s="248"/>
      <c r="G622" s="199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55"/>
      <c r="D637" s="247"/>
      <c r="E637" s="248"/>
      <c r="F637" s="248"/>
      <c r="G637" s="199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55"/>
      <c r="D653" s="247"/>
      <c r="E653" s="248"/>
      <c r="F653" s="248"/>
      <c r="G653" s="199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5"/>
      <c r="E657" s="248"/>
      <c r="F657" s="248"/>
      <c r="G657" s="261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55"/>
      <c r="D662" s="247"/>
      <c r="E662" s="248"/>
      <c r="F662" s="248"/>
      <c r="G662" s="199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5"/>
      <c r="E665" s="248"/>
      <c r="F665" s="248"/>
      <c r="G665" s="261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4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4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5"/>
      <c r="E681" s="248"/>
      <c r="F681" s="248"/>
      <c r="G681" s="201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55"/>
      <c r="D685" s="247"/>
      <c r="E685" s="248"/>
      <c r="F685" s="248"/>
      <c r="G685" s="199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55"/>
      <c r="D686" s="247"/>
      <c r="E686" s="248"/>
      <c r="F686" s="248"/>
      <c r="G686" s="199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55"/>
      <c r="D688" s="247"/>
      <c r="E688" s="248"/>
      <c r="F688" s="248"/>
      <c r="G688" s="199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4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55"/>
      <c r="D720" s="247"/>
      <c r="E720" s="248"/>
      <c r="F720" s="248"/>
      <c r="G720" s="199"/>
      <c r="H720" s="202"/>
      <c r="I720" s="223"/>
      <c r="J720" s="345"/>
      <c r="K720" s="266"/>
      <c r="L720" s="252"/>
      <c r="M720" s="253"/>
      <c r="N720" s="273"/>
    </row>
    <row r="721" spans="2:14" x14ac:dyDescent="0.2">
      <c r="B721" s="245"/>
      <c r="C721" s="255"/>
      <c r="D721" s="245"/>
      <c r="E721" s="248"/>
      <c r="F721" s="248"/>
      <c r="G721" s="201"/>
      <c r="H721" s="202"/>
      <c r="I721" s="223"/>
      <c r="J721" s="345"/>
      <c r="K721" s="266"/>
      <c r="L721" s="252"/>
      <c r="M721" s="253"/>
      <c r="N721" s="203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03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03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03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4"/>
      <c r="L733" s="252"/>
      <c r="M733" s="253"/>
      <c r="N733" s="203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03"/>
    </row>
    <row r="735" spans="2:14" x14ac:dyDescent="0.2">
      <c r="B735" s="245"/>
      <c r="C735" s="255"/>
      <c r="D735" s="247"/>
      <c r="E735" s="248"/>
      <c r="F735" s="248"/>
      <c r="G735" s="199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55"/>
      <c r="D736" s="247"/>
      <c r="E736" s="248"/>
      <c r="F736" s="248"/>
      <c r="G736" s="199"/>
      <c r="H736" s="202"/>
      <c r="I736" s="223"/>
      <c r="J736" s="345"/>
      <c r="K736" s="266"/>
      <c r="L736" s="252"/>
      <c r="M736" s="253"/>
      <c r="N736" s="203"/>
    </row>
    <row r="737" spans="2:14" x14ac:dyDescent="0.2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5"/>
      <c r="E740" s="248"/>
      <c r="F740" s="248"/>
      <c r="G740" s="26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5"/>
      <c r="E745" s="248"/>
      <c r="F745" s="248"/>
      <c r="G745" s="261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55"/>
      <c r="D746" s="245"/>
      <c r="E746" s="248"/>
      <c r="F746" s="248"/>
      <c r="G746" s="201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254"/>
      <c r="H758" s="202"/>
      <c r="I758" s="223"/>
      <c r="J758" s="345"/>
      <c r="K758" s="264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55"/>
      <c r="D762" s="245"/>
      <c r="E762" s="248"/>
      <c r="F762" s="248"/>
      <c r="G762" s="261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55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7"/>
      <c r="E765" s="248"/>
      <c r="F765" s="248"/>
      <c r="G765" s="199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7"/>
      <c r="E766" s="248"/>
      <c r="F766" s="248"/>
      <c r="G766" s="199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55"/>
      <c r="D771" s="247"/>
      <c r="E771" s="248"/>
      <c r="F771" s="248"/>
      <c r="G771" s="199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55"/>
      <c r="D772" s="247"/>
      <c r="E772" s="248"/>
      <c r="F772" s="248"/>
      <c r="G772" s="199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4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4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5"/>
      <c r="E785" s="248"/>
      <c r="F785" s="248"/>
      <c r="G785" s="261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5"/>
      <c r="E788" s="248"/>
      <c r="F788" s="248"/>
      <c r="G788" s="261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55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199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5"/>
      <c r="E817" s="248"/>
      <c r="F817" s="248"/>
      <c r="G817" s="261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4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5"/>
      <c r="E826" s="248"/>
      <c r="F826" s="248"/>
      <c r="G826" s="261"/>
      <c r="H826" s="202"/>
      <c r="I826" s="223"/>
      <c r="J826" s="345"/>
      <c r="K826" s="264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7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7"/>
      <c r="L835" s="252"/>
      <c r="M835" s="253"/>
      <c r="N835" s="203"/>
    </row>
    <row r="836" spans="2:14" x14ac:dyDescent="0.2">
      <c r="B836" s="245"/>
      <c r="C836" s="255"/>
      <c r="D836" s="247"/>
      <c r="E836" s="248"/>
      <c r="F836" s="248"/>
      <c r="G836" s="254"/>
      <c r="H836" s="202"/>
      <c r="I836" s="223"/>
      <c r="J836" s="345"/>
      <c r="K836" s="267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55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55"/>
      <c r="D848" s="247"/>
      <c r="E848" s="248"/>
      <c r="F848" s="248"/>
      <c r="G848" s="199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55"/>
      <c r="D849" s="247"/>
      <c r="E849" s="248"/>
      <c r="F849" s="248"/>
      <c r="G849" s="199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199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55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74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5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55"/>
      <c r="D882" s="247"/>
      <c r="E882" s="248"/>
      <c r="F882" s="248"/>
      <c r="G882" s="254"/>
      <c r="H882" s="202"/>
      <c r="I882" s="223"/>
      <c r="J882" s="345"/>
      <c r="K882" s="267"/>
      <c r="L882" s="252"/>
      <c r="M882" s="253"/>
      <c r="N882" s="203"/>
    </row>
    <row r="883" spans="2:14" x14ac:dyDescent="0.2">
      <c r="B883" s="245"/>
      <c r="C883" s="255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55"/>
      <c r="D884" s="247"/>
      <c r="E884" s="248"/>
      <c r="F884" s="248"/>
      <c r="G884" s="199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55"/>
      <c r="D885" s="247"/>
      <c r="E885" s="248"/>
      <c r="F885" s="248"/>
      <c r="G885" s="199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55"/>
      <c r="D886" s="247"/>
      <c r="E886" s="248"/>
      <c r="F886" s="248"/>
      <c r="G886" s="199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55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55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199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199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46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46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55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55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199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199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199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199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199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199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199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199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5"/>
      <c r="E994" s="248"/>
      <c r="F994" s="248"/>
      <c r="G994" s="261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5"/>
      <c r="E995" s="248"/>
      <c r="F995" s="248"/>
      <c r="G995" s="261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01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4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01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5"/>
      <c r="E1028" s="248"/>
      <c r="F1028" s="248"/>
      <c r="G1028" s="261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5"/>
      <c r="E1041" s="248"/>
      <c r="F1041" s="248"/>
      <c r="G1041" s="261"/>
      <c r="H1041" s="202"/>
      <c r="I1041" s="223"/>
      <c r="J1041" s="345"/>
      <c r="K1041" s="264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03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199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5"/>
      <c r="E1069" s="275"/>
      <c r="F1069" s="275"/>
      <c r="G1069" s="205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199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5"/>
      <c r="E1077" s="248"/>
      <c r="F1077" s="248"/>
      <c r="G1077" s="205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199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199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199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03"/>
      <c r="M1098" s="253"/>
      <c r="N1098" s="203"/>
    </row>
    <row r="1099" spans="2:14" x14ac:dyDescent="0.2">
      <c r="B1099" s="245"/>
      <c r="C1099" s="255"/>
      <c r="D1099" s="245"/>
      <c r="E1099" s="248"/>
      <c r="F1099" s="248"/>
      <c r="G1099" s="205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199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5"/>
      <c r="E1108" s="248"/>
      <c r="F1108" s="248"/>
      <c r="G1108" s="206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76"/>
      <c r="D1119" s="276"/>
      <c r="E1119" s="248"/>
      <c r="F1119" s="277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5"/>
      <c r="E1121" s="248"/>
      <c r="F1121" s="248"/>
      <c r="G1121" s="201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4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74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61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74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199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61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4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4"/>
    </row>
    <row r="1138" spans="2:14" x14ac:dyDescent="0.2">
      <c r="B1138" s="245"/>
      <c r="C1138" s="255"/>
      <c r="D1138" s="247"/>
      <c r="E1138" s="248"/>
      <c r="F1138" s="248"/>
      <c r="G1138" s="199"/>
      <c r="H1138" s="202"/>
      <c r="I1138" s="223"/>
      <c r="J1138" s="345"/>
      <c r="K1138" s="266"/>
      <c r="L1138" s="252"/>
      <c r="M1138" s="253"/>
      <c r="N1138" s="204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4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2">
      <c r="B1143" s="245"/>
      <c r="C1143" s="255"/>
      <c r="D1143" s="245"/>
      <c r="E1143" s="275"/>
      <c r="F1143" s="275"/>
      <c r="G1143" s="205"/>
      <c r="H1143" s="202"/>
      <c r="I1143" s="223"/>
      <c r="J1143" s="345"/>
      <c r="K1143" s="274"/>
      <c r="L1143" s="252"/>
      <c r="M1143" s="253"/>
      <c r="N1143" s="204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199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7"/>
      <c r="E1146" s="248"/>
      <c r="F1146" s="248"/>
      <c r="G1146" s="199"/>
      <c r="H1146" s="202"/>
      <c r="I1146" s="223"/>
      <c r="J1146" s="345"/>
      <c r="K1146" s="266"/>
      <c r="L1146" s="252"/>
      <c r="M1146" s="253"/>
      <c r="N1146" s="204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74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199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199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199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5"/>
      <c r="E1170" s="248"/>
      <c r="F1170" s="248"/>
      <c r="G1170" s="261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74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78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78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78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78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78"/>
      <c r="L1181" s="252"/>
      <c r="M1181" s="253"/>
      <c r="N1181" s="204"/>
    </row>
    <row r="1182" spans="2:14" x14ac:dyDescent="0.2">
      <c r="B1182" s="245"/>
      <c r="C1182" s="255"/>
      <c r="D1182" s="245"/>
      <c r="E1182" s="275"/>
      <c r="F1182" s="275"/>
      <c r="G1182" s="205"/>
      <c r="H1182" s="202"/>
      <c r="I1182" s="223"/>
      <c r="J1182" s="345"/>
      <c r="K1182" s="279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79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79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199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05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01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5"/>
      <c r="E1196" s="248"/>
      <c r="F1196" s="248"/>
      <c r="G1196" s="206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5"/>
      <c r="E1198" s="275"/>
      <c r="F1198" s="275"/>
      <c r="G1198" s="205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03"/>
      <c r="M1212" s="253"/>
      <c r="N1212" s="204"/>
    </row>
    <row r="1213" spans="2:14" x14ac:dyDescent="0.2">
      <c r="B1213" s="245"/>
      <c r="C1213" s="280"/>
      <c r="D1213" s="281"/>
      <c r="E1213" s="275"/>
      <c r="F1213" s="275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199"/>
      <c r="H1215" s="202"/>
      <c r="I1215" s="223"/>
      <c r="J1215" s="345"/>
      <c r="K1215" s="279"/>
      <c r="L1215" s="203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199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7"/>
      <c r="I1218" s="221"/>
      <c r="J1218" s="342"/>
      <c r="K1218" s="279"/>
      <c r="L1218" s="252"/>
      <c r="M1218" s="253"/>
      <c r="N1218" s="208"/>
    </row>
    <row r="1219" spans="2:14" x14ac:dyDescent="0.2">
      <c r="B1219" s="245"/>
      <c r="C1219" s="255"/>
      <c r="D1219" s="247"/>
      <c r="E1219" s="248"/>
      <c r="F1219" s="248"/>
      <c r="G1219" s="254"/>
      <c r="H1219" s="207"/>
      <c r="I1219" s="221"/>
      <c r="J1219" s="342"/>
      <c r="K1219" s="279"/>
      <c r="L1219" s="252"/>
      <c r="M1219" s="253"/>
      <c r="N1219" s="208"/>
    </row>
    <row r="1220" spans="2:14" x14ac:dyDescent="0.2">
      <c r="B1220" s="245"/>
      <c r="C1220" s="255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2">
      <c r="B1221" s="245"/>
      <c r="C1221" s="246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2">
      <c r="B1222" s="245"/>
      <c r="C1222" s="255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2">
      <c r="B1223" s="245"/>
      <c r="C1223" s="276"/>
      <c r="D1223" s="276"/>
      <c r="E1223" s="277"/>
      <c r="F1223" s="277"/>
      <c r="G1223" s="209"/>
      <c r="H1223" s="207"/>
      <c r="I1223" s="221"/>
      <c r="J1223" s="342"/>
      <c r="K1223" s="282"/>
      <c r="L1223" s="252"/>
      <c r="M1223" s="253"/>
      <c r="N1223" s="208"/>
    </row>
    <row r="1224" spans="2:14" x14ac:dyDescent="0.2">
      <c r="B1224" s="245"/>
      <c r="C1224" s="255"/>
      <c r="D1224" s="247"/>
      <c r="E1224" s="248"/>
      <c r="F1224" s="248"/>
      <c r="G1224" s="254"/>
      <c r="H1224" s="207"/>
      <c r="I1224" s="221"/>
      <c r="J1224" s="342"/>
      <c r="K1224" s="279"/>
      <c r="L1224" s="252"/>
      <c r="M1224" s="253"/>
      <c r="N1224" s="208"/>
    </row>
    <row r="1225" spans="2:14" x14ac:dyDescent="0.2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2">
      <c r="B1227" s="245"/>
      <c r="C1227" s="255"/>
      <c r="D1227" s="245"/>
      <c r="E1227" s="248"/>
      <c r="F1227" s="248"/>
      <c r="G1227" s="261"/>
      <c r="H1227" s="207"/>
      <c r="I1227" s="221"/>
      <c r="J1227" s="342"/>
      <c r="K1227" s="279"/>
      <c r="L1227" s="252"/>
      <c r="M1227" s="253"/>
      <c r="N1227" s="208"/>
    </row>
    <row r="1228" spans="2:14" x14ac:dyDescent="0.2">
      <c r="B1228" s="245"/>
      <c r="C1228" s="255"/>
      <c r="D1228" s="247"/>
      <c r="E1228" s="248"/>
      <c r="F1228" s="248"/>
      <c r="G1228" s="254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46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55"/>
      <c r="D1232" s="247"/>
      <c r="E1232" s="248"/>
      <c r="F1232" s="248"/>
      <c r="G1232" s="205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46"/>
      <c r="D1233" s="247"/>
      <c r="E1233" s="248"/>
      <c r="F1233" s="248"/>
      <c r="G1233" s="261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55"/>
      <c r="D1234" s="247"/>
      <c r="E1234" s="248"/>
      <c r="F1234" s="248"/>
      <c r="G1234" s="254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10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61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46"/>
      <c r="D1237" s="247"/>
      <c r="E1237" s="248"/>
      <c r="F1237" s="248"/>
      <c r="G1237" s="261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ht="15" x14ac:dyDescent="0.25">
      <c r="B1239" s="30"/>
      <c r="C1239" s="283"/>
      <c r="D1239" s="109"/>
      <c r="E1239" s="68"/>
      <c r="F1239" s="68"/>
      <c r="G1239" s="284"/>
      <c r="H1239" s="211"/>
      <c r="I1239" s="224"/>
      <c r="J1239" s="347"/>
      <c r="K1239" s="69"/>
      <c r="L1239" s="285"/>
      <c r="M1239" s="116"/>
      <c r="N1239" s="212"/>
    </row>
    <row r="1240" spans="2:14" ht="15" x14ac:dyDescent="0.25">
      <c r="B1240" s="30"/>
      <c r="C1240" s="283"/>
      <c r="D1240" s="109"/>
      <c r="E1240" s="68"/>
      <c r="F1240" s="68"/>
      <c r="G1240" s="284"/>
      <c r="H1240" s="211"/>
      <c r="I1240" s="224"/>
      <c r="J1240" s="347"/>
      <c r="K1240" s="69"/>
      <c r="L1240" s="285"/>
      <c r="M1240" s="116"/>
      <c r="N1240" s="212"/>
    </row>
    <row r="1241" spans="2:14" ht="15" x14ac:dyDescent="0.25">
      <c r="B1241" s="30"/>
      <c r="C1241" s="283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ht="15" x14ac:dyDescent="0.25">
      <c r="B1242" s="37"/>
      <c r="C1242" s="78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ht="15" x14ac:dyDescent="0.25">
      <c r="B1243" s="37"/>
      <c r="C1243" s="283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7"/>
      <c r="C1244" s="78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ht="15" x14ac:dyDescent="0.25">
      <c r="B1245" s="37"/>
      <c r="C1245" s="283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x14ac:dyDescent="0.2">
      <c r="B1246" s="37"/>
      <c r="C1246" s="286"/>
      <c r="D1246" s="37"/>
      <c r="E1246" s="60"/>
      <c r="F1246" s="60"/>
      <c r="G1246" s="213"/>
      <c r="H1246" s="211"/>
      <c r="I1246" s="224"/>
      <c r="J1246" s="347"/>
      <c r="K1246" s="69"/>
      <c r="L1246" s="285"/>
      <c r="M1246" s="116"/>
      <c r="N1246" s="212"/>
    </row>
    <row r="1247" spans="2:14" ht="15" x14ac:dyDescent="0.25">
      <c r="B1247" s="37"/>
      <c r="C1247" s="78"/>
      <c r="D1247" s="109"/>
      <c r="E1247" s="68"/>
      <c r="F1247" s="68"/>
      <c r="G1247" s="214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283"/>
      <c r="D1248" s="109"/>
      <c r="E1248" s="68"/>
      <c r="F1248" s="68"/>
      <c r="G1248" s="284"/>
      <c r="H1248" s="211"/>
      <c r="I1248" s="224"/>
      <c r="J1248" s="347"/>
      <c r="K1248" s="69"/>
      <c r="L1248" s="285"/>
      <c r="M1248" s="116"/>
      <c r="N1248" s="212"/>
    </row>
    <row r="1249" spans="2:14" ht="15" x14ac:dyDescent="0.25">
      <c r="B1249" s="37"/>
      <c r="C1249" s="283"/>
      <c r="D1249" s="109"/>
      <c r="E1249" s="68"/>
      <c r="F1249" s="68"/>
      <c r="G1249" s="284"/>
      <c r="H1249" s="211"/>
      <c r="I1249" s="224"/>
      <c r="J1249" s="347"/>
      <c r="K1249" s="69"/>
      <c r="L1249" s="285"/>
      <c r="M1249" s="116"/>
      <c r="N1249" s="212"/>
    </row>
    <row r="1250" spans="2:14" ht="15" x14ac:dyDescent="0.25">
      <c r="B1250" s="37"/>
      <c r="C1250" s="66"/>
      <c r="D1250" s="287"/>
      <c r="E1250" s="68"/>
      <c r="F1250" s="68"/>
      <c r="G1250" s="214"/>
      <c r="H1250" s="211"/>
      <c r="I1250" s="224"/>
      <c r="J1250" s="347"/>
      <c r="K1250" s="69"/>
      <c r="L1250" s="285"/>
      <c r="M1250" s="116"/>
      <c r="N1250" s="212"/>
    </row>
    <row r="1251" spans="2:14" ht="15" x14ac:dyDescent="0.25">
      <c r="B1251" s="30"/>
      <c r="C1251" s="283"/>
      <c r="D1251" s="109"/>
      <c r="E1251" s="68"/>
      <c r="F1251" s="68"/>
      <c r="G1251" s="288"/>
      <c r="H1251" s="215"/>
      <c r="I1251" s="224"/>
      <c r="J1251" s="347"/>
      <c r="K1251" s="69"/>
      <c r="L1251" s="285"/>
      <c r="M1251" s="116"/>
      <c r="N1251" s="212"/>
    </row>
    <row r="1252" spans="2:14" ht="15" x14ac:dyDescent="0.25">
      <c r="B1252" s="30"/>
      <c r="C1252" s="283"/>
      <c r="D1252" s="109"/>
      <c r="E1252" s="68"/>
      <c r="F1252" s="68"/>
      <c r="G1252" s="284"/>
      <c r="H1252" s="215"/>
      <c r="I1252" s="224"/>
      <c r="J1252" s="347"/>
      <c r="K1252" s="69"/>
      <c r="L1252" s="285"/>
      <c r="M1252" s="116"/>
      <c r="N1252" s="212"/>
    </row>
    <row r="1253" spans="2:14" ht="15" x14ac:dyDescent="0.25">
      <c r="B1253" s="30"/>
      <c r="C1253" s="283"/>
      <c r="D1253" s="109"/>
      <c r="E1253" s="68"/>
      <c r="F1253" s="68"/>
      <c r="G1253" s="284"/>
      <c r="H1253" s="215"/>
      <c r="I1253" s="224"/>
      <c r="J1253" s="347"/>
      <c r="K1253" s="69"/>
      <c r="L1253" s="285"/>
      <c r="M1253" s="116"/>
      <c r="N1253" s="212"/>
    </row>
    <row r="1254" spans="2:14" ht="15" x14ac:dyDescent="0.25">
      <c r="B1254" s="65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ht="15" x14ac:dyDescent="0.25">
      <c r="B1255" s="65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30"/>
      <c r="C1256" s="78"/>
      <c r="D1256" s="109"/>
      <c r="E1256" s="68"/>
      <c r="F1256" s="68"/>
      <c r="G1256" s="21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65"/>
      <c r="C1257" s="283"/>
      <c r="D1257" s="109"/>
      <c r="E1257" s="68"/>
      <c r="F1257" s="68"/>
      <c r="G1257" s="28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78"/>
      <c r="D1262" s="109"/>
      <c r="E1262" s="68"/>
      <c r="F1262" s="68"/>
      <c r="G1262" s="21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78"/>
      <c r="D1263" s="109"/>
      <c r="E1263" s="68"/>
      <c r="F1263" s="68"/>
      <c r="G1263" s="21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283"/>
      <c r="D1264" s="109"/>
      <c r="E1264" s="68"/>
      <c r="F1264" s="68"/>
      <c r="G1264" s="28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283"/>
      <c r="D1265" s="109"/>
      <c r="E1265" s="68"/>
      <c r="F1265" s="68"/>
      <c r="G1265" s="28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65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85"/>
      <c r="M1266" s="116"/>
      <c r="N1266" s="212"/>
    </row>
    <row r="1267" spans="2:14" ht="15" x14ac:dyDescent="0.25">
      <c r="B1267" s="30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16"/>
      <c r="M1267" s="116"/>
      <c r="N1267" s="212"/>
    </row>
    <row r="1268" spans="2:14" ht="15" x14ac:dyDescent="0.25">
      <c r="B1268" s="65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65"/>
      <c r="C1269" s="78"/>
      <c r="D1269" s="109"/>
      <c r="E1269" s="68"/>
      <c r="F1269" s="68"/>
      <c r="G1269" s="21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65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16"/>
      <c r="M1270" s="116"/>
      <c r="N1270" s="212"/>
    </row>
    <row r="1271" spans="2:14" ht="15" x14ac:dyDescent="0.25">
      <c r="B1271" s="65"/>
      <c r="C1271" s="78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16"/>
      <c r="M1275" s="116"/>
      <c r="N1275" s="212"/>
    </row>
    <row r="1276" spans="2:14" ht="15" x14ac:dyDescent="0.25">
      <c r="B1276" s="65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78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30"/>
      <c r="C1278" s="78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30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16"/>
      <c r="M1279" s="116"/>
      <c r="N1279" s="212"/>
    </row>
    <row r="1280" spans="2:14" ht="15" x14ac:dyDescent="0.25">
      <c r="B1280" s="30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30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78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289"/>
      <c r="D1284" s="290"/>
      <c r="E1284" s="291"/>
      <c r="F1284" s="291"/>
      <c r="G1284" s="284"/>
      <c r="H1284" s="215"/>
      <c r="I1284" s="224"/>
      <c r="J1284" s="347"/>
      <c r="K1284" s="69"/>
      <c r="L1284" s="216"/>
      <c r="M1284" s="116"/>
      <c r="N1284" s="212"/>
    </row>
    <row r="1285" spans="2:14" ht="15" x14ac:dyDescent="0.25">
      <c r="B1285" s="30"/>
      <c r="C1285" s="78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78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x14ac:dyDescent="0.2">
      <c r="B1288" s="30"/>
      <c r="C1288" s="78"/>
      <c r="D1288" s="109"/>
      <c r="E1288" s="68"/>
      <c r="F1288" s="68"/>
      <c r="G1288" s="288"/>
      <c r="H1288" s="211"/>
      <c r="I1288" s="224"/>
      <c r="J1288" s="347"/>
      <c r="K1288" s="80"/>
      <c r="L1288" s="285"/>
      <c r="M1288" s="116"/>
      <c r="N1288" s="212"/>
    </row>
    <row r="1289" spans="2:14" ht="15" x14ac:dyDescent="0.25">
      <c r="B1289" s="30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30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30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16"/>
      <c r="M1291" s="116"/>
      <c r="N1291" s="212"/>
    </row>
    <row r="1292" spans="2:14" ht="15" x14ac:dyDescent="0.25">
      <c r="B1292" s="30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1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292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1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1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93"/>
      <c r="J1326" s="348"/>
      <c r="K1326" s="69"/>
      <c r="L1326" s="285"/>
      <c r="M1326" s="116"/>
      <c r="N1326" s="212"/>
    </row>
    <row r="1327" spans="2:14" ht="15" x14ac:dyDescent="0.25">
      <c r="B1327" s="292"/>
      <c r="C1327" s="78"/>
      <c r="D1327" s="109"/>
      <c r="E1327" s="68"/>
      <c r="F1327" s="68"/>
      <c r="G1327" s="214"/>
      <c r="H1327" s="215"/>
      <c r="I1327" s="293"/>
      <c r="J1327" s="348"/>
      <c r="K1327" s="69"/>
      <c r="L1327" s="285"/>
      <c r="M1327" s="116"/>
      <c r="N1327" s="212"/>
    </row>
    <row r="1328" spans="2:14" ht="15" x14ac:dyDescent="0.25">
      <c r="B1328" s="292"/>
      <c r="C1328" s="78"/>
      <c r="D1328" s="109"/>
      <c r="E1328" s="68"/>
      <c r="F1328" s="68"/>
      <c r="G1328" s="284"/>
      <c r="H1328" s="215"/>
      <c r="I1328" s="293"/>
      <c r="J1328" s="348"/>
      <c r="K1328" s="69"/>
      <c r="L1328" s="285"/>
      <c r="M1328" s="116"/>
      <c r="N1328" s="212"/>
    </row>
    <row r="1329" spans="2:14" ht="15" x14ac:dyDescent="0.25">
      <c r="B1329" s="292"/>
      <c r="C1329" s="78"/>
      <c r="D1329" s="109"/>
      <c r="E1329" s="68"/>
      <c r="F1329" s="68"/>
      <c r="G1329" s="214"/>
      <c r="H1329" s="215"/>
      <c r="I1329" s="293"/>
      <c r="J1329" s="348"/>
      <c r="K1329" s="69"/>
      <c r="L1329" s="285"/>
      <c r="M1329" s="116"/>
      <c r="N1329" s="212"/>
    </row>
    <row r="1330" spans="2:14" ht="15" x14ac:dyDescent="0.25">
      <c r="B1330" s="292"/>
      <c r="C1330" s="78"/>
      <c r="D1330" s="109"/>
      <c r="E1330" s="68"/>
      <c r="F1330" s="68"/>
      <c r="G1330" s="288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84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84"/>
      <c r="H1332" s="215"/>
      <c r="I1332" s="293"/>
      <c r="J1332" s="348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13"/>
      <c r="H1333" s="215"/>
      <c r="I1333" s="293"/>
      <c r="J1333" s="348"/>
      <c r="K1333" s="69"/>
      <c r="L1333" s="285"/>
      <c r="M1333" s="116"/>
      <c r="N1333" s="212"/>
    </row>
    <row r="1334" spans="2:14" x14ac:dyDescent="0.2">
      <c r="B1334" s="292"/>
      <c r="C1334" s="78"/>
      <c r="D1334" s="109"/>
      <c r="E1334" s="68"/>
      <c r="F1334" s="68"/>
      <c r="G1334" s="288"/>
      <c r="H1334" s="211"/>
      <c r="I1334" s="224"/>
      <c r="J1334" s="347"/>
      <c r="K1334" s="80"/>
      <c r="L1334" s="216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8"/>
      <c r="H1335" s="215"/>
      <c r="I1335" s="293"/>
      <c r="J1335" s="348"/>
      <c r="K1335" s="69"/>
      <c r="L1335" s="285"/>
      <c r="M1335" s="116"/>
      <c r="N1335" s="212"/>
    </row>
    <row r="1336" spans="2:14" ht="15" x14ac:dyDescent="0.25">
      <c r="B1336" s="65"/>
      <c r="C1336" s="289"/>
      <c r="D1336" s="290"/>
      <c r="E1336" s="294"/>
      <c r="F1336" s="295"/>
      <c r="G1336" s="296"/>
      <c r="H1336" s="215"/>
      <c r="I1336" s="293"/>
      <c r="J1336" s="348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77"/>
      <c r="G1337" s="284"/>
      <c r="H1337" s="215"/>
      <c r="I1337" s="293"/>
      <c r="J1337" s="348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77"/>
      <c r="G1338" s="284"/>
      <c r="H1338" s="215"/>
      <c r="I1338" s="293"/>
      <c r="J1338" s="348"/>
      <c r="K1338" s="69"/>
      <c r="L1338" s="285"/>
      <c r="M1338" s="116"/>
      <c r="N1338" s="212"/>
    </row>
    <row r="1339" spans="2:14" ht="15" x14ac:dyDescent="0.25">
      <c r="B1339" s="292"/>
      <c r="C1339" s="78"/>
      <c r="D1339" s="109"/>
      <c r="E1339" s="297"/>
      <c r="F1339" s="298"/>
      <c r="G1339" s="299"/>
      <c r="H1339" s="300"/>
      <c r="I1339" s="301"/>
      <c r="J1339" s="349"/>
      <c r="K1339" s="69"/>
      <c r="L1339" s="285"/>
      <c r="M1339" s="116"/>
      <c r="N1339" s="212"/>
    </row>
    <row r="1340" spans="2:14" ht="15" x14ac:dyDescent="0.25">
      <c r="B1340" s="292"/>
      <c r="C1340" s="78"/>
      <c r="D1340" s="109"/>
      <c r="E1340" s="68"/>
      <c r="F1340" s="77"/>
      <c r="G1340" s="284"/>
      <c r="H1340" s="215"/>
      <c r="I1340" s="293"/>
      <c r="J1340" s="348"/>
      <c r="K1340" s="69"/>
      <c r="L1340" s="285"/>
      <c r="M1340" s="116"/>
      <c r="N1340" s="212"/>
    </row>
    <row r="1341" spans="2:14" ht="15" x14ac:dyDescent="0.25">
      <c r="B1341" s="292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ht="15" x14ac:dyDescent="0.25">
      <c r="B1342" s="292"/>
      <c r="C1342" s="78"/>
      <c r="D1342" s="109"/>
      <c r="E1342" s="68"/>
      <c r="F1342" s="77"/>
      <c r="G1342" s="214"/>
      <c r="H1342" s="215"/>
      <c r="I1342" s="293"/>
      <c r="J1342" s="348"/>
      <c r="K1342" s="69"/>
      <c r="L1342" s="216"/>
      <c r="M1342" s="116"/>
      <c r="N1342" s="212"/>
    </row>
    <row r="1343" spans="2:14" ht="15" x14ac:dyDescent="0.25">
      <c r="B1343" s="292"/>
      <c r="C1343" s="78"/>
      <c r="D1343" s="109"/>
      <c r="E1343" s="68"/>
      <c r="F1343" s="77"/>
      <c r="G1343" s="284"/>
      <c r="H1343" s="215"/>
      <c r="I1343" s="293"/>
      <c r="J1343" s="348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65"/>
      <c r="C1345" s="289"/>
      <c r="D1345" s="290"/>
      <c r="E1345" s="291"/>
      <c r="F1345" s="284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65"/>
      <c r="C1346" s="66"/>
      <c r="D1346" s="109"/>
      <c r="E1346" s="68"/>
      <c r="F1346" s="77"/>
      <c r="G1346" s="296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77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77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65"/>
      <c r="C1349" s="78"/>
      <c r="D1349" s="109"/>
      <c r="E1349" s="68"/>
      <c r="F1349" s="77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77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77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66"/>
      <c r="D1354" s="109"/>
      <c r="E1354" s="68"/>
      <c r="F1354" s="77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78"/>
      <c r="D1355" s="109"/>
      <c r="E1355" s="68"/>
      <c r="F1355" s="77"/>
      <c r="G1355" s="21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1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8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91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91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1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68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14"/>
      <c r="H1367" s="215"/>
      <c r="I1367" s="293"/>
      <c r="J1367" s="348"/>
      <c r="K1367" s="69"/>
      <c r="L1367" s="285"/>
      <c r="M1367" s="116"/>
      <c r="N1367" s="212"/>
    </row>
    <row r="1368" spans="2:14" x14ac:dyDescent="0.2">
      <c r="B1368" s="65"/>
      <c r="C1368" s="78"/>
      <c r="D1368" s="109"/>
      <c r="E1368" s="68"/>
      <c r="F1368" s="77"/>
      <c r="G1368" s="302"/>
      <c r="H1368" s="211"/>
      <c r="I1368" s="224"/>
      <c r="J1368" s="347"/>
      <c r="K1368" s="80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66"/>
      <c r="D1370" s="109"/>
      <c r="E1370" s="68"/>
      <c r="F1370" s="77"/>
      <c r="G1370" s="296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65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65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65"/>
      <c r="C1374" s="66"/>
      <c r="D1374" s="109"/>
      <c r="E1374" s="68"/>
      <c r="F1374" s="77"/>
      <c r="G1374" s="296"/>
      <c r="H1374" s="303"/>
      <c r="I1374" s="225"/>
      <c r="J1374" s="350"/>
      <c r="K1374" s="69"/>
      <c r="L1374" s="285"/>
      <c r="M1374" s="116"/>
      <c r="N1374" s="212"/>
    </row>
    <row r="1375" spans="2:14" ht="15" x14ac:dyDescent="0.25">
      <c r="B1375" s="65"/>
      <c r="C1375" s="289"/>
      <c r="D1375" s="290"/>
      <c r="E1375" s="291"/>
      <c r="F1375" s="304"/>
      <c r="G1375" s="284"/>
      <c r="H1375" s="303"/>
      <c r="I1375" s="225"/>
      <c r="J1375" s="350"/>
      <c r="K1375" s="69"/>
      <c r="L1375" s="285"/>
      <c r="M1375" s="116"/>
      <c r="N1375" s="212"/>
    </row>
    <row r="1376" spans="2:14" ht="15" x14ac:dyDescent="0.25">
      <c r="B1376" s="65"/>
      <c r="C1376" s="66"/>
      <c r="D1376" s="109"/>
      <c r="E1376" s="68"/>
      <c r="F1376" s="77"/>
      <c r="G1376" s="296"/>
      <c r="H1376" s="303"/>
      <c r="I1376" s="225"/>
      <c r="J1376" s="350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ht="15" x14ac:dyDescent="0.25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91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91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68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66"/>
      <c r="D1382" s="109"/>
      <c r="E1382" s="68"/>
      <c r="F1382" s="77"/>
      <c r="G1382" s="296"/>
      <c r="H1382" s="303"/>
      <c r="I1382" s="225"/>
      <c r="J1382" s="350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289"/>
      <c r="D1392" s="290"/>
      <c r="E1392" s="291"/>
      <c r="F1392" s="304"/>
      <c r="G1392" s="284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78"/>
      <c r="D1394" s="109"/>
      <c r="E1394" s="68"/>
      <c r="F1394" s="77"/>
      <c r="G1394" s="21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78"/>
      <c r="D1395" s="109"/>
      <c r="E1395" s="68"/>
      <c r="F1395" s="77"/>
      <c r="G1395" s="21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91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68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68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68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65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78"/>
      <c r="D1409" s="109"/>
      <c r="E1409" s="68"/>
      <c r="F1409" s="77"/>
      <c r="G1409" s="214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78"/>
      <c r="D1410" s="109"/>
      <c r="E1410" s="68"/>
      <c r="F1410" s="77"/>
      <c r="G1410" s="21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23"/>
      <c r="D1413" s="37"/>
      <c r="E1413" s="60"/>
      <c r="F1413" s="26"/>
      <c r="G1413" s="2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305"/>
      <c r="H1415" s="215"/>
      <c r="I1415" s="293"/>
      <c r="J1415" s="348"/>
      <c r="K1415" s="69"/>
      <c r="L1415" s="216"/>
      <c r="M1415" s="116"/>
      <c r="N1415" s="212"/>
    </row>
    <row r="1416" spans="2:14" ht="15" x14ac:dyDescent="0.25">
      <c r="B1416" s="91"/>
      <c r="C1416" s="78"/>
      <c r="D1416" s="109"/>
      <c r="E1416" s="68"/>
      <c r="F1416" s="77"/>
      <c r="G1416" s="302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78"/>
      <c r="D1419" s="109"/>
      <c r="E1419" s="68"/>
      <c r="F1419" s="77"/>
      <c r="G1419" s="214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78"/>
      <c r="D1420" s="109"/>
      <c r="E1420" s="68"/>
      <c r="F1420" s="77"/>
      <c r="G1420" s="214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23"/>
      <c r="D1423" s="37"/>
      <c r="E1423" s="60"/>
      <c r="F1423" s="26"/>
      <c r="G1423" s="104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65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23"/>
      <c r="D1426" s="290"/>
      <c r="E1426" s="291"/>
      <c r="F1426" s="304"/>
      <c r="G1426" s="284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91"/>
      <c r="C1429" s="66"/>
      <c r="D1429" s="109"/>
      <c r="E1429" s="68"/>
      <c r="F1429" s="77"/>
      <c r="G1429" s="296"/>
      <c r="H1429" s="303"/>
      <c r="I1429" s="225"/>
      <c r="J1429" s="350"/>
      <c r="K1429" s="80"/>
      <c r="L1429" s="285"/>
      <c r="M1429" s="116"/>
      <c r="N1429" s="212"/>
    </row>
    <row r="1430" spans="2:14" ht="15" x14ac:dyDescent="0.25">
      <c r="B1430" s="91"/>
      <c r="C1430" s="23"/>
      <c r="D1430" s="37"/>
      <c r="E1430" s="60"/>
      <c r="F1430" s="26"/>
      <c r="G1430" s="10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91"/>
      <c r="C1431" s="66"/>
      <c r="D1431" s="109"/>
      <c r="E1431" s="68"/>
      <c r="F1431" s="77"/>
      <c r="G1431" s="296"/>
      <c r="H1431" s="303"/>
      <c r="I1431" s="225"/>
      <c r="J1431" s="350"/>
      <c r="K1431" s="27"/>
      <c r="L1431" s="285"/>
      <c r="M1431" s="116"/>
      <c r="N1431" s="212"/>
    </row>
    <row r="1432" spans="2:14" ht="15" x14ac:dyDescent="0.25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91"/>
      <c r="C1433" s="78"/>
      <c r="D1433" s="109"/>
      <c r="E1433" s="68"/>
      <c r="F1433" s="77"/>
      <c r="G1433" s="214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214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290"/>
      <c r="L1438" s="285"/>
      <c r="M1438" s="116"/>
      <c r="N1438" s="212"/>
    </row>
    <row r="1439" spans="2:14" ht="15" x14ac:dyDescent="0.25">
      <c r="B1439" s="65"/>
      <c r="C1439" s="66"/>
      <c r="D1439" s="109"/>
      <c r="E1439" s="68"/>
      <c r="F1439" s="77"/>
      <c r="G1439" s="10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65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286"/>
      <c r="D1441" s="286"/>
      <c r="E1441" s="306"/>
      <c r="F1441" s="307"/>
      <c r="G1441" s="307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78"/>
      <c r="D1442" s="109"/>
      <c r="E1442" s="68"/>
      <c r="F1442" s="77"/>
      <c r="G1442" s="214"/>
      <c r="H1442" s="215"/>
      <c r="I1442" s="293"/>
      <c r="J1442" s="348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65"/>
      <c r="C1451" s="78"/>
      <c r="D1451" s="109"/>
      <c r="E1451" s="68"/>
      <c r="F1451" s="77"/>
      <c r="G1451" s="308"/>
      <c r="H1451" s="215"/>
      <c r="I1451" s="293"/>
      <c r="J1451" s="348"/>
      <c r="K1451" s="69"/>
      <c r="L1451" s="216"/>
      <c r="M1451" s="116"/>
      <c r="N1451" s="212"/>
    </row>
    <row r="1452" spans="2:14" ht="15" x14ac:dyDescent="0.25">
      <c r="B1452" s="65"/>
      <c r="C1452" s="66"/>
      <c r="D1452" s="109"/>
      <c r="E1452" s="68"/>
      <c r="F1452" s="77"/>
      <c r="G1452" s="309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309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65"/>
      <c r="C1454" s="66"/>
      <c r="D1454" s="109"/>
      <c r="E1454" s="68"/>
      <c r="F1454" s="77"/>
      <c r="G1454" s="104"/>
      <c r="H1454" s="121"/>
      <c r="I1454" s="107"/>
      <c r="J1454" s="351"/>
      <c r="K1454" s="69"/>
      <c r="L1454" s="285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104"/>
      <c r="H1455" s="121"/>
      <c r="I1455" s="107"/>
      <c r="J1455" s="351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310"/>
      <c r="H1456" s="121"/>
      <c r="I1456" s="107"/>
      <c r="J1456" s="351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296"/>
      <c r="H1457" s="121"/>
      <c r="I1457" s="107"/>
      <c r="J1457" s="351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91"/>
      <c r="C1460" s="78"/>
      <c r="D1460" s="109"/>
      <c r="E1460" s="68"/>
      <c r="F1460" s="77"/>
      <c r="G1460" s="311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91"/>
      <c r="C1461" s="66"/>
      <c r="D1461" s="109"/>
      <c r="E1461" s="68"/>
      <c r="F1461" s="77"/>
      <c r="G1461" s="104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91"/>
      <c r="C1462" s="66"/>
      <c r="D1462" s="109"/>
      <c r="E1462" s="68"/>
      <c r="F1462" s="68"/>
      <c r="G1462" s="104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91"/>
      <c r="C1463" s="66"/>
      <c r="D1463" s="109"/>
      <c r="E1463" s="68"/>
      <c r="F1463" s="77"/>
      <c r="G1463" s="296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104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77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91"/>
      <c r="C1466" s="66"/>
      <c r="D1466" s="109"/>
      <c r="E1466" s="68"/>
      <c r="F1466" s="77"/>
      <c r="G1466" s="104"/>
      <c r="H1466" s="121"/>
      <c r="I1466" s="107"/>
      <c r="J1466" s="351"/>
      <c r="K1466" s="69"/>
      <c r="L1466" s="285"/>
      <c r="M1466" s="116"/>
      <c r="N1466" s="212"/>
    </row>
    <row r="1467" spans="2:14" ht="15" x14ac:dyDescent="0.25">
      <c r="B1467" s="65"/>
      <c r="C1467" s="78"/>
      <c r="D1467" s="109"/>
      <c r="E1467" s="68"/>
      <c r="F1467" s="77"/>
      <c r="G1467" s="311"/>
      <c r="H1467" s="312"/>
      <c r="I1467" s="313"/>
      <c r="J1467" s="352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104"/>
      <c r="H1468" s="121"/>
      <c r="I1468" s="107"/>
      <c r="J1468" s="351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ht="15" x14ac:dyDescent="0.25">
      <c r="B1471" s="91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91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91"/>
      <c r="C1473" s="78"/>
      <c r="D1473" s="109"/>
      <c r="E1473" s="68"/>
      <c r="F1473" s="77"/>
      <c r="G1473" s="311"/>
      <c r="H1473" s="312"/>
      <c r="I1473" s="313"/>
      <c r="J1473" s="352"/>
      <c r="K1473" s="69"/>
      <c r="L1473" s="285"/>
      <c r="M1473" s="116"/>
      <c r="N1473" s="212"/>
    </row>
    <row r="1474" spans="2:14" ht="15" x14ac:dyDescent="0.25">
      <c r="B1474" s="91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78"/>
      <c r="D1476" s="109"/>
      <c r="E1476" s="68"/>
      <c r="F1476" s="77"/>
      <c r="G1476" s="311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78"/>
      <c r="D1479" s="109"/>
      <c r="E1479" s="68"/>
      <c r="F1479" s="77"/>
      <c r="G1479" s="311"/>
      <c r="H1479" s="312"/>
      <c r="I1479" s="313"/>
      <c r="J1479" s="352"/>
      <c r="K1479" s="69"/>
      <c r="L1479" s="216"/>
      <c r="M1479" s="116"/>
      <c r="N1479" s="212"/>
    </row>
    <row r="1480" spans="2:14" ht="15.75" x14ac:dyDescent="0.25">
      <c r="B1480" s="314"/>
      <c r="C1480" s="78"/>
      <c r="D1480" s="109"/>
      <c r="E1480" s="68"/>
      <c r="F1480" s="77"/>
      <c r="G1480" s="311"/>
      <c r="H1480" s="312"/>
      <c r="I1480" s="313"/>
      <c r="J1480" s="352"/>
      <c r="K1480" s="69"/>
      <c r="L1480" s="216"/>
      <c r="M1480" s="116"/>
      <c r="N1480" s="212"/>
    </row>
    <row r="1481" spans="2:14" ht="15.75" x14ac:dyDescent="0.25">
      <c r="B1481" s="315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126"/>
      <c r="M1481" s="116"/>
      <c r="N1481" s="217"/>
    </row>
    <row r="1482" spans="2:14" ht="15.75" x14ac:dyDescent="0.25">
      <c r="B1482" s="315"/>
      <c r="C1482" s="78"/>
      <c r="D1482" s="109"/>
      <c r="E1482" s="68"/>
      <c r="F1482" s="77"/>
      <c r="G1482" s="311"/>
      <c r="H1482" s="312"/>
      <c r="I1482" s="313"/>
      <c r="J1482" s="352"/>
      <c r="K1482" s="69"/>
      <c r="L1482" s="126"/>
      <c r="M1482" s="116"/>
      <c r="N1482" s="217"/>
    </row>
    <row r="1483" spans="2:14" ht="15.75" x14ac:dyDescent="0.25">
      <c r="B1483" s="314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216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126"/>
      <c r="M1484" s="116"/>
      <c r="N1484" s="217"/>
    </row>
    <row r="1485" spans="2:14" ht="15" x14ac:dyDescent="0.25">
      <c r="B1485" s="91"/>
      <c r="C1485" s="316"/>
      <c r="D1485" s="65"/>
      <c r="E1485" s="68"/>
      <c r="F1485" s="117"/>
      <c r="G1485" s="117"/>
      <c r="H1485" s="121"/>
      <c r="I1485" s="107"/>
      <c r="J1485" s="351"/>
      <c r="K1485" s="69"/>
      <c r="L1485" s="126"/>
      <c r="M1485" s="116"/>
      <c r="N1485" s="217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126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ht="15" x14ac:dyDescent="0.25">
      <c r="B1491" s="65"/>
      <c r="C1491" s="78"/>
      <c r="D1491" s="109"/>
      <c r="E1491" s="68"/>
      <c r="F1491" s="77"/>
      <c r="G1491" s="311"/>
      <c r="H1491" s="312"/>
      <c r="I1491" s="107"/>
      <c r="J1491" s="351"/>
      <c r="K1491" s="69"/>
      <c r="L1491" s="126"/>
      <c r="M1491" s="116"/>
      <c r="N1491" s="212"/>
    </row>
    <row r="1492" spans="2:14" ht="15" x14ac:dyDescent="0.25">
      <c r="B1492" s="65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126"/>
      <c r="M1492" s="116"/>
      <c r="N1492" s="212"/>
    </row>
    <row r="1493" spans="2:14" ht="15" x14ac:dyDescent="0.25">
      <c r="B1493" s="65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126"/>
      <c r="M1493" s="116"/>
      <c r="N1493" s="212"/>
    </row>
    <row r="1494" spans="2:14" ht="15" x14ac:dyDescent="0.25">
      <c r="B1494" s="65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126"/>
      <c r="M1494" s="116"/>
      <c r="N1494" s="212"/>
    </row>
    <row r="1495" spans="2:14" ht="15" x14ac:dyDescent="0.25">
      <c r="B1495" s="65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16"/>
      <c r="M1495" s="116"/>
      <c r="N1495" s="212"/>
    </row>
    <row r="1496" spans="2:14" ht="15" x14ac:dyDescent="0.25">
      <c r="B1496" s="65"/>
      <c r="C1496" s="78"/>
      <c r="D1496" s="109"/>
      <c r="E1496" s="68"/>
      <c r="F1496" s="77"/>
      <c r="G1496" s="311"/>
      <c r="H1496" s="312"/>
      <c r="I1496" s="313"/>
      <c r="J1496" s="352"/>
      <c r="K1496" s="69"/>
      <c r="L1496" s="216"/>
      <c r="M1496" s="116"/>
      <c r="N1496" s="212"/>
    </row>
    <row r="1497" spans="2:14" ht="15" x14ac:dyDescent="0.25">
      <c r="B1497" s="65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16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3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80"/>
      <c r="L1507" s="126"/>
      <c r="M1507" s="117"/>
      <c r="N1507" s="217"/>
    </row>
    <row r="1508" spans="2:14" ht="15" x14ac:dyDescent="0.25">
      <c r="B1508" s="37"/>
      <c r="C1508" s="66"/>
      <c r="D1508" s="109"/>
      <c r="E1508" s="68"/>
      <c r="F1508" s="77"/>
      <c r="G1508" s="104"/>
      <c r="H1508" s="123"/>
      <c r="I1508" s="107"/>
      <c r="J1508" s="351"/>
      <c r="K1508" s="80"/>
      <c r="L1508" s="126"/>
      <c r="M1508" s="116"/>
      <c r="N1508" s="217"/>
    </row>
    <row r="1509" spans="2:14" ht="15" x14ac:dyDescent="0.25">
      <c r="B1509" s="37"/>
      <c r="C1509" s="66"/>
      <c r="D1509" s="109"/>
      <c r="E1509" s="68"/>
      <c r="F1509" s="68"/>
      <c r="G1509" s="104"/>
      <c r="H1509" s="121"/>
      <c r="I1509" s="107"/>
      <c r="J1509" s="351"/>
      <c r="K1509" s="69"/>
      <c r="L1509" s="126"/>
      <c r="M1509" s="116"/>
      <c r="N1509" s="217"/>
    </row>
    <row r="1510" spans="2:14" ht="15" x14ac:dyDescent="0.25">
      <c r="B1510" s="37"/>
      <c r="C1510" s="316"/>
      <c r="D1510" s="65"/>
      <c r="E1510" s="68"/>
      <c r="F1510" s="117"/>
      <c r="G1510" s="117"/>
      <c r="H1510" s="121"/>
      <c r="I1510" s="107"/>
      <c r="J1510" s="351"/>
      <c r="K1510" s="69"/>
      <c r="L1510" s="126"/>
      <c r="M1510" s="116"/>
      <c r="N1510" s="217"/>
    </row>
    <row r="1511" spans="2:14" ht="15" x14ac:dyDescent="0.25">
      <c r="B1511" s="37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7"/>
    </row>
    <row r="1512" spans="2:14" ht="15" x14ac:dyDescent="0.25">
      <c r="B1512" s="37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7"/>
    </row>
    <row r="1513" spans="2:14" ht="15" x14ac:dyDescent="0.25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91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126"/>
      <c r="M1518" s="116"/>
      <c r="N1518" s="217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91"/>
      <c r="C1520" s="66"/>
      <c r="D1520" s="109"/>
      <c r="E1520" s="68"/>
      <c r="F1520" s="77"/>
      <c r="G1520" s="104"/>
      <c r="H1520" s="121"/>
      <c r="I1520" s="107"/>
      <c r="J1520" s="351"/>
      <c r="K1520" s="69"/>
      <c r="L1520" s="126"/>
      <c r="M1520" s="116"/>
      <c r="N1520" s="217"/>
    </row>
    <row r="1521" spans="2:14" ht="15" x14ac:dyDescent="0.25">
      <c r="B1521" s="91"/>
      <c r="C1521" s="66"/>
      <c r="D1521" s="109"/>
      <c r="E1521" s="68"/>
      <c r="F1521" s="77"/>
      <c r="G1521" s="104"/>
      <c r="H1521" s="121"/>
      <c r="I1521" s="107"/>
      <c r="J1521" s="351"/>
      <c r="K1521" s="69"/>
      <c r="L1521" s="126"/>
      <c r="M1521" s="116"/>
      <c r="N1521" s="217"/>
    </row>
    <row r="1522" spans="2:14" ht="15" x14ac:dyDescent="0.25">
      <c r="B1522" s="91"/>
      <c r="C1522" s="78"/>
      <c r="D1522" s="109"/>
      <c r="E1522" s="68"/>
      <c r="F1522" s="77"/>
      <c r="G1522" s="311"/>
      <c r="H1522" s="312"/>
      <c r="I1522" s="107"/>
      <c r="J1522" s="351"/>
      <c r="K1522" s="69"/>
      <c r="L1522" s="126"/>
      <c r="M1522" s="116"/>
      <c r="N1522" s="217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65"/>
      <c r="C1532" s="78"/>
      <c r="D1532" s="109"/>
      <c r="E1532" s="68"/>
      <c r="F1532" s="77"/>
      <c r="G1532" s="311"/>
      <c r="H1532" s="312"/>
      <c r="I1532" s="107"/>
      <c r="J1532" s="351"/>
      <c r="K1532" s="69"/>
      <c r="L1532" s="126"/>
      <c r="M1532" s="116"/>
      <c r="N1532" s="217"/>
    </row>
    <row r="1533" spans="2:14" ht="15" x14ac:dyDescent="0.25">
      <c r="B1533" s="65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68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123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x14ac:dyDescent="0.2">
      <c r="B1542" s="91"/>
      <c r="C1542" s="66"/>
      <c r="D1542" s="109"/>
      <c r="E1542" s="68"/>
      <c r="F1542" s="77"/>
      <c r="G1542" s="104"/>
      <c r="H1542" s="121"/>
      <c r="I1542" s="129"/>
      <c r="J1542" s="353"/>
      <c r="K1542" s="80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66"/>
      <c r="D1544" s="109"/>
      <c r="E1544" s="68"/>
      <c r="F1544" s="77"/>
      <c r="G1544" s="104"/>
      <c r="H1544" s="121"/>
      <c r="I1544" s="107"/>
      <c r="J1544" s="351"/>
      <c r="K1544" s="69"/>
      <c r="L1544" s="126"/>
      <c r="M1544" s="116"/>
      <c r="N1544" s="317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317"/>
    </row>
    <row r="1546" spans="2:14" ht="15" x14ac:dyDescent="0.25">
      <c r="B1546" s="65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2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2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313"/>
      <c r="J1550" s="352"/>
      <c r="K1550" s="69"/>
      <c r="L1550" s="216"/>
      <c r="M1550" s="116"/>
      <c r="N1550" s="212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313"/>
      <c r="J1551" s="352"/>
      <c r="K1551" s="69"/>
      <c r="L1551" s="216"/>
      <c r="M1551" s="116"/>
      <c r="N1551" s="212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ht="15" x14ac:dyDescent="0.25">
      <c r="B1554" s="91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91"/>
      <c r="C1555" s="66"/>
      <c r="D1555" s="109"/>
      <c r="E1555" s="68"/>
      <c r="F1555" s="77"/>
      <c r="G1555" s="104"/>
      <c r="H1555" s="121"/>
      <c r="I1555" s="107"/>
      <c r="J1555" s="351"/>
      <c r="K1555" s="79"/>
      <c r="L1555" s="126"/>
      <c r="M1555" s="115"/>
      <c r="N1555" s="217"/>
    </row>
    <row r="1556" spans="2:14" ht="15" x14ac:dyDescent="0.25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79"/>
      <c r="L1558" s="126"/>
      <c r="M1558" s="115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3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107"/>
      <c r="J1569" s="351"/>
      <c r="K1569" s="69"/>
      <c r="L1569" s="126"/>
      <c r="M1569" s="116"/>
      <c r="N1569" s="217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91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7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0"/>
      <c r="M1573" s="116"/>
      <c r="N1573" s="218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0"/>
      <c r="M1574" s="116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0"/>
      <c r="M1575" s="116"/>
      <c r="N1575" s="218"/>
    </row>
    <row r="1576" spans="2:14" ht="15" x14ac:dyDescent="0.25">
      <c r="B1576" s="91"/>
      <c r="C1576" s="66"/>
      <c r="D1576" s="109"/>
      <c r="E1576" s="68"/>
      <c r="F1576" s="68"/>
      <c r="G1576" s="104"/>
      <c r="H1576" s="121"/>
      <c r="I1576" s="107"/>
      <c r="J1576" s="351"/>
      <c r="K1576" s="69"/>
      <c r="L1576" s="120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3"/>
      <c r="I1577" s="107"/>
      <c r="J1577" s="351"/>
      <c r="K1577" s="69"/>
      <c r="L1577" s="120"/>
      <c r="M1577" s="116"/>
      <c r="N1577" s="218"/>
    </row>
    <row r="1578" spans="2:14" ht="15" x14ac:dyDescent="0.25">
      <c r="B1578" s="65"/>
      <c r="C1578" s="78"/>
      <c r="D1578" s="109"/>
      <c r="E1578" s="68"/>
      <c r="F1578" s="77"/>
      <c r="G1578" s="311"/>
      <c r="H1578" s="312"/>
      <c r="I1578" s="313"/>
      <c r="J1578" s="352"/>
      <c r="K1578" s="69"/>
      <c r="L1578" s="318"/>
      <c r="M1578" s="116"/>
      <c r="N1578" s="318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0"/>
      <c r="M1579" s="116"/>
      <c r="N1579" s="218"/>
    </row>
    <row r="1580" spans="2:14" ht="15" x14ac:dyDescent="0.25">
      <c r="B1580" s="65"/>
      <c r="C1580" s="78"/>
      <c r="D1580" s="109"/>
      <c r="E1580" s="68"/>
      <c r="F1580" s="77"/>
      <c r="G1580" s="311"/>
      <c r="H1580" s="312"/>
      <c r="I1580" s="313"/>
      <c r="J1580" s="352"/>
      <c r="K1580" s="69"/>
      <c r="L1580" s="318"/>
      <c r="M1580" s="116"/>
      <c r="N1580" s="318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313"/>
      <c r="J1581" s="352"/>
      <c r="K1581" s="69"/>
      <c r="L1581" s="118"/>
      <c r="M1581" s="116"/>
      <c r="N1581" s="318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18"/>
      <c r="M1582" s="116"/>
      <c r="N1582" s="318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313"/>
      <c r="J1583" s="352"/>
      <c r="K1583" s="69"/>
      <c r="L1583" s="318"/>
      <c r="M1583" s="116"/>
      <c r="N1583" s="3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318"/>
      <c r="M1584" s="116"/>
      <c r="N1584" s="318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318"/>
      <c r="M1585" s="116"/>
      <c r="N1585" s="318"/>
    </row>
    <row r="1586" spans="2:14" ht="15" x14ac:dyDescent="0.25">
      <c r="B1586" s="65"/>
      <c r="C1586" s="66"/>
      <c r="D1586" s="109"/>
      <c r="E1586" s="68"/>
      <c r="F1586" s="68"/>
      <c r="G1586" s="104"/>
      <c r="H1586" s="121"/>
      <c r="I1586" s="107"/>
      <c r="J1586" s="351"/>
      <c r="K1586" s="69"/>
      <c r="L1586" s="120"/>
      <c r="M1586" s="116"/>
      <c r="N1586" s="218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120"/>
      <c r="M1587" s="116"/>
      <c r="N1587" s="218"/>
    </row>
    <row r="1588" spans="2:14" ht="15" x14ac:dyDescent="0.25">
      <c r="B1588" s="65"/>
      <c r="C1588" s="66"/>
      <c r="D1588" s="109"/>
      <c r="E1588" s="68"/>
      <c r="F1588" s="77"/>
      <c r="G1588" s="104"/>
      <c r="H1588" s="123"/>
      <c r="I1588" s="107"/>
      <c r="J1588" s="351"/>
      <c r="K1588" s="69"/>
      <c r="L1588" s="120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0"/>
      <c r="M1589" s="116"/>
      <c r="N1589" s="218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104"/>
      <c r="H1591" s="123"/>
      <c r="I1591" s="107"/>
      <c r="J1591" s="351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311"/>
      <c r="H1592" s="123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3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78"/>
      <c r="D1595" s="109"/>
      <c r="E1595" s="68"/>
      <c r="F1595" s="77"/>
      <c r="G1595" s="311"/>
      <c r="H1595" s="312"/>
      <c r="I1595" s="313"/>
      <c r="J1595" s="352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51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318"/>
      <c r="M1602" s="116"/>
      <c r="N1602" s="318"/>
    </row>
    <row r="1603" spans="2:14" ht="15" x14ac:dyDescent="0.25">
      <c r="B1603" s="91"/>
      <c r="C1603" s="66"/>
      <c r="D1603" s="109"/>
      <c r="E1603" s="68"/>
      <c r="F1603" s="68"/>
      <c r="G1603" s="104"/>
      <c r="H1603" s="121"/>
      <c r="I1603" s="107"/>
      <c r="J1603" s="351"/>
      <c r="K1603" s="69"/>
      <c r="L1603" s="1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77"/>
      <c r="G1606" s="104"/>
      <c r="H1606" s="121"/>
      <c r="I1606" s="107"/>
      <c r="J1606" s="351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18"/>
      <c r="M1607" s="116"/>
      <c r="N1607" s="3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18"/>
      <c r="M1608" s="116"/>
      <c r="N1608" s="318"/>
    </row>
    <row r="1609" spans="2:14" ht="15" x14ac:dyDescent="0.25">
      <c r="B1609" s="65"/>
      <c r="C1609" s="78"/>
      <c r="D1609" s="109"/>
      <c r="E1609" s="68"/>
      <c r="F1609" s="77"/>
      <c r="G1609" s="311"/>
      <c r="H1609" s="312"/>
      <c r="I1609" s="313"/>
      <c r="J1609" s="352"/>
      <c r="K1609" s="69"/>
      <c r="L1609" s="318"/>
      <c r="M1609" s="116"/>
      <c r="N1609" s="318"/>
    </row>
    <row r="1610" spans="2:14" ht="15" x14ac:dyDescent="0.25">
      <c r="B1610" s="65"/>
      <c r="C1610" s="78"/>
      <c r="D1610" s="109"/>
      <c r="E1610" s="68"/>
      <c r="F1610" s="77"/>
      <c r="G1610" s="311"/>
      <c r="H1610" s="312"/>
      <c r="I1610" s="313"/>
      <c r="J1610" s="352"/>
      <c r="K1610" s="69"/>
      <c r="L1610" s="318"/>
      <c r="M1610" s="116"/>
      <c r="N1610" s="319"/>
    </row>
    <row r="1611" spans="2:14" ht="15" x14ac:dyDescent="0.25">
      <c r="B1611" s="91"/>
      <c r="C1611" s="66"/>
      <c r="D1611" s="109"/>
      <c r="E1611" s="68"/>
      <c r="F1611" s="68"/>
      <c r="G1611" s="104"/>
      <c r="H1611" s="123"/>
      <c r="I1611" s="107"/>
      <c r="J1611" s="351"/>
      <c r="K1611" s="69"/>
      <c r="L1611" s="120"/>
      <c r="M1611" s="116"/>
      <c r="N1611" s="319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319"/>
    </row>
    <row r="1613" spans="2:14" ht="15" x14ac:dyDescent="0.25">
      <c r="B1613" s="91"/>
      <c r="C1613" s="78"/>
      <c r="D1613" s="109"/>
      <c r="E1613" s="68"/>
      <c r="F1613" s="77"/>
      <c r="G1613" s="311"/>
      <c r="H1613" s="123"/>
      <c r="I1613" s="107"/>
      <c r="J1613" s="351"/>
      <c r="K1613" s="69"/>
      <c r="L1613" s="120"/>
      <c r="M1613" s="116"/>
      <c r="N1613" s="319"/>
    </row>
    <row r="1614" spans="2:14" ht="15" x14ac:dyDescent="0.25">
      <c r="B1614" s="65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318"/>
      <c r="M1614" s="116"/>
      <c r="N1614" s="319"/>
    </row>
    <row r="1615" spans="2:14" ht="15" x14ac:dyDescent="0.25">
      <c r="B1615" s="65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318"/>
      <c r="M1615" s="116"/>
      <c r="N1615" s="319"/>
    </row>
    <row r="1616" spans="2:14" ht="15" x14ac:dyDescent="0.25">
      <c r="B1616" s="65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318"/>
      <c r="M1616" s="116"/>
      <c r="N1616" s="319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311"/>
      <c r="H1618" s="123"/>
      <c r="I1618" s="107"/>
      <c r="J1618" s="351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20"/>
      <c r="M1625" s="116"/>
      <c r="N1625" s="219"/>
    </row>
    <row r="1626" spans="2:14" ht="15" x14ac:dyDescent="0.25">
      <c r="B1626" s="37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37"/>
      <c r="C1627" s="66"/>
      <c r="D1627" s="109"/>
      <c r="E1627" s="68"/>
      <c r="F1627" s="77"/>
      <c r="G1627" s="311"/>
      <c r="H1627" s="123"/>
      <c r="I1627" s="107"/>
      <c r="J1627" s="351"/>
      <c r="K1627" s="69"/>
      <c r="L1627" s="120"/>
      <c r="M1627" s="116"/>
      <c r="N1627" s="219"/>
    </row>
    <row r="1628" spans="2:14" ht="15" x14ac:dyDescent="0.25">
      <c r="B1628" s="37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20"/>
      <c r="M1628" s="116"/>
      <c r="N1628" s="219"/>
    </row>
    <row r="1629" spans="2:14" ht="15" x14ac:dyDescent="0.25">
      <c r="B1629" s="37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120"/>
      <c r="M1629" s="116"/>
      <c r="N1629" s="219"/>
    </row>
    <row r="1630" spans="2:14" ht="15" x14ac:dyDescent="0.25">
      <c r="B1630" s="37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68"/>
      <c r="G1631" s="311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219"/>
    </row>
    <row r="1633" spans="2:14" ht="15" x14ac:dyDescent="0.25">
      <c r="B1633" s="37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318"/>
      <c r="M1633" s="116"/>
      <c r="N1633" s="319"/>
    </row>
    <row r="1634" spans="2:14" ht="15" x14ac:dyDescent="0.25">
      <c r="B1634" s="37"/>
      <c r="C1634" s="78"/>
      <c r="D1634" s="109"/>
      <c r="E1634" s="68"/>
      <c r="F1634" s="77"/>
      <c r="G1634" s="311"/>
      <c r="H1634" s="123"/>
      <c r="I1634" s="107"/>
      <c r="J1634" s="351"/>
      <c r="K1634" s="69"/>
      <c r="L1634" s="118"/>
      <c r="M1634" s="116"/>
      <c r="N1634" s="319"/>
    </row>
    <row r="1635" spans="2:14" ht="15" x14ac:dyDescent="0.25">
      <c r="B1635" s="37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37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65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65"/>
      <c r="C1641" s="78"/>
      <c r="D1641" s="109"/>
      <c r="E1641" s="68"/>
      <c r="F1641" s="77"/>
      <c r="G1641" s="311"/>
      <c r="H1641" s="312"/>
      <c r="I1641" s="313"/>
      <c r="J1641" s="352"/>
      <c r="K1641" s="69"/>
      <c r="L1641" s="318"/>
      <c r="M1641" s="116"/>
      <c r="N1641" s="3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37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68"/>
      <c r="G1644" s="104"/>
      <c r="H1644" s="121"/>
      <c r="I1644" s="107"/>
      <c r="J1644" s="351"/>
      <c r="K1644" s="69"/>
      <c r="L1644" s="318"/>
      <c r="M1644" s="116"/>
      <c r="N1644" s="319"/>
    </row>
    <row r="1645" spans="2:14" ht="15" x14ac:dyDescent="0.25">
      <c r="B1645" s="65"/>
      <c r="C1645" s="78"/>
      <c r="D1645" s="109"/>
      <c r="E1645" s="68"/>
      <c r="F1645" s="77"/>
      <c r="G1645" s="311"/>
      <c r="H1645" s="312"/>
      <c r="I1645" s="313"/>
      <c r="J1645" s="352"/>
      <c r="K1645" s="69"/>
      <c r="L1645" s="318"/>
      <c r="M1645" s="116"/>
      <c r="N1645" s="319"/>
    </row>
    <row r="1646" spans="2:14" ht="15" x14ac:dyDescent="0.25">
      <c r="B1646" s="65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318"/>
      <c r="M1646" s="116"/>
      <c r="N1646" s="319"/>
    </row>
    <row r="1647" spans="2:14" ht="15" x14ac:dyDescent="0.25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ht="15" x14ac:dyDescent="0.25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ht="15" x14ac:dyDescent="0.25">
      <c r="B1651" s="37"/>
      <c r="C1651" s="66"/>
      <c r="D1651" s="109"/>
      <c r="E1651" s="68"/>
      <c r="F1651" s="77"/>
      <c r="G1651" s="104"/>
      <c r="H1651" s="121"/>
      <c r="I1651" s="107"/>
      <c r="J1651" s="351"/>
      <c r="K1651" s="79"/>
      <c r="L1651" s="120"/>
      <c r="M1651" s="115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1"/>
      <c r="I1652" s="107"/>
      <c r="J1652" s="351"/>
      <c r="K1652" s="69"/>
      <c r="L1652" s="118"/>
      <c r="M1652" s="116"/>
      <c r="N1652" s="320"/>
    </row>
    <row r="1653" spans="2:14" ht="15" x14ac:dyDescent="0.25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69"/>
      <c r="L1653" s="118"/>
      <c r="M1653" s="116"/>
      <c r="N1653" s="320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114"/>
      <c r="L1654" s="118"/>
      <c r="M1654" s="117"/>
      <c r="N1654" s="320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69"/>
      <c r="L1655" s="118"/>
      <c r="M1655" s="116"/>
      <c r="N1655" s="320"/>
    </row>
    <row r="1656" spans="2:14" ht="15" x14ac:dyDescent="0.25">
      <c r="B1656" s="91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19"/>
    </row>
    <row r="1657" spans="2:14" ht="15" x14ac:dyDescent="0.25">
      <c r="B1657" s="91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20"/>
    </row>
    <row r="1658" spans="2:14" ht="15" x14ac:dyDescent="0.25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91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91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91"/>
      <c r="C1665" s="66"/>
      <c r="D1665" s="109"/>
      <c r="E1665" s="68"/>
      <c r="F1665" s="68"/>
      <c r="G1665" s="104"/>
      <c r="H1665" s="121"/>
      <c r="I1665" s="107"/>
      <c r="J1665" s="351"/>
      <c r="K1665" s="69"/>
      <c r="L1665" s="118"/>
      <c r="M1665" s="116"/>
      <c r="N1665" s="320"/>
    </row>
    <row r="1666" spans="2:14" ht="15" x14ac:dyDescent="0.25">
      <c r="B1666" s="91"/>
      <c r="C1666" s="66"/>
      <c r="D1666" s="109"/>
      <c r="E1666" s="68"/>
      <c r="F1666" s="77"/>
      <c r="G1666" s="104"/>
      <c r="H1666" s="121"/>
      <c r="I1666" s="107"/>
      <c r="J1666" s="351"/>
      <c r="K1666" s="69"/>
      <c r="L1666" s="118"/>
      <c r="M1666" s="116"/>
      <c r="N1666" s="319"/>
    </row>
    <row r="1667" spans="2:14" ht="15" x14ac:dyDescent="0.25">
      <c r="B1667" s="91"/>
      <c r="C1667" s="66"/>
      <c r="D1667" s="109"/>
      <c r="E1667" s="68"/>
      <c r="F1667" s="77"/>
      <c r="G1667" s="104"/>
      <c r="H1667" s="121"/>
      <c r="I1667" s="107"/>
      <c r="J1667" s="351"/>
      <c r="K1667" s="69"/>
      <c r="L1667" s="1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216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216"/>
      <c r="M1671" s="82"/>
      <c r="N1671" s="319"/>
    </row>
    <row r="1672" spans="2:14" ht="15" x14ac:dyDescent="0.25">
      <c r="B1672" s="91"/>
      <c r="C1672" s="66"/>
      <c r="D1672" s="100"/>
      <c r="E1672" s="101"/>
      <c r="F1672" s="77"/>
      <c r="G1672" s="104"/>
      <c r="H1672" s="106"/>
      <c r="I1672" s="107"/>
      <c r="J1672" s="351"/>
      <c r="K1672" s="69"/>
      <c r="L1672" s="84"/>
      <c r="M1672" s="82"/>
      <c r="N1672" s="319"/>
    </row>
    <row r="1673" spans="2:14" ht="15" x14ac:dyDescent="0.25">
      <c r="B1673" s="91"/>
      <c r="C1673" s="66"/>
      <c r="D1673" s="100"/>
      <c r="E1673" s="101"/>
      <c r="F1673" s="77"/>
      <c r="G1673" s="104"/>
      <c r="H1673" s="106"/>
      <c r="I1673" s="107"/>
      <c r="J1673" s="351"/>
      <c r="K1673" s="69"/>
      <c r="L1673" s="84"/>
      <c r="M1673" s="82"/>
      <c r="N1673" s="319"/>
    </row>
    <row r="1674" spans="2:14" ht="15" x14ac:dyDescent="0.25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ht="15" x14ac:dyDescent="0.25">
      <c r="B1677" s="91"/>
      <c r="C1677" s="78"/>
      <c r="D1677" s="100"/>
      <c r="E1677" s="101"/>
      <c r="F1677" s="77"/>
      <c r="G1677" s="311"/>
      <c r="H1677" s="321"/>
      <c r="I1677" s="107"/>
      <c r="J1677" s="351"/>
      <c r="K1677" s="69"/>
      <c r="L1677" s="84"/>
      <c r="M1677" s="82"/>
      <c r="N1677" s="319"/>
    </row>
    <row r="1678" spans="2:14" ht="15" x14ac:dyDescent="0.25">
      <c r="B1678" s="65"/>
      <c r="C1678" s="66"/>
      <c r="D1678" s="100"/>
      <c r="E1678" s="101"/>
      <c r="F1678" s="77"/>
      <c r="G1678" s="104"/>
      <c r="H1678" s="106"/>
      <c r="I1678" s="107"/>
      <c r="J1678" s="351"/>
      <c r="K1678" s="69"/>
      <c r="L1678" s="84"/>
      <c r="M1678" s="82"/>
      <c r="N1678" s="319"/>
    </row>
    <row r="1679" spans="2:14" ht="15" x14ac:dyDescent="0.25">
      <c r="B1679" s="65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65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ht="15" x14ac:dyDescent="0.25">
      <c r="B1681" s="65"/>
      <c r="C1681" s="78"/>
      <c r="D1681" s="100"/>
      <c r="E1681" s="101"/>
      <c r="F1681" s="77"/>
      <c r="G1681" s="311"/>
      <c r="H1681" s="321"/>
      <c r="I1681" s="313"/>
      <c r="J1681" s="352"/>
      <c r="K1681" s="69"/>
      <c r="L1681" s="84"/>
      <c r="M1681" s="82"/>
      <c r="N1681" s="319"/>
    </row>
    <row r="1682" spans="2:14" ht="15" x14ac:dyDescent="0.25">
      <c r="B1682" s="65"/>
      <c r="C1682" s="66"/>
      <c r="D1682" s="100"/>
      <c r="E1682" s="101"/>
      <c r="F1682" s="77"/>
      <c r="G1682" s="104"/>
      <c r="H1682" s="106"/>
      <c r="I1682" s="107"/>
      <c r="J1682" s="351"/>
      <c r="K1682" s="69"/>
      <c r="L1682" s="84"/>
      <c r="M1682" s="82"/>
      <c r="N1682" s="319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ht="15" x14ac:dyDescent="0.25">
      <c r="B1684" s="65"/>
      <c r="C1684" s="78"/>
      <c r="D1684" s="100"/>
      <c r="E1684" s="101"/>
      <c r="F1684" s="77"/>
      <c r="G1684" s="311"/>
      <c r="H1684" s="321"/>
      <c r="I1684" s="313"/>
      <c r="J1684" s="352"/>
      <c r="K1684" s="69"/>
      <c r="L1684" s="84"/>
      <c r="M1684" s="82"/>
      <c r="N1684" s="319"/>
    </row>
    <row r="1685" spans="2:14" ht="15" x14ac:dyDescent="0.25">
      <c r="B1685" s="65"/>
      <c r="C1685" s="66"/>
      <c r="D1685" s="109"/>
      <c r="E1685" s="101"/>
      <c r="F1685" s="77"/>
      <c r="G1685" s="104"/>
      <c r="H1685" s="106"/>
      <c r="I1685" s="107"/>
      <c r="J1685" s="351"/>
      <c r="K1685" s="69"/>
      <c r="L1685" s="322"/>
      <c r="M1685" s="82"/>
      <c r="N1685" s="319"/>
    </row>
    <row r="1686" spans="2:14" ht="15" x14ac:dyDescent="0.25">
      <c r="B1686" s="65"/>
      <c r="C1686" s="66"/>
      <c r="D1686" s="100"/>
      <c r="E1686" s="101"/>
      <c r="F1686" s="77"/>
      <c r="G1686" s="104"/>
      <c r="H1686" s="106"/>
      <c r="I1686" s="107"/>
      <c r="J1686" s="351"/>
      <c r="K1686" s="69"/>
      <c r="L1686" s="84"/>
      <c r="M1686" s="82"/>
      <c r="N1686" s="319"/>
    </row>
    <row r="1687" spans="2:14" ht="15" x14ac:dyDescent="0.25">
      <c r="B1687" s="65"/>
      <c r="C1687" s="66"/>
      <c r="D1687" s="100"/>
      <c r="E1687" s="101"/>
      <c r="F1687" s="77"/>
      <c r="G1687" s="104"/>
      <c r="H1687" s="106"/>
      <c r="I1687" s="107"/>
      <c r="J1687" s="351"/>
      <c r="K1687" s="69"/>
      <c r="L1687" s="322"/>
      <c r="M1687" s="82"/>
      <c r="N1687" s="319"/>
    </row>
    <row r="1688" spans="2:14" ht="15" x14ac:dyDescent="0.25">
      <c r="B1688" s="65"/>
      <c r="C1688" s="78"/>
      <c r="D1688" s="100"/>
      <c r="E1688" s="101"/>
      <c r="F1688" s="77"/>
      <c r="G1688" s="311"/>
      <c r="H1688" s="321"/>
      <c r="I1688" s="313"/>
      <c r="J1688" s="352"/>
      <c r="K1688" s="69"/>
      <c r="L1688" s="322"/>
      <c r="M1688" s="82"/>
      <c r="N1688" s="319"/>
    </row>
    <row r="1689" spans="2:14" ht="15" x14ac:dyDescent="0.25">
      <c r="B1689" s="65"/>
      <c r="C1689" s="78"/>
      <c r="D1689" s="100"/>
      <c r="E1689" s="101"/>
      <c r="F1689" s="77"/>
      <c r="G1689" s="311"/>
      <c r="H1689" s="321"/>
      <c r="I1689" s="313"/>
      <c r="J1689" s="352"/>
      <c r="K1689" s="69"/>
      <c r="L1689" s="322"/>
      <c r="M1689" s="82"/>
      <c r="N1689" s="323"/>
    </row>
    <row r="1690" spans="2:14" ht="15" x14ac:dyDescent="0.25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23"/>
    </row>
    <row r="1691" spans="2:14" ht="15" x14ac:dyDescent="0.25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23"/>
    </row>
    <row r="1692" spans="2:14" ht="15" x14ac:dyDescent="0.25">
      <c r="B1692" s="65"/>
      <c r="C1692" s="78"/>
      <c r="D1692" s="100"/>
      <c r="E1692" s="101"/>
      <c r="F1692" s="77"/>
      <c r="G1692" s="311"/>
      <c r="H1692" s="321"/>
      <c r="I1692" s="107"/>
      <c r="J1692" s="351"/>
      <c r="K1692" s="69"/>
      <c r="L1692" s="84"/>
      <c r="M1692" s="82"/>
      <c r="N1692" s="323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23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23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66"/>
      <c r="D1698" s="100"/>
      <c r="E1698" s="101"/>
      <c r="F1698" s="68"/>
      <c r="G1698" s="104"/>
      <c r="H1698" s="106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78"/>
      <c r="D1699" s="100"/>
      <c r="E1699" s="101"/>
      <c r="F1699" s="77"/>
      <c r="G1699" s="311"/>
      <c r="H1699" s="321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77"/>
      <c r="G1701" s="104"/>
      <c r="H1701" s="106"/>
      <c r="I1701" s="107"/>
      <c r="J1701" s="351"/>
      <c r="K1701" s="70"/>
      <c r="L1701" s="84"/>
      <c r="M1701" s="82"/>
      <c r="N1701" s="323"/>
    </row>
    <row r="1702" spans="2:14" ht="15" x14ac:dyDescent="0.25">
      <c r="B1702" s="91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23"/>
    </row>
    <row r="1703" spans="2:14" ht="15" x14ac:dyDescent="0.25">
      <c r="B1703" s="91"/>
      <c r="C1703" s="78"/>
      <c r="D1703" s="100"/>
      <c r="E1703" s="101"/>
      <c r="F1703" s="68"/>
      <c r="G1703" s="311"/>
      <c r="H1703" s="321"/>
      <c r="I1703" s="107"/>
      <c r="J1703" s="351"/>
      <c r="K1703" s="69"/>
      <c r="L1703" s="84"/>
      <c r="M1703" s="82"/>
      <c r="N1703" s="323"/>
    </row>
    <row r="1704" spans="2:14" ht="15" x14ac:dyDescent="0.25">
      <c r="B1704" s="91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23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322"/>
      <c r="M1705" s="82"/>
      <c r="N1705" s="323"/>
    </row>
    <row r="1706" spans="2:14" ht="15" x14ac:dyDescent="0.25">
      <c r="B1706" s="65"/>
      <c r="C1706" s="66"/>
      <c r="D1706" s="100"/>
      <c r="E1706" s="101"/>
      <c r="F1706" s="68"/>
      <c r="G1706" s="104"/>
      <c r="H1706" s="106"/>
      <c r="I1706" s="107"/>
      <c r="J1706" s="351"/>
      <c r="K1706" s="69"/>
      <c r="L1706" s="84"/>
      <c r="M1706" s="82"/>
      <c r="N1706" s="323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84"/>
      <c r="M1707" s="82"/>
      <c r="N1707" s="323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23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322"/>
      <c r="M1709" s="82"/>
      <c r="N1709" s="323"/>
    </row>
    <row r="1710" spans="2:14" x14ac:dyDescent="0.2">
      <c r="B1710" s="65"/>
      <c r="C1710" s="78"/>
      <c r="D1710" s="100"/>
      <c r="E1710" s="101"/>
      <c r="F1710" s="77"/>
      <c r="G1710" s="311"/>
      <c r="H1710" s="321"/>
      <c r="I1710" s="324"/>
      <c r="J1710" s="354"/>
      <c r="K1710" s="69"/>
      <c r="L1710" s="84"/>
      <c r="M1710" s="82"/>
      <c r="N1710" s="323"/>
    </row>
    <row r="1711" spans="2:14" x14ac:dyDescent="0.2">
      <c r="B1711" s="65"/>
      <c r="C1711" s="78"/>
      <c r="D1711" s="100"/>
      <c r="E1711" s="101"/>
      <c r="F1711" s="77"/>
      <c r="G1711" s="311"/>
      <c r="H1711" s="321"/>
      <c r="I1711" s="324"/>
      <c r="J1711" s="354"/>
      <c r="K1711" s="69"/>
      <c r="L1711" s="84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2"/>
      <c r="F1713" s="77"/>
      <c r="G1713" s="325"/>
      <c r="H1713" s="321"/>
      <c r="I1713" s="313"/>
      <c r="J1713" s="352"/>
      <c r="K1713" s="69"/>
      <c r="L1713" s="322"/>
      <c r="M1713" s="82"/>
      <c r="N1713" s="323"/>
    </row>
    <row r="1714" spans="2:14" ht="15" x14ac:dyDescent="0.25">
      <c r="B1714" s="65"/>
      <c r="C1714" s="78"/>
      <c r="D1714" s="97"/>
      <c r="E1714" s="67"/>
      <c r="F1714" s="77"/>
      <c r="G1714" s="325"/>
      <c r="H1714" s="321"/>
      <c r="I1714" s="313"/>
      <c r="J1714" s="352"/>
      <c r="K1714" s="69"/>
      <c r="L1714" s="322"/>
      <c r="M1714" s="82"/>
      <c r="N1714" s="323"/>
    </row>
    <row r="1715" spans="2:14" ht="15" x14ac:dyDescent="0.25">
      <c r="B1715" s="65"/>
      <c r="C1715" s="78"/>
      <c r="D1715" s="97"/>
      <c r="E1715" s="67"/>
      <c r="F1715" s="77"/>
      <c r="G1715" s="325"/>
      <c r="H1715" s="321"/>
      <c r="I1715" s="313"/>
      <c r="J1715" s="352"/>
      <c r="K1715" s="69"/>
      <c r="L1715" s="322"/>
      <c r="M1715" s="82"/>
      <c r="N1715" s="323"/>
    </row>
    <row r="1716" spans="2:14" ht="15" x14ac:dyDescent="0.25">
      <c r="B1716" s="65"/>
      <c r="C1716" s="78"/>
      <c r="D1716" s="97"/>
      <c r="E1716" s="67"/>
      <c r="F1716" s="77"/>
      <c r="G1716" s="325"/>
      <c r="H1716" s="321"/>
      <c r="I1716" s="326"/>
      <c r="J1716" s="355"/>
      <c r="K1716" s="69"/>
      <c r="L1716" s="322"/>
      <c r="M1716" s="82"/>
      <c r="N1716" s="323"/>
    </row>
    <row r="1717" spans="2:14" ht="15" x14ac:dyDescent="0.25">
      <c r="B1717" s="65"/>
      <c r="C1717" s="78"/>
      <c r="D1717" s="97"/>
      <c r="E1717" s="67"/>
      <c r="F1717" s="77"/>
      <c r="G1717" s="325"/>
      <c r="H1717" s="321"/>
      <c r="I1717" s="326"/>
      <c r="J1717" s="355"/>
      <c r="K1717" s="69"/>
      <c r="L1717" s="322"/>
      <c r="M1717" s="82"/>
      <c r="N1717" s="323"/>
    </row>
    <row r="1718" spans="2:14" x14ac:dyDescent="0.2">
      <c r="B1718" s="65"/>
      <c r="C1718" s="66"/>
      <c r="D1718" s="90"/>
      <c r="E1718" s="67"/>
      <c r="F1718" s="77"/>
      <c r="G1718" s="77"/>
      <c r="H1718" s="106"/>
      <c r="I1718" s="94"/>
      <c r="J1718" s="356"/>
      <c r="K1718" s="80"/>
      <c r="L1718" s="84"/>
      <c r="M1718" s="82"/>
      <c r="N1718" s="327"/>
    </row>
    <row r="1719" spans="2:14" ht="15" x14ac:dyDescent="0.25">
      <c r="B1719" s="65"/>
      <c r="C1719" s="78"/>
      <c r="D1719" s="90"/>
      <c r="E1719" s="67"/>
      <c r="F1719" s="77"/>
      <c r="G1719" s="328"/>
      <c r="H1719" s="321"/>
      <c r="I1719" s="326"/>
      <c r="J1719" s="355"/>
      <c r="K1719" s="69"/>
      <c r="L1719" s="322"/>
      <c r="M1719" s="82"/>
      <c r="N1719" s="327"/>
    </row>
    <row r="1720" spans="2:14" ht="15" x14ac:dyDescent="0.25">
      <c r="B1720" s="65"/>
      <c r="C1720" s="66"/>
      <c r="D1720" s="90"/>
      <c r="E1720" s="67"/>
      <c r="F1720" s="77"/>
      <c r="G1720" s="77"/>
      <c r="H1720" s="106"/>
      <c r="I1720" s="95"/>
      <c r="J1720" s="357"/>
      <c r="K1720" s="80"/>
      <c r="L1720" s="84"/>
      <c r="M1720" s="82"/>
      <c r="N1720" s="327"/>
    </row>
    <row r="1721" spans="2:14" ht="15" x14ac:dyDescent="0.25">
      <c r="B1721" s="91"/>
      <c r="C1721" s="66"/>
      <c r="D1721" s="90"/>
      <c r="E1721" s="67"/>
      <c r="F1721" s="77"/>
      <c r="G1721" s="77"/>
      <c r="H1721" s="106"/>
      <c r="I1721" s="95"/>
      <c r="J1721" s="357"/>
      <c r="K1721" s="69"/>
      <c r="L1721" s="84"/>
      <c r="M1721" s="82"/>
      <c r="N1721" s="327"/>
    </row>
    <row r="1722" spans="2:14" x14ac:dyDescent="0.2">
      <c r="B1722" s="91"/>
      <c r="C1722" s="66"/>
      <c r="D1722" s="90"/>
      <c r="E1722" s="67"/>
      <c r="F1722" s="77"/>
      <c r="G1722" s="77"/>
      <c r="H1722" s="106"/>
      <c r="I1722" s="94"/>
      <c r="J1722" s="356"/>
      <c r="K1722" s="69"/>
      <c r="L1722" s="84"/>
      <c r="M1722" s="82"/>
      <c r="N1722" s="327"/>
    </row>
    <row r="1723" spans="2:14" x14ac:dyDescent="0.2">
      <c r="B1723" s="91"/>
      <c r="C1723" s="66"/>
      <c r="D1723" s="90"/>
      <c r="E1723" s="67"/>
      <c r="F1723" s="77"/>
      <c r="G1723" s="77"/>
      <c r="H1723" s="106"/>
      <c r="I1723" s="94"/>
      <c r="J1723" s="356"/>
      <c r="K1723" s="69"/>
      <c r="L1723" s="84"/>
      <c r="M1723" s="82"/>
      <c r="N1723" s="327"/>
    </row>
    <row r="1724" spans="2:14" ht="15" x14ac:dyDescent="0.25">
      <c r="B1724" s="91"/>
      <c r="C1724" s="66"/>
      <c r="D1724" s="90"/>
      <c r="E1724" s="67"/>
      <c r="F1724" s="77"/>
      <c r="G1724" s="77"/>
      <c r="H1724" s="106"/>
      <c r="I1724" s="95"/>
      <c r="J1724" s="357"/>
      <c r="K1724" s="80"/>
      <c r="L1724" s="84"/>
      <c r="M1724" s="82"/>
      <c r="N1724" s="327"/>
    </row>
    <row r="1725" spans="2:14" ht="15" x14ac:dyDescent="0.25">
      <c r="B1725" s="91"/>
      <c r="C1725" s="66"/>
      <c r="D1725" s="90"/>
      <c r="E1725" s="67"/>
      <c r="F1725" s="77"/>
      <c r="G1725" s="77"/>
      <c r="H1725" s="106"/>
      <c r="I1725" s="95"/>
      <c r="J1725" s="357"/>
      <c r="K1725" s="69"/>
      <c r="L1725" s="84"/>
      <c r="M1725" s="82"/>
      <c r="N1725" s="327"/>
    </row>
    <row r="1726" spans="2:14" ht="15" x14ac:dyDescent="0.25">
      <c r="B1726" s="91"/>
      <c r="C1726" s="78"/>
      <c r="D1726" s="90"/>
      <c r="E1726" s="67"/>
      <c r="F1726" s="77"/>
      <c r="G1726" s="328"/>
      <c r="H1726" s="321"/>
      <c r="I1726" s="326"/>
      <c r="J1726" s="355"/>
      <c r="K1726" s="69"/>
      <c r="L1726" s="84"/>
      <c r="M1726" s="82"/>
      <c r="N1726" s="327"/>
    </row>
    <row r="1727" spans="2:14" x14ac:dyDescent="0.2">
      <c r="B1727" s="91"/>
      <c r="C1727" s="66"/>
      <c r="D1727" s="90"/>
      <c r="E1727" s="67"/>
      <c r="F1727" s="77"/>
      <c r="G1727" s="77"/>
      <c r="H1727" s="106"/>
      <c r="I1727" s="94"/>
      <c r="J1727" s="356"/>
      <c r="K1727" s="69"/>
      <c r="L1727" s="84"/>
      <c r="M1727" s="82"/>
      <c r="N1727" s="327"/>
    </row>
    <row r="1728" spans="2:14" ht="15" x14ac:dyDescent="0.25">
      <c r="B1728" s="91"/>
      <c r="C1728" s="66"/>
      <c r="D1728" s="90"/>
      <c r="E1728" s="67"/>
      <c r="F1728" s="77"/>
      <c r="G1728" s="77"/>
      <c r="H1728" s="106"/>
      <c r="I1728" s="95"/>
      <c r="J1728" s="357"/>
      <c r="K1728" s="69"/>
      <c r="L1728" s="84"/>
      <c r="M1728" s="82"/>
      <c r="N1728" s="327"/>
    </row>
    <row r="1729" spans="2:14" ht="15" x14ac:dyDescent="0.25">
      <c r="B1729" s="91"/>
      <c r="C1729" s="66"/>
      <c r="D1729" s="90"/>
      <c r="E1729" s="67"/>
      <c r="F1729" s="77"/>
      <c r="G1729" s="77"/>
      <c r="H1729" s="106"/>
      <c r="I1729" s="95"/>
      <c r="J1729" s="357"/>
      <c r="K1729" s="80"/>
      <c r="L1729" s="84"/>
      <c r="M1729" s="82"/>
      <c r="N1729" s="327"/>
    </row>
    <row r="1730" spans="2:14" x14ac:dyDescent="0.2">
      <c r="B1730" s="91"/>
      <c r="C1730" s="66"/>
      <c r="D1730" s="90"/>
      <c r="E1730" s="67"/>
      <c r="F1730" s="77"/>
      <c r="G1730" s="77"/>
      <c r="H1730" s="106"/>
      <c r="I1730" s="94"/>
      <c r="J1730" s="356"/>
      <c r="K1730" s="69"/>
      <c r="L1730" s="84"/>
      <c r="M1730" s="82"/>
      <c r="N1730" s="323"/>
    </row>
    <row r="1731" spans="2:14" ht="15" x14ac:dyDescent="0.25">
      <c r="B1731" s="91"/>
      <c r="C1731" s="66"/>
      <c r="D1731" s="90"/>
      <c r="E1731" s="67"/>
      <c r="F1731" s="77"/>
      <c r="G1731" s="77"/>
      <c r="H1731" s="106"/>
      <c r="I1731" s="95"/>
      <c r="J1731" s="357"/>
      <c r="K1731" s="69"/>
      <c r="L1731" s="322"/>
      <c r="M1731" s="82"/>
      <c r="N1731" s="323"/>
    </row>
    <row r="1732" spans="2:14" ht="15" x14ac:dyDescent="0.25">
      <c r="B1732" s="91"/>
      <c r="C1732" s="66"/>
      <c r="D1732" s="90"/>
      <c r="E1732" s="67"/>
      <c r="F1732" s="77"/>
      <c r="G1732" s="77"/>
      <c r="H1732" s="106"/>
      <c r="I1732" s="95"/>
      <c r="J1732" s="357"/>
      <c r="K1732" s="69"/>
      <c r="L1732" s="84"/>
      <c r="M1732" s="82"/>
      <c r="N1732" s="323"/>
    </row>
    <row r="1733" spans="2:14" ht="15" x14ac:dyDescent="0.25">
      <c r="B1733" s="65"/>
      <c r="C1733" s="78"/>
      <c r="D1733" s="90"/>
      <c r="E1733" s="67"/>
      <c r="F1733" s="77"/>
      <c r="G1733" s="328"/>
      <c r="H1733" s="321"/>
      <c r="I1733" s="326"/>
      <c r="J1733" s="355"/>
      <c r="K1733" s="69"/>
      <c r="L1733" s="322"/>
      <c r="M1733" s="82"/>
      <c r="N1733" s="323"/>
    </row>
    <row r="1734" spans="2:14" ht="15" x14ac:dyDescent="0.25">
      <c r="B1734" s="37"/>
      <c r="C1734" s="52"/>
      <c r="D1734" s="24"/>
      <c r="E1734" s="25"/>
      <c r="F1734" s="26"/>
      <c r="G1734" s="26"/>
      <c r="H1734" s="329"/>
      <c r="I1734" s="41"/>
      <c r="J1734" s="358"/>
      <c r="K1734" s="27"/>
      <c r="L1734" s="330"/>
      <c r="M1734" s="34"/>
      <c r="N1734" s="331"/>
    </row>
    <row r="1735" spans="2:14" ht="15" x14ac:dyDescent="0.25">
      <c r="B1735" s="37"/>
      <c r="C1735" s="53"/>
      <c r="D1735" s="24"/>
      <c r="E1735" s="25"/>
      <c r="F1735" s="26"/>
      <c r="G1735" s="325"/>
      <c r="H1735" s="332"/>
      <c r="I1735" s="333"/>
      <c r="J1735" s="359"/>
      <c r="K1735" s="27"/>
      <c r="L1735" s="33"/>
      <c r="M1735" s="34"/>
      <c r="N1735" s="331"/>
    </row>
    <row r="1736" spans="2:14" ht="15" x14ac:dyDescent="0.25">
      <c r="B1736" s="37"/>
      <c r="C1736" s="53"/>
      <c r="D1736" s="24"/>
      <c r="E1736" s="25"/>
      <c r="F1736" s="26"/>
      <c r="G1736" s="325"/>
      <c r="H1736" s="332"/>
      <c r="I1736" s="333"/>
      <c r="J1736" s="359"/>
      <c r="K1736" s="27"/>
      <c r="L1736" s="330"/>
      <c r="M1736" s="34"/>
      <c r="N1736" s="331"/>
    </row>
    <row r="1737" spans="2:14" ht="15" x14ac:dyDescent="0.25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0"/>
      <c r="M1737" s="34"/>
      <c r="N1737" s="331"/>
    </row>
    <row r="1738" spans="2:14" ht="15" x14ac:dyDescent="0.25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0"/>
      <c r="M1738" s="34"/>
      <c r="N1738" s="331"/>
    </row>
    <row r="1739" spans="2:14" ht="15" x14ac:dyDescent="0.25">
      <c r="B1739" s="30"/>
      <c r="C1739" s="52"/>
      <c r="D1739" s="24"/>
      <c r="E1739" s="25"/>
      <c r="F1739" s="26"/>
      <c r="G1739" s="26"/>
      <c r="H1739" s="329"/>
      <c r="I1739" s="41"/>
      <c r="J1739" s="358"/>
      <c r="K1739" s="27"/>
      <c r="L1739" s="330"/>
      <c r="M1739" s="34"/>
      <c r="N1739" s="331"/>
    </row>
    <row r="1740" spans="2:14" ht="15" x14ac:dyDescent="0.25">
      <c r="B1740" s="37"/>
      <c r="C1740" s="53"/>
      <c r="D1740" s="24"/>
      <c r="E1740" s="25"/>
      <c r="F1740" s="26"/>
      <c r="G1740" s="325"/>
      <c r="H1740" s="332"/>
      <c r="I1740" s="333"/>
      <c r="J1740" s="359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ht="15" x14ac:dyDescent="0.25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5"/>
    </row>
    <row r="1743" spans="2:14" ht="15" x14ac:dyDescent="0.25">
      <c r="B1743" s="30"/>
      <c r="C1743" s="2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5"/>
    </row>
    <row r="1744" spans="2:14" ht="15" x14ac:dyDescent="0.25">
      <c r="B1744" s="30"/>
      <c r="C1744" s="52"/>
      <c r="D1744" s="24"/>
      <c r="E1744" s="25"/>
      <c r="F1744" s="26"/>
      <c r="G1744" s="26"/>
      <c r="H1744" s="329"/>
      <c r="I1744" s="41"/>
      <c r="J1744" s="358"/>
      <c r="K1744" s="27"/>
      <c r="L1744" s="33"/>
      <c r="M1744" s="34"/>
      <c r="N1744" s="35"/>
    </row>
    <row r="1745" spans="2:14" ht="15" x14ac:dyDescent="0.25">
      <c r="B1745" s="37"/>
      <c r="C1745" s="52"/>
      <c r="D1745" s="24"/>
      <c r="E1745" s="25"/>
      <c r="F1745" s="26"/>
      <c r="G1745" s="26"/>
      <c r="H1745" s="329"/>
      <c r="I1745" s="41"/>
      <c r="J1745" s="358"/>
      <c r="K1745" s="27"/>
      <c r="L1745" s="33"/>
      <c r="M1745" s="34"/>
      <c r="N1745" s="35"/>
    </row>
    <row r="1746" spans="2:14" ht="15" x14ac:dyDescent="0.25">
      <c r="B1746" s="37"/>
      <c r="C1746" s="52"/>
      <c r="D1746" s="24"/>
      <c r="E1746" s="25"/>
      <c r="F1746" s="60"/>
      <c r="G1746" s="26"/>
      <c r="H1746" s="329"/>
      <c r="I1746" s="41"/>
      <c r="J1746" s="358"/>
      <c r="K1746" s="27"/>
      <c r="L1746" s="33"/>
      <c r="M1746" s="34"/>
      <c r="N1746" s="35"/>
    </row>
    <row r="1747" spans="2:14" ht="15" x14ac:dyDescent="0.25">
      <c r="B1747" s="37"/>
      <c r="C1747" s="52"/>
      <c r="D1747" s="24"/>
      <c r="E1747" s="25"/>
      <c r="F1747" s="26"/>
      <c r="G1747" s="26"/>
      <c r="H1747" s="329"/>
      <c r="I1747" s="41"/>
      <c r="J1747" s="358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5"/>
    </row>
    <row r="1754" spans="2:14" x14ac:dyDescent="0.2">
      <c r="B1754" s="37"/>
      <c r="C1754" s="23"/>
      <c r="D1754" s="24"/>
      <c r="E1754" s="25"/>
      <c r="F1754" s="60"/>
      <c r="G1754" s="26"/>
      <c r="H1754" s="329"/>
      <c r="I1754" s="42"/>
      <c r="J1754" s="360"/>
      <c r="K1754" s="27"/>
      <c r="L1754" s="33"/>
      <c r="M1754" s="34"/>
      <c r="N1754" s="35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"/>
      <c r="M1755" s="34"/>
      <c r="N1755" s="35"/>
    </row>
    <row r="1756" spans="2:14" ht="15" x14ac:dyDescent="0.25">
      <c r="B1756" s="37"/>
      <c r="C1756" s="52"/>
      <c r="D1756" s="24"/>
      <c r="E1756" s="25"/>
      <c r="F1756" s="60"/>
      <c r="G1756" s="26"/>
      <c r="H1756" s="329"/>
      <c r="I1756" s="41"/>
      <c r="J1756" s="358"/>
      <c r="K1756" s="27"/>
      <c r="L1756" s="33"/>
      <c r="M1756" s="34"/>
      <c r="N1756" s="35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5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"/>
      <c r="M1758" s="34"/>
      <c r="N1758" s="35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3"/>
      <c r="D1765" s="24"/>
      <c r="E1765" s="25"/>
      <c r="F1765" s="26"/>
      <c r="G1765" s="325"/>
      <c r="H1765" s="332"/>
      <c r="I1765" s="333"/>
      <c r="J1765" s="359"/>
      <c r="K1765" s="27"/>
      <c r="L1765" s="330"/>
      <c r="M1765" s="34"/>
      <c r="N1765" s="35"/>
    </row>
    <row r="1766" spans="2:14" ht="15" x14ac:dyDescent="0.25">
      <c r="B1766" s="37"/>
      <c r="C1766" s="53"/>
      <c r="D1766" s="24"/>
      <c r="E1766" s="25"/>
      <c r="F1766" s="26"/>
      <c r="G1766" s="325"/>
      <c r="H1766" s="332"/>
      <c r="I1766" s="333"/>
      <c r="J1766" s="359"/>
      <c r="K1766" s="27"/>
      <c r="L1766" s="330"/>
      <c r="M1766" s="34"/>
      <c r="N1766" s="35"/>
    </row>
    <row r="1767" spans="2:14" ht="15" x14ac:dyDescent="0.25">
      <c r="B1767" s="37"/>
      <c r="C1767" s="53"/>
      <c r="D1767" s="24"/>
      <c r="E1767" s="25"/>
      <c r="F1767" s="26"/>
      <c r="G1767" s="325"/>
      <c r="H1767" s="332"/>
      <c r="I1767" s="333"/>
      <c r="J1767" s="359"/>
      <c r="K1767" s="27"/>
      <c r="L1767" s="330"/>
      <c r="M1767" s="34"/>
      <c r="N1767" s="35"/>
    </row>
    <row r="1768" spans="2:14" ht="15" x14ac:dyDescent="0.25">
      <c r="B1768" s="30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0"/>
      <c r="C1769" s="23"/>
      <c r="D1769" s="24"/>
      <c r="E1769" s="25"/>
      <c r="F1769" s="26"/>
      <c r="G1769" s="26"/>
      <c r="H1769" s="329"/>
      <c r="I1769" s="41"/>
      <c r="J1769" s="358"/>
      <c r="K1769" s="36"/>
      <c r="L1769" s="33"/>
      <c r="M1769" s="34"/>
      <c r="N1769" s="35"/>
    </row>
    <row r="1770" spans="2:14" ht="15" x14ac:dyDescent="0.25">
      <c r="B1770" s="30"/>
      <c r="C1770" s="23"/>
      <c r="D1770" s="24"/>
      <c r="E1770" s="25"/>
      <c r="F1770" s="26"/>
      <c r="G1770" s="325"/>
      <c r="H1770" s="332"/>
      <c r="I1770" s="333"/>
      <c r="J1770" s="359"/>
      <c r="K1770" s="27"/>
      <c r="L1770" s="33"/>
      <c r="M1770" s="34"/>
      <c r="N1770" s="35"/>
    </row>
    <row r="1771" spans="2:14" ht="15" x14ac:dyDescent="0.25">
      <c r="B1771" s="30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x14ac:dyDescent="0.2">
      <c r="B1772" s="37"/>
      <c r="C1772" s="52"/>
      <c r="D1772" s="24"/>
      <c r="E1772" s="25"/>
      <c r="F1772" s="26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60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x14ac:dyDescent="0.2">
      <c r="B1775" s="37"/>
      <c r="C1775" s="52"/>
      <c r="D1775" s="24"/>
      <c r="E1775" s="25"/>
      <c r="F1775" s="26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x14ac:dyDescent="0.2">
      <c r="B1777" s="37"/>
      <c r="C1777" s="52"/>
      <c r="D1777" s="24"/>
      <c r="E1777" s="25"/>
      <c r="F1777" s="26"/>
      <c r="G1777" s="26"/>
      <c r="H1777" s="329"/>
      <c r="I1777" s="42"/>
      <c r="J1777" s="360"/>
      <c r="K1777" s="27"/>
      <c r="L1777" s="33"/>
      <c r="M1777" s="34"/>
      <c r="N1777" s="35"/>
    </row>
    <row r="1778" spans="2:14" x14ac:dyDescent="0.2">
      <c r="B1778" s="37"/>
      <c r="C1778" s="23"/>
      <c r="D1778" s="24"/>
      <c r="E1778" s="25"/>
      <c r="F1778" s="26"/>
      <c r="G1778" s="325"/>
      <c r="H1778" s="332"/>
      <c r="I1778" s="334"/>
      <c r="J1778" s="361"/>
      <c r="K1778" s="27"/>
      <c r="L1778" s="33"/>
      <c r="M1778" s="34"/>
      <c r="N1778" s="35"/>
    </row>
    <row r="1779" spans="2:14" x14ac:dyDescent="0.2">
      <c r="B1779" s="37"/>
      <c r="C1779" s="52"/>
      <c r="D1779" s="24"/>
      <c r="E1779" s="25"/>
      <c r="F1779" s="26"/>
      <c r="G1779" s="26"/>
      <c r="H1779" s="329"/>
      <c r="I1779" s="42"/>
      <c r="J1779" s="360"/>
      <c r="K1779" s="36"/>
      <c r="L1779" s="33"/>
      <c r="M1779" s="34"/>
      <c r="N1779" s="35"/>
    </row>
    <row r="1780" spans="2:14" x14ac:dyDescent="0.2">
      <c r="B1780" s="37"/>
      <c r="C1780" s="53"/>
      <c r="D1780" s="24"/>
      <c r="E1780" s="25"/>
      <c r="F1780" s="26"/>
      <c r="G1780" s="26"/>
      <c r="H1780" s="329"/>
      <c r="I1780" s="334"/>
      <c r="J1780" s="361"/>
      <c r="K1780" s="36"/>
      <c r="L1780" s="330"/>
      <c r="M1780" s="34"/>
      <c r="N1780" s="35"/>
    </row>
    <row r="1781" spans="2:14" ht="15" x14ac:dyDescent="0.25">
      <c r="B1781" s="37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0"/>
      <c r="M1781" s="34"/>
      <c r="N1781" s="35"/>
    </row>
    <row r="1782" spans="2:14" ht="15" x14ac:dyDescent="0.25">
      <c r="B1782" s="37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26"/>
      <c r="H1783" s="329"/>
      <c r="I1783" s="333"/>
      <c r="J1783" s="359"/>
      <c r="K1783" s="36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ht="15" x14ac:dyDescent="0.25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9"/>
      <c r="I1792" s="41"/>
      <c r="J1792" s="358"/>
      <c r="K1792" s="36"/>
      <c r="L1792" s="33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29"/>
      <c r="I1793" s="41"/>
      <c r="J1793" s="358"/>
      <c r="K1793" s="36"/>
      <c r="L1793" s="33"/>
      <c r="M1793" s="34"/>
      <c r="N1793" s="35"/>
    </row>
    <row r="1794" spans="2:14" ht="15" x14ac:dyDescent="0.25">
      <c r="B1794" s="30"/>
      <c r="C1794" s="23"/>
      <c r="D1794" s="24"/>
      <c r="E1794" s="25"/>
      <c r="F1794" s="26"/>
      <c r="G1794" s="26"/>
      <c r="H1794" s="329"/>
      <c r="I1794" s="41"/>
      <c r="J1794" s="358"/>
      <c r="K1794" s="36"/>
      <c r="L1794" s="33"/>
      <c r="M1794" s="34"/>
      <c r="N1794" s="35"/>
    </row>
    <row r="1795" spans="2:14" ht="15" x14ac:dyDescent="0.25">
      <c r="B1795" s="30"/>
      <c r="C1795" s="23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ht="15" x14ac:dyDescent="0.25">
      <c r="B1796" s="30"/>
      <c r="C1796" s="52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ht="15" x14ac:dyDescent="0.25">
      <c r="B1797" s="30"/>
      <c r="C1797" s="23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ht="15" x14ac:dyDescent="0.25">
      <c r="B1798" s="30"/>
      <c r="C1798" s="52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ht="15" x14ac:dyDescent="0.25">
      <c r="B1799" s="30"/>
      <c r="C1799" s="53"/>
      <c r="D1799" s="24"/>
      <c r="E1799" s="25"/>
      <c r="F1799" s="26"/>
      <c r="G1799" s="325"/>
      <c r="H1799" s="332"/>
      <c r="I1799" s="333"/>
      <c r="J1799" s="359"/>
      <c r="K1799" s="36"/>
      <c r="L1799" s="33"/>
      <c r="M1799" s="34"/>
      <c r="N1799" s="35"/>
    </row>
    <row r="1800" spans="2:14" ht="15" x14ac:dyDescent="0.25">
      <c r="B1800" s="30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0"/>
      <c r="C1801" s="52"/>
      <c r="D1801" s="24"/>
      <c r="E1801" s="25"/>
      <c r="F1801" s="26"/>
      <c r="G1801" s="26"/>
      <c r="H1801" s="329"/>
      <c r="I1801" s="41"/>
      <c r="J1801" s="358"/>
      <c r="K1801" s="36"/>
      <c r="L1801" s="33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x14ac:dyDescent="0.2">
      <c r="B1803" s="37"/>
      <c r="C1803" s="23"/>
      <c r="D1803" s="24"/>
      <c r="E1803" s="25"/>
      <c r="F1803" s="26"/>
      <c r="G1803" s="26"/>
      <c r="H1803" s="329"/>
      <c r="I1803" s="42"/>
      <c r="J1803" s="360"/>
      <c r="K1803" s="36"/>
      <c r="L1803" s="33"/>
      <c r="M1803" s="34"/>
      <c r="N1803" s="35"/>
    </row>
    <row r="1804" spans="2:14" x14ac:dyDescent="0.2">
      <c r="B1804" s="37"/>
      <c r="C1804" s="23"/>
      <c r="D1804" s="24"/>
      <c r="E1804" s="25"/>
      <c r="F1804" s="26"/>
      <c r="G1804" s="26"/>
      <c r="H1804" s="329"/>
      <c r="I1804" s="42"/>
      <c r="J1804" s="360"/>
      <c r="K1804" s="36"/>
      <c r="L1804" s="33"/>
      <c r="M1804" s="34"/>
      <c r="N1804" s="35"/>
    </row>
    <row r="1805" spans="2:14" ht="15" x14ac:dyDescent="0.25">
      <c r="B1805" s="37"/>
      <c r="C1805" s="23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x14ac:dyDescent="0.2">
      <c r="B1806" s="37"/>
      <c r="C1806" s="52"/>
      <c r="D1806" s="24"/>
      <c r="E1806" s="25"/>
      <c r="F1806" s="26"/>
      <c r="G1806" s="26"/>
      <c r="H1806" s="329"/>
      <c r="I1806" s="42"/>
      <c r="J1806" s="360"/>
      <c r="K1806" s="36"/>
      <c r="L1806" s="33"/>
      <c r="M1806" s="34"/>
      <c r="N1806" s="35"/>
    </row>
    <row r="1807" spans="2:14" ht="15" x14ac:dyDescent="0.25">
      <c r="B1807" s="37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x14ac:dyDescent="0.2">
      <c r="B1808" s="37"/>
      <c r="C1808" s="52"/>
      <c r="D1808" s="24"/>
      <c r="E1808" s="25"/>
      <c r="F1808" s="26"/>
      <c r="G1808" s="26"/>
      <c r="H1808" s="329"/>
      <c r="I1808" s="42"/>
      <c r="J1808" s="360"/>
      <c r="K1808" s="36"/>
      <c r="L1808" s="330"/>
      <c r="M1808" s="34"/>
      <c r="N1808" s="35"/>
    </row>
    <row r="1809" spans="2:14" ht="15" x14ac:dyDescent="0.25">
      <c r="B1809" s="37"/>
      <c r="C1809" s="23"/>
      <c r="D1809" s="24"/>
      <c r="E1809" s="25"/>
      <c r="F1809" s="26"/>
      <c r="G1809" s="26"/>
      <c r="H1809" s="329"/>
      <c r="I1809" s="41"/>
      <c r="J1809" s="358"/>
      <c r="K1809" s="27"/>
      <c r="L1809" s="330"/>
      <c r="M1809" s="34"/>
      <c r="N1809" s="35"/>
    </row>
    <row r="1810" spans="2:14" ht="15" x14ac:dyDescent="0.25">
      <c r="B1810" s="37"/>
      <c r="C1810" s="23"/>
      <c r="D1810" s="24"/>
      <c r="E1810" s="25"/>
      <c r="F1810" s="26"/>
      <c r="G1810" s="26"/>
      <c r="H1810" s="329"/>
      <c r="I1810" s="41"/>
      <c r="J1810" s="358"/>
      <c r="K1810" s="27"/>
      <c r="L1810" s="330"/>
      <c r="M1810" s="34"/>
      <c r="N1810" s="35"/>
    </row>
    <row r="1811" spans="2:14" x14ac:dyDescent="0.2">
      <c r="B1811" s="37"/>
      <c r="C1811" s="23"/>
      <c r="D1811" s="24"/>
      <c r="E1811" s="25"/>
      <c r="F1811" s="26"/>
      <c r="G1811" s="325"/>
      <c r="H1811" s="332"/>
      <c r="I1811" s="334"/>
      <c r="J1811" s="361"/>
      <c r="K1811" s="27"/>
      <c r="L1811" s="33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5"/>
      <c r="H1813" s="332"/>
      <c r="I1813" s="333"/>
      <c r="J1813" s="359"/>
      <c r="K1813" s="27"/>
      <c r="L1813" s="330"/>
      <c r="M1813" s="34"/>
      <c r="N1813" s="35"/>
    </row>
    <row r="1814" spans="2:14" ht="15" x14ac:dyDescent="0.25">
      <c r="B1814" s="37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x14ac:dyDescent="0.2">
      <c r="B1815" s="37"/>
      <c r="C1815" s="23"/>
      <c r="D1815" s="24"/>
      <c r="E1815" s="25"/>
      <c r="F1815" s="26"/>
      <c r="G1815" s="325"/>
      <c r="H1815" s="332"/>
      <c r="I1815" s="334"/>
      <c r="J1815" s="361"/>
      <c r="K1815" s="27"/>
      <c r="L1815" s="33"/>
      <c r="M1815" s="34"/>
      <c r="N1815" s="35"/>
    </row>
    <row r="1816" spans="2:14" ht="15" x14ac:dyDescent="0.25">
      <c r="B1816" s="37"/>
      <c r="C1816" s="53"/>
      <c r="D1816" s="24"/>
      <c r="E1816" s="25"/>
      <c r="F1816" s="26"/>
      <c r="G1816" s="325"/>
      <c r="H1816" s="332"/>
      <c r="I1816" s="333"/>
      <c r="J1816" s="359"/>
      <c r="K1816" s="27"/>
      <c r="L1816" s="330"/>
      <c r="M1816" s="34"/>
      <c r="N1816" s="35"/>
    </row>
    <row r="1817" spans="2:14" ht="15" x14ac:dyDescent="0.25">
      <c r="B1817" s="37"/>
      <c r="C1817" s="53"/>
      <c r="D1817" s="24"/>
      <c r="E1817" s="25"/>
      <c r="F1817" s="26"/>
      <c r="G1817" s="325"/>
      <c r="H1817" s="332"/>
      <c r="I1817" s="333"/>
      <c r="J1817" s="359"/>
      <c r="K1817" s="27"/>
      <c r="L1817" s="330"/>
      <c r="M1817" s="34"/>
      <c r="N1817" s="35"/>
    </row>
    <row r="1818" spans="2:14" ht="15" x14ac:dyDescent="0.25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ht="15" x14ac:dyDescent="0.25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ht="15" x14ac:dyDescent="0.25">
      <c r="B1820" s="37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ht="15" x14ac:dyDescent="0.25">
      <c r="B1821" s="30"/>
      <c r="C1821" s="23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ht="15" x14ac:dyDescent="0.25">
      <c r="B1822" s="30"/>
      <c r="C1822" s="23"/>
      <c r="D1822" s="24"/>
      <c r="E1822" s="25"/>
      <c r="F1822" s="26"/>
      <c r="G1822" s="26"/>
      <c r="H1822" s="329"/>
      <c r="I1822" s="41"/>
      <c r="J1822" s="358"/>
      <c r="K1822" s="36"/>
      <c r="L1822" s="33"/>
      <c r="M1822" s="34"/>
      <c r="N1822" s="35"/>
    </row>
    <row r="1823" spans="2:14" ht="15" x14ac:dyDescent="0.25">
      <c r="B1823" s="30"/>
      <c r="C1823" s="23"/>
      <c r="D1823" s="24"/>
      <c r="E1823" s="25"/>
      <c r="F1823" s="26"/>
      <c r="G1823" s="325"/>
      <c r="H1823" s="332"/>
      <c r="I1823" s="333"/>
      <c r="J1823" s="359"/>
      <c r="K1823" s="27"/>
      <c r="L1823" s="33"/>
      <c r="M1823" s="34"/>
      <c r="N1823" s="35"/>
    </row>
    <row r="1824" spans="2:14" x14ac:dyDescent="0.2">
      <c r="B1824" s="30"/>
      <c r="C1824" s="23"/>
      <c r="D1824" s="24"/>
      <c r="E1824" s="25"/>
      <c r="F1824" s="26"/>
      <c r="G1824" s="26"/>
      <c r="H1824" s="329"/>
      <c r="I1824" s="42"/>
      <c r="J1824" s="360"/>
      <c r="K1824" s="27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27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0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0"/>
      <c r="C1828" s="23"/>
      <c r="D1828" s="24"/>
      <c r="E1828" s="25"/>
      <c r="F1828" s="26"/>
      <c r="G1828" s="26"/>
      <c r="H1828" s="329"/>
      <c r="I1828" s="42"/>
      <c r="J1828" s="360"/>
      <c r="K1828" s="27"/>
      <c r="L1828" s="33"/>
      <c r="M1828" s="34"/>
      <c r="N1828" s="35"/>
    </row>
    <row r="1829" spans="2:14" ht="15" x14ac:dyDescent="0.25">
      <c r="B1829" s="30"/>
      <c r="C1829" s="23"/>
      <c r="D1829" s="24"/>
      <c r="E1829" s="25"/>
      <c r="F1829" s="26"/>
      <c r="G1829" s="325"/>
      <c r="H1829" s="332"/>
      <c r="I1829" s="333"/>
      <c r="J1829" s="359"/>
      <c r="K1829" s="27"/>
      <c r="L1829" s="33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26"/>
      <c r="H1831" s="329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23"/>
      <c r="D1832" s="24"/>
      <c r="E1832" s="25"/>
      <c r="F1832" s="26"/>
      <c r="G1832" s="26"/>
      <c r="H1832" s="329"/>
      <c r="I1832" s="41"/>
      <c r="J1832" s="358"/>
      <c r="K1832" s="27"/>
      <c r="L1832" s="330"/>
      <c r="M1832" s="34"/>
      <c r="N1832" s="35"/>
    </row>
    <row r="1833" spans="2:14" ht="15" x14ac:dyDescent="0.25">
      <c r="B1833" s="37"/>
      <c r="C1833" s="23"/>
      <c r="D1833" s="24"/>
      <c r="E1833" s="25"/>
      <c r="F1833" s="26"/>
      <c r="G1833" s="26"/>
      <c r="H1833" s="329"/>
      <c r="I1833" s="41"/>
      <c r="J1833" s="358"/>
      <c r="K1833" s="27"/>
      <c r="L1833" s="330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26"/>
      <c r="H1834" s="329"/>
      <c r="I1834" s="42"/>
      <c r="J1834" s="360"/>
      <c r="K1834" s="27"/>
      <c r="L1834" s="33"/>
      <c r="M1834" s="34"/>
      <c r="N1834" s="35"/>
    </row>
    <row r="1835" spans="2:14" x14ac:dyDescent="0.2">
      <c r="B1835" s="30"/>
      <c r="C1835" s="23"/>
      <c r="D1835" s="24"/>
      <c r="E1835" s="25"/>
      <c r="F1835" s="26"/>
      <c r="G1835" s="26"/>
      <c r="H1835" s="329"/>
      <c r="I1835" s="42"/>
      <c r="J1835" s="360"/>
      <c r="K1835" s="27"/>
      <c r="L1835" s="33"/>
      <c r="M1835" s="34"/>
      <c r="N1835" s="35"/>
    </row>
    <row r="1836" spans="2:14" ht="15" x14ac:dyDescent="0.25">
      <c r="B1836" s="37"/>
      <c r="C1836" s="2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2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2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0"/>
      <c r="M1840" s="34"/>
      <c r="N1840" s="35"/>
    </row>
    <row r="1841" spans="2:14" ht="15" x14ac:dyDescent="0.25">
      <c r="B1841" s="37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7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ht="15" x14ac:dyDescent="0.25">
      <c r="B1843" s="37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0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7"/>
      <c r="C1847" s="23"/>
      <c r="D1847" s="24"/>
      <c r="E1847" s="25"/>
      <c r="F1847" s="26"/>
      <c r="G1847" s="26"/>
      <c r="H1847" s="329"/>
      <c r="I1847" s="41"/>
      <c r="J1847" s="358"/>
      <c r="K1847" s="36"/>
      <c r="L1847" s="33"/>
      <c r="M1847" s="34"/>
      <c r="N1847" s="35"/>
    </row>
  </sheetData>
  <sortState xmlns:xlrd2="http://schemas.microsoft.com/office/spreadsheetml/2017/richdata2" ref="B7:I1048556">
    <sortCondition ref="C7:C26"/>
  </sortState>
  <mergeCells count="3">
    <mergeCell ref="D1:H1"/>
    <mergeCell ref="D2:K2"/>
    <mergeCell ref="B3:F4"/>
  </mergeCells>
  <phoneticPr fontId="19" type="noConversion"/>
  <conditionalFormatting sqref="H1820:H184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0:H184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0:H184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0:E184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0:E184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0:E184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0:E184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0:E184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0:E184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0:E184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0:E184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0:H184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0:H184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0:H184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0:E184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0:H184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0:E184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0:H1847">
    <cfRule type="iconSet" priority="282941">
      <iconSet>
        <cfvo type="percent" val="0"/>
        <cfvo type="percent" val="23"/>
        <cfvo type="percent" val="70"/>
      </iconSet>
    </cfRule>
  </conditionalFormatting>
  <conditionalFormatting sqref="H1820:H184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0:H184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0:H184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0:H184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0:E184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0:H184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0:H184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0:H184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0:H184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0:H184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0:E184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0:H184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0:H184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0:E184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0:E184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0:H184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0:H184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0:H184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0:E184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0:H184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0:H184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0:H184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0:H184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0:H184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0:H184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0:E184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0:H184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0:H184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0:H184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0:H184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0:H184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0:H184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0:H184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0:H184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0:E184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0:H184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0:E184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0:H184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0:E184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0:H184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0:H1847">
    <cfRule type="iconSet" priority="283409">
      <iconSet>
        <cfvo type="percent" val="0"/>
        <cfvo type="num" val="22"/>
        <cfvo type="num" val="26"/>
      </iconSet>
    </cfRule>
  </conditionalFormatting>
  <conditionalFormatting sqref="H1820:H184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0:H1847">
    <cfRule type="iconSet" priority="283415">
      <iconSet>
        <cfvo type="percent" val="0"/>
        <cfvo type="num" val="21"/>
        <cfvo type="num" val="25"/>
      </iconSet>
    </cfRule>
  </conditionalFormatting>
  <conditionalFormatting sqref="H1820:H1847">
    <cfRule type="iconSet" priority="283417">
      <iconSet>
        <cfvo type="percent" val="0"/>
        <cfvo type="num" val="19"/>
        <cfvo type="num" val="23"/>
      </iconSet>
    </cfRule>
  </conditionalFormatting>
  <conditionalFormatting sqref="H1820:H1847">
    <cfRule type="iconSet" priority="283419">
      <iconSet>
        <cfvo type="percent" val="0"/>
        <cfvo type="num" val="23"/>
        <cfvo type="num" val="27"/>
      </iconSet>
    </cfRule>
  </conditionalFormatting>
  <conditionalFormatting sqref="E1734:E173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29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28:E1157 E7:E26">
    <cfRule type="cellIs" dxfId="19" priority="170" operator="greaterThan">
      <formula>7</formula>
    </cfRule>
  </conditionalFormatting>
  <conditionalFormatting sqref="E1467:E4745">
    <cfRule type="cellIs" dxfId="18" priority="137" operator="greaterThan">
      <formula>7</formula>
    </cfRule>
  </conditionalFormatting>
  <conditionalFormatting sqref="I28:I1229 G28:G30 I7:I26">
    <cfRule type="cellIs" dxfId="17" priority="41" operator="lessThan">
      <formula>E7</formula>
    </cfRule>
  </conditionalFormatting>
  <conditionalFormatting sqref="I1820:I184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0:I184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0:I184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0:I184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0:I184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0:I184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0:I184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0:I184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0:I184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0:I184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0:I184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0:I184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0:I184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0:I184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6:H1453 H1240:H1414 H28:H1229 H7:H26">
    <cfRule type="cellIs" dxfId="16" priority="297748" operator="greaterThan">
      <formula>$H$27</formula>
    </cfRule>
  </conditionalFormatting>
  <conditionalFormatting sqref="L7:L1229">
    <cfRule type="top10" dxfId="15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76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E1734:E1736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H1820:H1847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H1820:H1847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H1820:H1847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E1714:E1733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$H$27</xm:f>
              </x14:cfvo>
              <x14:cfIcon iconSet="NoIcons" iconId="0"/>
              <x14:cfIcon iconSet="NoIcons" iconId="0"/>
              <x14:cfIcon iconSet="3Stars" iconId="2"/>
            </x14:iconSet>
          </x14:cfRule>
          <xm:sqref>H1240:H1250 H28:H1229 H7:H26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2026-01-26T05:32:28Z</cp:lastPrinted>
  <dcterms:created xsi:type="dcterms:W3CDTF">2021-05-05T13:25:05Z</dcterms:created>
  <dcterms:modified xsi:type="dcterms:W3CDTF">2026-01-26T05:38:50Z</dcterms:modified>
</cp:coreProperties>
</file>