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63BDA491-4C97-4109-9931-B748CBED3EB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N11" i="1" s="1"/>
  <c r="O9" i="1"/>
  <c r="Q9" i="1" s="1"/>
  <c r="T9" i="1"/>
  <c r="H10" i="1"/>
  <c r="M10" i="1"/>
  <c r="O10" i="1"/>
  <c r="Q10" i="1"/>
  <c r="T10" i="1"/>
  <c r="H11" i="1"/>
  <c r="M11" i="1"/>
  <c r="N15" i="1" s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N43" i="1" s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N18" i="1" s="1"/>
  <c r="O19" i="1"/>
  <c r="Q19" i="1"/>
  <c r="T19" i="1"/>
  <c r="H20" i="1"/>
  <c r="M20" i="1"/>
  <c r="O20" i="1"/>
  <c r="Q20" i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/>
  <c r="T23" i="1"/>
  <c r="H24" i="1"/>
  <c r="M24" i="1"/>
  <c r="O24" i="1"/>
  <c r="Q24" i="1"/>
  <c r="T24" i="1"/>
  <c r="H25" i="1"/>
  <c r="M25" i="1"/>
  <c r="O25" i="1"/>
  <c r="T25" i="1"/>
  <c r="H26" i="1"/>
  <c r="M26" i="1"/>
  <c r="O26" i="1"/>
  <c r="Q26" i="1" s="1"/>
  <c r="T26" i="1"/>
  <c r="H27" i="1"/>
  <c r="M27" i="1"/>
  <c r="N22" i="1" s="1"/>
  <c r="O27" i="1"/>
  <c r="Q27" i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N26" i="1" s="1"/>
  <c r="O31" i="1"/>
  <c r="Q31" i="1"/>
  <c r="T31" i="1"/>
  <c r="H32" i="1"/>
  <c r="M32" i="1"/>
  <c r="O32" i="1"/>
  <c r="Q32" i="1" s="1"/>
  <c r="T32" i="1"/>
  <c r="H33" i="1"/>
  <c r="M33" i="1"/>
  <c r="O33" i="1"/>
  <c r="T33" i="1"/>
  <c r="H34" i="1"/>
  <c r="M34" i="1"/>
  <c r="O34" i="1"/>
  <c r="Q34" i="1" s="1"/>
  <c r="T34" i="1"/>
  <c r="H35" i="1"/>
  <c r="M35" i="1"/>
  <c r="N30" i="1" s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N34" i="1" s="1"/>
  <c r="O39" i="1"/>
  <c r="Q39" i="1"/>
  <c r="T39" i="1"/>
  <c r="H40" i="1"/>
  <c r="M40" i="1"/>
  <c r="O40" i="1"/>
  <c r="Q40" i="1"/>
  <c r="T40" i="1"/>
  <c r="H41" i="1"/>
  <c r="M41" i="1"/>
  <c r="O41" i="1"/>
  <c r="T41" i="1"/>
  <c r="H42" i="1"/>
  <c r="M42" i="1"/>
  <c r="N42" i="1"/>
  <c r="O42" i="1"/>
  <c r="Q42" i="1" s="1"/>
  <c r="T42" i="1"/>
  <c r="H43" i="1"/>
  <c r="M43" i="1"/>
  <c r="N38" i="1" s="1"/>
  <c r="O43" i="1"/>
  <c r="Q43" i="1"/>
  <c r="T43" i="1"/>
  <c r="H44" i="1"/>
  <c r="M44" i="1"/>
  <c r="O44" i="1"/>
  <c r="Q44" i="1"/>
  <c r="T44" i="1"/>
  <c r="H45" i="1"/>
  <c r="M45" i="1"/>
  <c r="O45" i="1"/>
  <c r="T45" i="1"/>
  <c r="H46" i="1"/>
  <c r="M46" i="1"/>
  <c r="N46" i="1"/>
  <c r="O46" i="1"/>
  <c r="Q46" i="1" s="1"/>
  <c r="T46" i="1"/>
  <c r="C47" i="1"/>
  <c r="G47" i="1"/>
  <c r="F47" i="1"/>
  <c r="E47" i="1"/>
  <c r="G11" i="6"/>
  <c r="F11" i="6"/>
  <c r="E11" i="6"/>
  <c r="T7" i="1"/>
  <c r="O7" i="1"/>
  <c r="Q7" i="1" s="1"/>
  <c r="M7" i="1"/>
  <c r="H7" i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E13" i="3"/>
  <c r="D13" i="3"/>
  <c r="E12" i="3"/>
  <c r="AP6" i="3"/>
  <c r="I16" i="1" l="1"/>
  <c r="J16" i="1" s="1"/>
  <c r="I18" i="1"/>
  <c r="J18" i="1" s="1"/>
  <c r="I20" i="1"/>
  <c r="J20" i="1" s="1"/>
  <c r="I17" i="1"/>
  <c r="P17" i="1" s="1"/>
  <c r="L17" i="1" s="1"/>
  <c r="I32" i="1"/>
  <c r="J32" i="1" s="1"/>
  <c r="I21" i="1"/>
  <c r="J21" i="1" s="1"/>
  <c r="I31" i="1"/>
  <c r="J31" i="1" s="1"/>
  <c r="I11" i="1"/>
  <c r="J11" i="1" s="1"/>
  <c r="I38" i="1"/>
  <c r="J38" i="1" s="1"/>
  <c r="I36" i="1"/>
  <c r="I35" i="1"/>
  <c r="J35" i="1" s="1"/>
  <c r="I26" i="1"/>
  <c r="J26" i="1" s="1"/>
  <c r="I25" i="1"/>
  <c r="J25" i="1" s="1"/>
  <c r="I24" i="1"/>
  <c r="I23" i="1"/>
  <c r="J23" i="1" s="1"/>
  <c r="I19" i="1"/>
  <c r="J19" i="1" s="1"/>
  <c r="I14" i="1"/>
  <c r="J14" i="1" s="1"/>
  <c r="I12" i="1"/>
  <c r="I37" i="1"/>
  <c r="J37" i="1" s="1"/>
  <c r="I46" i="1"/>
  <c r="J46" i="1" s="1"/>
  <c r="I45" i="1"/>
  <c r="J45" i="1" s="1"/>
  <c r="I42" i="1"/>
  <c r="J42" i="1" s="1"/>
  <c r="I41" i="1"/>
  <c r="J41" i="1" s="1"/>
  <c r="I40" i="1"/>
  <c r="I39" i="1"/>
  <c r="J39" i="1" s="1"/>
  <c r="I15" i="1"/>
  <c r="J15" i="1" s="1"/>
  <c r="I13" i="1"/>
  <c r="I10" i="1"/>
  <c r="J10" i="1" s="1"/>
  <c r="I9" i="1"/>
  <c r="I8" i="1"/>
  <c r="I44" i="1"/>
  <c r="I43" i="1"/>
  <c r="J43" i="1" s="1"/>
  <c r="I34" i="1"/>
  <c r="J34" i="1" s="1"/>
  <c r="I33" i="1"/>
  <c r="J33" i="1" s="1"/>
  <c r="I30" i="1"/>
  <c r="J30" i="1" s="1"/>
  <c r="I29" i="1"/>
  <c r="J29" i="1" s="1"/>
  <c r="I28" i="1"/>
  <c r="I27" i="1"/>
  <c r="J27" i="1" s="1"/>
  <c r="I22" i="1"/>
  <c r="J22" i="1" s="1"/>
  <c r="N14" i="1"/>
  <c r="N45" i="1"/>
  <c r="N41" i="1"/>
  <c r="P39" i="1"/>
  <c r="L39" i="1" s="1"/>
  <c r="N37" i="1"/>
  <c r="N33" i="1"/>
  <c r="N29" i="1"/>
  <c r="N25" i="1"/>
  <c r="N21" i="1"/>
  <c r="N17" i="1"/>
  <c r="N13" i="1"/>
  <c r="N9" i="1"/>
  <c r="N10" i="1"/>
  <c r="Q45" i="1"/>
  <c r="N44" i="1"/>
  <c r="Q41" i="1"/>
  <c r="N40" i="1"/>
  <c r="Q37" i="1"/>
  <c r="N36" i="1"/>
  <c r="Q33" i="1"/>
  <c r="N32" i="1"/>
  <c r="Q29" i="1"/>
  <c r="N28" i="1"/>
  <c r="Q25" i="1"/>
  <c r="N24" i="1"/>
  <c r="Q21" i="1"/>
  <c r="N20" i="1"/>
  <c r="N16" i="1"/>
  <c r="N12" i="1"/>
  <c r="N8" i="1"/>
  <c r="N39" i="1"/>
  <c r="N35" i="1"/>
  <c r="N31" i="1"/>
  <c r="N27" i="1"/>
  <c r="N23" i="1"/>
  <c r="N19" i="1"/>
  <c r="I7" i="1"/>
  <c r="P7" i="1" s="1"/>
  <c r="L7" i="1" s="1"/>
  <c r="N7" i="1"/>
  <c r="H47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0" i="1" l="1"/>
  <c r="L30" i="1" s="1"/>
  <c r="U13" i="1"/>
  <c r="U32" i="1"/>
  <c r="U28" i="1"/>
  <c r="U34" i="1"/>
  <c r="U43" i="1"/>
  <c r="U44" i="1"/>
  <c r="U40" i="1"/>
  <c r="U42" i="1"/>
  <c r="U8" i="1"/>
  <c r="U31" i="1"/>
  <c r="U24" i="1"/>
  <c r="U38" i="1"/>
  <c r="J17" i="1"/>
  <c r="U20" i="1"/>
  <c r="U37" i="1"/>
  <c r="U21" i="1"/>
  <c r="U35" i="1"/>
  <c r="U16" i="1"/>
  <c r="U10" i="1"/>
  <c r="U18" i="1"/>
  <c r="U26" i="1"/>
  <c r="P19" i="1"/>
  <c r="L19" i="1" s="1"/>
  <c r="P21" i="1"/>
  <c r="L21" i="1" s="1"/>
  <c r="U27" i="1"/>
  <c r="U17" i="1"/>
  <c r="U29" i="1"/>
  <c r="U33" i="1"/>
  <c r="U45" i="1"/>
  <c r="P25" i="1"/>
  <c r="L25" i="1" s="1"/>
  <c r="U12" i="1"/>
  <c r="U36" i="1"/>
  <c r="U9" i="1"/>
  <c r="U25" i="1"/>
  <c r="U41" i="1"/>
  <c r="U14" i="1"/>
  <c r="U22" i="1"/>
  <c r="U46" i="1"/>
  <c r="U39" i="1"/>
  <c r="U19" i="1"/>
  <c r="U15" i="1"/>
  <c r="U30" i="1"/>
  <c r="U23" i="1"/>
  <c r="U11" i="1"/>
  <c r="P16" i="1"/>
  <c r="L16" i="1" s="1"/>
  <c r="P32" i="1"/>
  <c r="L32" i="1" s="1"/>
  <c r="P18" i="1"/>
  <c r="L18" i="1" s="1"/>
  <c r="P20" i="1"/>
  <c r="L20" i="1" s="1"/>
  <c r="P42" i="1"/>
  <c r="L42" i="1" s="1"/>
  <c r="P31" i="1"/>
  <c r="L31" i="1" s="1"/>
  <c r="P38" i="1"/>
  <c r="L38" i="1" s="1"/>
  <c r="P27" i="1"/>
  <c r="L27" i="1" s="1"/>
  <c r="P15" i="1"/>
  <c r="L15" i="1" s="1"/>
  <c r="P45" i="1"/>
  <c r="L45" i="1" s="1"/>
  <c r="P22" i="1"/>
  <c r="L22" i="1" s="1"/>
  <c r="P43" i="1"/>
  <c r="L43" i="1" s="1"/>
  <c r="P23" i="1"/>
  <c r="L23" i="1" s="1"/>
  <c r="P35" i="1"/>
  <c r="L35" i="1" s="1"/>
  <c r="P41" i="1"/>
  <c r="L41" i="1" s="1"/>
  <c r="P11" i="1"/>
  <c r="L11" i="1" s="1"/>
  <c r="I47" i="1"/>
  <c r="P9" i="1"/>
  <c r="L9" i="1" s="1"/>
  <c r="J9" i="1"/>
  <c r="P46" i="1"/>
  <c r="L46" i="1" s="1"/>
  <c r="P33" i="1"/>
  <c r="L33" i="1" s="1"/>
  <c r="P13" i="1"/>
  <c r="L13" i="1" s="1"/>
  <c r="J13" i="1"/>
  <c r="P37" i="1"/>
  <c r="L37" i="1" s="1"/>
  <c r="P29" i="1"/>
  <c r="L29" i="1" s="1"/>
  <c r="J24" i="1"/>
  <c r="P24" i="1"/>
  <c r="L24" i="1" s="1"/>
  <c r="J28" i="1"/>
  <c r="P28" i="1"/>
  <c r="L28" i="1" s="1"/>
  <c r="J40" i="1"/>
  <c r="P40" i="1"/>
  <c r="L40" i="1" s="1"/>
  <c r="P14" i="1"/>
  <c r="L14" i="1" s="1"/>
  <c r="P10" i="1"/>
  <c r="L10" i="1" s="1"/>
  <c r="P26" i="1"/>
  <c r="L26" i="1" s="1"/>
  <c r="P34" i="1"/>
  <c r="L34" i="1" s="1"/>
  <c r="J44" i="1"/>
  <c r="P44" i="1"/>
  <c r="L44" i="1" s="1"/>
  <c r="J8" i="1"/>
  <c r="P8" i="1"/>
  <c r="L8" i="1" s="1"/>
  <c r="J12" i="1"/>
  <c r="P12" i="1"/>
  <c r="L12" i="1" s="1"/>
  <c r="J36" i="1"/>
  <c r="P36" i="1"/>
  <c r="L36" i="1" s="1"/>
  <c r="U7" i="1"/>
  <c r="J7" i="1"/>
  <c r="M11" i="6"/>
  <c r="N47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20" i="1" l="1"/>
  <c r="S20" i="1" s="1"/>
  <c r="R27" i="1"/>
  <c r="S27" i="1" s="1"/>
  <c r="R29" i="1"/>
  <c r="S29" i="1" s="1"/>
  <c r="R32" i="1"/>
  <c r="S32" i="1" s="1"/>
  <c r="R33" i="1"/>
  <c r="S33" i="1" s="1"/>
  <c r="R43" i="1"/>
  <c r="S43" i="1" s="1"/>
  <c r="R34" i="1"/>
  <c r="S34" i="1" s="1"/>
  <c r="R9" i="1"/>
  <c r="S9" i="1" s="1"/>
  <c r="R10" i="1"/>
  <c r="S10" i="1" s="1"/>
  <c r="R11" i="1"/>
  <c r="S11" i="1" s="1"/>
  <c r="R13" i="1"/>
  <c r="S13" i="1" s="1"/>
  <c r="R26" i="1"/>
  <c r="S26" i="1" s="1"/>
  <c r="R28" i="1"/>
  <c r="S28" i="1" s="1"/>
  <c r="R39" i="1"/>
  <c r="S39" i="1" s="1"/>
  <c r="R41" i="1"/>
  <c r="S41" i="1" s="1"/>
  <c r="R42" i="1"/>
  <c r="S42" i="1" s="1"/>
  <c r="R44" i="1"/>
  <c r="S44" i="1" s="1"/>
  <c r="R45" i="1"/>
  <c r="S45" i="1" s="1"/>
  <c r="R46" i="1"/>
  <c r="S46" i="1" s="1"/>
  <c r="R40" i="1"/>
  <c r="S40" i="1" s="1"/>
  <c r="R17" i="1"/>
  <c r="S17" i="1" s="1"/>
  <c r="R21" i="1"/>
  <c r="S21" i="1" s="1"/>
  <c r="R22" i="1"/>
  <c r="S22" i="1" s="1"/>
  <c r="R24" i="1"/>
  <c r="S24" i="1" s="1"/>
  <c r="R30" i="1"/>
  <c r="S30" i="1" s="1"/>
  <c r="R36" i="1"/>
  <c r="S36" i="1" s="1"/>
  <c r="R8" i="1"/>
  <c r="S8" i="1" s="1"/>
  <c r="R12" i="1"/>
  <c r="S12" i="1" s="1"/>
  <c r="R14" i="1"/>
  <c r="S14" i="1" s="1"/>
  <c r="R15" i="1"/>
  <c r="S15" i="1" s="1"/>
  <c r="R23" i="1"/>
  <c r="S23" i="1" s="1"/>
  <c r="R25" i="1"/>
  <c r="S25" i="1" s="1"/>
  <c r="R35" i="1"/>
  <c r="S35" i="1" s="1"/>
  <c r="R37" i="1"/>
  <c r="S37" i="1" s="1"/>
  <c r="R38" i="1"/>
  <c r="S38" i="1" s="1"/>
  <c r="R16" i="1"/>
  <c r="S16" i="1" s="1"/>
  <c r="R18" i="1"/>
  <c r="S18" i="1" s="1"/>
  <c r="R19" i="1"/>
  <c r="S19" i="1" s="1"/>
  <c r="R31" i="1"/>
  <c r="S31" i="1" s="1"/>
  <c r="J47" i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<sst xmlns="http://schemas.openxmlformats.org/spreadsheetml/2006/main" count="328" uniqueCount="210">
  <si>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</si>
  <si>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</si>
  <si>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</si>
  <si>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</si>
  <si>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</si>
  <si>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</si>
  <si>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</si>
  <si>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</si>
  <si>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</si>
  <si>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</si>
  <si>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</si>
  <si>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</si>
  <si>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</si>
  <si>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</si>
  <si>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</si>
  <si>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</si>
  <si>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</si>
  <si>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</si>
  <si>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</si>
  <si>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</si>
  <si>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</si>
  <si>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</si>
  <si>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</si>
  <si>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</si>
  <si>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</si>
  <si>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</si>
  <si>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</si>
  <si>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</si>
  <si>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</si>
  <si>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</si>
  <si>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</si>
  <si>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</si>
  <si>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</si>
  <si>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</si>
  <si>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</si>
  <si>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</si>
  <si>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</si>
  <si>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</si>
  <si>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</si>
  <si>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</si>
  <si>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</si>
  <si>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</si>
  <si>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</si>
  <si>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</si>
  <si>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</si>
  <si>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</si>
  <si>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</si>
  <si>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</si>
  <si>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</si>
  <si>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</si>
  <si>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</si>
  <si>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</si>
  <si>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</si>
  <si>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</si>
  <si>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</si>
  <si>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</si>
  <si>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</si>
  <si>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</si>
  <si>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</si>
  <si>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</si>
  <si>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</si>
  <si>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</si>
  <si>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</si>
  <si>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</si>
  <si>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</si>
  <si>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</si>
  <si>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</si>
  <si>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</si>
  <si>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</si>
  <si>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</si>
  <si>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</si>
  <si>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</si>
  <si>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</si>
  <si>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</si>
  <si>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</si>
  <si>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</si>
  <si>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</si>
  <si>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</si>
  <si>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</si>
  <si>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</si>
  <si>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</si>
  <si>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</si>
  <si>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</si>
  <si>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</si>
  <si>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</si>
  <si>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</si>
  <si>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</si>
  <si>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</si>
  <si>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</si>
  <si>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</si>
  <si>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</si>
  <si>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</si>
  <si>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</si>
  <si>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</si>
  <si>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</si>
  <si>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</si>
  <si>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</si>
  <si>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</si>
  <si>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</si>
  <si>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</si>
  <si>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</si>
  <si>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</si>
  <si>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</si>
  <si>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</si>
  <si>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</si>
  <si>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</si>
  <si>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</si>
  <si>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</si>
  <si>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</si>
  <si>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</si>
  <si>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</si>
  <si>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</si>
  <si>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</si>
  <si>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</si>
  <si>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</si>
  <si>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</si>
  <si>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</si>
  <si>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</si>
  <si>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</si>
  <si>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</si>
  <si>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</si>
  <si>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</si>
  <si>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</si>
  <si>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</si>
  <si>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</si>
  <si>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</si>
  <si>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</si>
  <si>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</si>
  <si>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</si>
  <si>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</si>
  <si>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</si>
  <si>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</si>
  <si>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</si>
  <si>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</si>
  <si>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</si>
  <si>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</si>
  <si>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</si>
  <si>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</si>
  <si>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</si>
  <si>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</si>
  <si>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</si>
  <si>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</si>
  <si>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</si>
  <si>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</si>
  <si>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</si>
  <si>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</si>
  <si>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</si>
  <si>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</si>
  <si>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</si>
  <si>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</si>
  <si>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FRANCO CARVAJAL GERARDO ANTONIO</t>
  </si>
  <si>
    <t>LOPERA ALVAREZ ESTIVEN</t>
  </si>
  <si>
    <t>ESPINOZA CHAVARRIA GUILLERMO LEON</t>
  </si>
  <si>
    <t>YEPES TORRES JHON ALEXANDER</t>
  </si>
  <si>
    <t>LONDOÑO LOPERA DUVAN ANDRES</t>
  </si>
  <si>
    <t>MARULANDA JARAMILLO DAWER ANDRES</t>
  </si>
  <si>
    <t>CARTAGENA RAMIREZ FREDY ALONSO</t>
  </si>
  <si>
    <t>CALLE BOTERO ANDRES CAMILO</t>
  </si>
  <si>
    <t>PARRA VILLA YUBER ALONSO</t>
  </si>
  <si>
    <t>MIRANDA MACHADO ALVARO</t>
  </si>
  <si>
    <t>GARCIA DAVID WILSON ALBERTO</t>
  </si>
  <si>
    <t>GUTIERREZ ARICAPA DANIEL HUMBERTO</t>
  </si>
  <si>
    <t>SANCHEZ BETANCOURT FRANSCISCO</t>
  </si>
  <si>
    <t>PARIAS MURIEL JHON FREDY</t>
  </si>
  <si>
    <t>PALMAR PANA EDIXON JOSUE</t>
  </si>
  <si>
    <t>GONZALEZ IPUANA RENE</t>
  </si>
  <si>
    <t>IBARGUEN GARRIDO JUAN ESTEBAN</t>
  </si>
  <si>
    <t>ALBERTO ARISTIZABAL RAFAEL</t>
  </si>
  <si>
    <t>PULGARIN GARCIA YONATHAN ANDRES</t>
  </si>
  <si>
    <t>MARTINEZ CHAVERRA LUIS NORBERTO</t>
  </si>
  <si>
    <t>HERNANDEZ MACIAS GILBERTO</t>
  </si>
  <si>
    <t>SALDARRIAGA PARRA LUIS ALBERTO</t>
  </si>
  <si>
    <t>LOPEZ PINEDA DANIEL ESTIVEN</t>
  </si>
  <si>
    <t>MURILLO  YORMAN ANDRES</t>
  </si>
  <si>
    <t>DAVID  HENRY GIOVANNY</t>
  </si>
  <si>
    <t>QUIRAMA CASTAÑEDA JHON JADER</t>
  </si>
  <si>
    <t>JIMENEZ HERNANDEZ ESTEBAN CAMILO</t>
  </si>
  <si>
    <t>OSORIO URREGO SANTIAGO</t>
  </si>
  <si>
    <t>OCAMPO OCAMPO ANTONIO JOSE</t>
  </si>
  <si>
    <t>AGUDELO GARCIA LLORDIN ELIAS</t>
  </si>
  <si>
    <t>LAYOS JIMENEZ JOHAN CAMILO</t>
  </si>
  <si>
    <t xml:space="preserve">JARAMILLO JARAMILLO FRANCISCO WBEIMAR </t>
  </si>
  <si>
    <t xml:space="preserve">MARIN ALZATE KEVIN ANDRES </t>
  </si>
  <si>
    <t xml:space="preserve">PEREZ GARCIA JUAN ESTEBAN </t>
  </si>
  <si>
    <t xml:space="preserve">HENAO MUÑOZ FERNEY </t>
  </si>
  <si>
    <t xml:space="preserve">LEON PEREZ RAUL ENRIQUE </t>
  </si>
  <si>
    <t xml:space="preserve">MONTOYA OSPINA GILBERTO ANTONIO </t>
  </si>
  <si>
    <t>RAFAEL GONZALEZ Realizó 1 viaje donde movilizó 34 usuarios</t>
  </si>
  <si>
    <t xml:space="preserve">JORGE FLORES Realizó 13 viajes donde movilizó 258 usuarios </t>
  </si>
  <si>
    <t xml:space="preserve">JULIAN MACIAS Realizó 5 viajes donde movilizó 107 usuarios </t>
  </si>
  <si>
    <t xml:space="preserve">3 Descuentos (Transbordo) </t>
  </si>
  <si>
    <t xml:space="preserve">19 Descuentos (Transbordo) </t>
  </si>
  <si>
    <t xml:space="preserve">2 Descuentos (Usuarios desubicados) </t>
  </si>
  <si>
    <t xml:space="preserve">6 Descuentos (Transbordo) </t>
  </si>
  <si>
    <t xml:space="preserve">9 Descuentos (Transbordo) </t>
  </si>
  <si>
    <t xml:space="preserve">13 Descuentos (Transbordo) </t>
  </si>
  <si>
    <t xml:space="preserve">13 Descuentos (transbordo y conduct) </t>
  </si>
  <si>
    <t xml:space="preserve">1 Descuento (Despachador) </t>
  </si>
  <si>
    <t xml:space="preserve">2 Descuentos (Transbordo) </t>
  </si>
  <si>
    <t xml:space="preserve">4 Descuentos (Transbordo) </t>
  </si>
  <si>
    <t xml:space="preserve">5 Descuentos (Transbordo y conduct) </t>
  </si>
  <si>
    <t xml:space="preserve">8 Descuentos (Conduct y transbordo) </t>
  </si>
  <si>
    <t xml:space="preserve">31 Descuentos (Transbordo) </t>
  </si>
  <si>
    <t xml:space="preserve">1 Descuento (conduct) </t>
  </si>
  <si>
    <t xml:space="preserve">7 Descuentos (Transbordo) </t>
  </si>
  <si>
    <t xml:space="preserve">1 Descuento (Transbordo) </t>
  </si>
  <si>
    <t xml:space="preserve">Se descuenta 0.5 viaje de 2 38 pm ya que NO ingresa a placita zea. 6 Descuentos (Transbordo, despachador, conduct y usuario movilidad reducida) </t>
  </si>
  <si>
    <t xml:space="preserve">Se descuenta 0.5 viaje de 2 30 pm ya que NO ingresa a placita zea. 8 Descuentos (Transbordo) </t>
  </si>
  <si>
    <t xml:space="preserve">Se descuenta 0.5 viaje de 12 18 pm ya que NO ingresa a placita zea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</si>
  <si>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22.8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</si>
</sst>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 formatCode="General">
                  <c:v>8</c:v>
                </c:pt>
                <c:pt idx="8">
                  <c:v>9</c:v>
                </c:pt>
                <c:pt idx="9">
                  <c:v>10</c:v>
                </c:pt>
                <c:pt idx="10" formatCode="General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20</c:v>
                </c:pt>
                <c:pt idx="18" formatCode="General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 formatCode="General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20.875</c:v>
                </c:pt>
                <c:pt idx="1">
                  <c:v>26.875</c:v>
                </c:pt>
                <c:pt idx="2">
                  <c:v>20.285714285714285</c:v>
                </c:pt>
                <c:pt idx="3">
                  <c:v>21.142857142857142</c:v>
                </c:pt>
                <c:pt idx="4">
                  <c:v>24.8</c:v>
                </c:pt>
                <c:pt idx="5">
                  <c:v>18</c:v>
                </c:pt>
                <c:pt idx="6">
                  <c:v>17.333333333333332</c:v>
                </c:pt>
                <c:pt idx="7">
                  <c:v>25.166666666666668</c:v>
                </c:pt>
                <c:pt idx="8">
                  <c:v>22.7</c:v>
                </c:pt>
                <c:pt idx="9">
                  <c:v>20.9</c:v>
                </c:pt>
                <c:pt idx="10">
                  <c:v>27.666666666666668</c:v>
                </c:pt>
                <c:pt idx="11">
                  <c:v>22.7</c:v>
                </c:pt>
                <c:pt idx="12">
                  <c:v>20.916666666666668</c:v>
                </c:pt>
                <c:pt idx="13">
                  <c:v>24.260869565217391</c:v>
                </c:pt>
                <c:pt idx="14">
                  <c:v>26.625</c:v>
                </c:pt>
                <c:pt idx="15">
                  <c:v>16.90909090909091</c:v>
                </c:pt>
                <c:pt idx="16">
                  <c:v>23</c:v>
                </c:pt>
                <c:pt idx="17">
                  <c:v>24.454545454545453</c:v>
                </c:pt>
                <c:pt idx="18">
                  <c:v>21.636363636363637</c:v>
                </c:pt>
                <c:pt idx="19">
                  <c:v>28.384615384615383</c:v>
                </c:pt>
                <c:pt idx="20">
                  <c:v>23</c:v>
                </c:pt>
                <c:pt idx="21">
                  <c:v>21.2</c:v>
                </c:pt>
                <c:pt idx="22">
                  <c:v>26</c:v>
                </c:pt>
                <c:pt idx="23">
                  <c:v>19.866666666666667</c:v>
                </c:pt>
                <c:pt idx="24">
                  <c:v>18.222222222222221</c:v>
                </c:pt>
                <c:pt idx="25">
                  <c:v>19</c:v>
                </c:pt>
                <c:pt idx="26">
                  <c:v>19.636363636363637</c:v>
                </c:pt>
                <c:pt idx="27">
                  <c:v>23.9</c:v>
                </c:pt>
                <c:pt idx="28">
                  <c:v>19.833333333333332</c:v>
                </c:pt>
                <c:pt idx="29">
                  <c:v>19.25</c:v>
                </c:pt>
                <c:pt idx="30">
                  <c:v>27.777777777777779</c:v>
                </c:pt>
                <c:pt idx="31">
                  <c:v>21.111111111111111</c:v>
                </c:pt>
                <c:pt idx="32">
                  <c:v>28.6</c:v>
                </c:pt>
                <c:pt idx="33">
                  <c:v>27.625</c:v>
                </c:pt>
                <c:pt idx="34">
                  <c:v>23.8</c:v>
                </c:pt>
                <c:pt idx="35">
                  <c:v>23.666666666666668</c:v>
                </c:pt>
                <c:pt idx="36">
                  <c:v>20.555555555555557</c:v>
                </c:pt>
                <c:pt idx="37">
                  <c:v>18.2</c:v>
                </c:pt>
                <c:pt idx="38">
                  <c:v>25.6</c:v>
                </c:pt>
                <c:pt idx="39">
                  <c:v>27.111111111111111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31">
    <sortCondition descending="1" ref="H7:H31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.8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K4" sqref="K4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9.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5" t="s">
        <v>144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143</v>
      </c>
      <c r="E2" s="366"/>
      <c r="F2" s="366"/>
      <c r="G2" s="366"/>
      <c r="H2" s="366"/>
      <c r="I2" s="366"/>
      <c r="J2" s="366"/>
      <c r="K2" s="366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+SUM(G6:G1858)/2</f>
        <v>7978</v>
      </c>
      <c r="R3" s="55">
        <f>+SUM(E6:E1858)/2</f>
        <v>348.5</v>
      </c>
      <c r="S3" s="55">
        <f>+Q3-R3</f>
        <v>7629.5</v>
      </c>
      <c r="T3" s="56">
        <f>+S3/R3</f>
        <v>21.892395982783356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45979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33.75" x14ac:dyDescent="0.2">
      <c r="B7" s="136" t="s">
        <v>124</v>
      </c>
      <c r="C7" s="166">
        <v>1</v>
      </c>
      <c r="D7" s="136" t="s">
        <v>149</v>
      </c>
      <c r="E7" s="150">
        <v>8</v>
      </c>
      <c r="F7" s="150">
        <v>0.5</v>
      </c>
      <c r="G7" s="374">
        <v>167</v>
      </c>
      <c r="H7" s="375">
        <f t="shared" ref="H7:H46" si="0">+G7/E7</f>
        <v>20.875</v>
      </c>
      <c r="I7" s="376">
        <f>+(SUM($G$7:$G$1048576)/SUM($E$7:$E$1048576))*E7</f>
        <v>183.13916786226685</v>
      </c>
      <c r="J7" s="377">
        <f>+Tabla2[[#This Row],[PROM DE USUARIOS]]-Tabla2[[#This Row],[USUARIOS]]</f>
        <v>16.139167862266845</v>
      </c>
      <c r="K7" s="378" t="s">
        <v>206</v>
      </c>
      <c r="L7" s="163">
        <f t="shared" ref="L7:L12" si="1">P7*585</f>
        <v>96053.003199426108</v>
      </c>
      <c r="M7" s="162" t="str">
        <f>+VLOOKUP(C7,Lista!B:D,3,0)</f>
        <v>MICRO</v>
      </c>
      <c r="N7" s="373">
        <f>+(SUMIFS(G:G,M:M,"MICRO",E:E,"&gt;0")*100)/COUNTIF($E$7:$E$46,"&gt;0")</f>
        <v>12782.5</v>
      </c>
      <c r="O7" s="50">
        <f t="shared" ref="O7:O12" si="2">+(E7*1)-V7</f>
        <v>7.5</v>
      </c>
      <c r="P7" s="47">
        <f t="shared" ref="P7:P12" si="3">+I7-O7-W7</f>
        <v>164.19316786226685</v>
      </c>
      <c r="Q7" s="49">
        <f t="shared" ref="Q7:Q12" si="4">+G7-O7</f>
        <v>159.5</v>
      </c>
      <c r="R7" s="51">
        <f t="shared" ref="R7:R12" si="5">+E7*$T$3</f>
        <v>175.13916786226685</v>
      </c>
      <c r="S7" s="46">
        <f t="shared" ref="S7:S40" si="6">+R7*550</f>
        <v>96326.542324246766</v>
      </c>
      <c r="T7" s="2" t="str">
        <f t="shared" ref="T7:T12" si="7">+IF(K7&lt;&gt;"",K7,"")</f>
        <v xml:space="preserve">Se descuenta 0.5 viaje de 2 38 pm ya que NO ingresa a placita zea. 6 Descuentos (Transbordo, despachador, conduct y usuario movilidad reducida) </v>
      </c>
      <c r="U7" s="2">
        <f>+RANK(H7,$H$6:$H$1048576,1)</f>
        <v>13</v>
      </c>
      <c r="V7" s="2">
        <v>0.5</v>
      </c>
      <c r="W7" s="2">
        <v>11.446</v>
      </c>
      <c r="Y7" s="2" t="str">
        <f>TRIM(Tabla2[[#This Row],[CONDUCTOR]])</f>
        <v>SUAREZ ESCUDERO JONATAN</v>
      </c>
    </row>
    <row r="8" spans="1:32" x14ac:dyDescent="0.2">
      <c r="B8" s="136" t="s">
        <v>123</v>
      </c>
      <c r="C8" s="166">
        <v>2</v>
      </c>
      <c r="D8" s="151" t="s">
        <v>163</v>
      </c>
      <c r="E8" s="150">
        <v>8</v>
      </c>
      <c r="F8" s="150">
        <v>0</v>
      </c>
      <c r="G8" s="146">
        <v>215</v>
      </c>
      <c r="H8" s="226">
        <f t="shared" ref="H8:H46" si="8">+G8/E8</f>
        <v>26.875</v>
      </c>
      <c r="I8" s="227">
        <f t="shared" ref="I8:I46" si="9">+(SUM($G$7:$G$1048576)/SUM($E$7:$E$1048576))*E8</f>
        <v>183.13916786226685</v>
      </c>
      <c r="J8" s="363">
        <f>+Tabla2[[#This Row],[PROM DE USUARIOS]]-Tabla2[[#This Row],[USUARIOS]]</f>
        <v>-31.860832137733155</v>
      </c>
      <c r="K8" s="151" t="s">
        <v>193</v>
      </c>
      <c r="L8" s="163">
        <f t="shared" ref="L8:L46" si="10">P8*585</f>
        <v>102456.41319942611</v>
      </c>
      <c r="M8" s="162">
        <f>+VLOOKUP(C8,Lista!B:D,3,0)</f>
        <v>0</v>
      </c>
      <c r="N8" s="373">
        <f t="shared" ref="N8:N46" si="11">+(SUMIFS(G:G,M:M,"MICRO",E:E,"&gt;0")*100)/COUNTIF($E$7:$E$46,"&gt;0")</f>
        <v>12782.5</v>
      </c>
      <c r="O8" s="50">
        <f t="shared" ref="O8:O46" si="12">+(E8*1)-V8</f>
        <v>8</v>
      </c>
      <c r="P8" s="47">
        <f t="shared" ref="P8:P46" si="13">+I8-O8-W8</f>
        <v>175.13916786226685</v>
      </c>
      <c r="Q8" s="49">
        <f t="shared" ref="Q8:Q46" si="14">+G8-O8</f>
        <v>207</v>
      </c>
      <c r="R8" s="51">
        <f t="shared" ref="R8:R46" si="15">+E8*$T$3</f>
        <v>175.13916786226685</v>
      </c>
      <c r="S8" s="46">
        <f t="shared" ref="S8:S46" si="16">+R8*550</f>
        <v>96326.542324246766</v>
      </c>
      <c r="T8" t="str">
        <f t="shared" ref="T8:T46" si="17">+IF(K8&lt;&gt;"",K8,"")</f>
        <v xml:space="preserve">6 Descuentos (Transbordo) </v>
      </c>
      <c r="U8">
        <f t="shared" ref="U8:U46" si="18">+RANK(H8,$H$6:$H$1048576,1)</f>
        <v>35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3</v>
      </c>
      <c r="D9" s="151" t="s">
        <v>165</v>
      </c>
      <c r="E9" s="150">
        <v>3.5</v>
      </c>
      <c r="F9" s="150">
        <v>0.5</v>
      </c>
      <c r="G9" s="165">
        <v>71</v>
      </c>
      <c r="H9" s="226">
        <f t="shared" si="8"/>
        <v>20.285714285714285</v>
      </c>
      <c r="I9" s="227">
        <f t="shared" si="9"/>
        <v>80.123385939741752</v>
      </c>
      <c r="J9" s="363">
        <f>+Tabla2[[#This Row],[PROM DE USUARIOS]]-Tabla2[[#This Row],[USUARIOS]]</f>
        <v>9.1233859397417518</v>
      </c>
      <c r="K9" s="151" t="s">
        <v>190</v>
      </c>
      <c r="L9" s="163">
        <f t="shared" si="10"/>
        <v>44824.680774748922</v>
      </c>
      <c r="M9" s="162" t="str">
        <f>+VLOOKUP(C9,Lista!B:D,3,0)</f>
        <v>MICRO</v>
      </c>
      <c r="N9" s="373">
        <f t="shared" si="11"/>
        <v>12782.5</v>
      </c>
      <c r="O9" s="50">
        <f t="shared" si="12"/>
        <v>3.5</v>
      </c>
      <c r="P9" s="47">
        <f t="shared" si="13"/>
        <v>76.623385939741752</v>
      </c>
      <c r="Q9" s="49">
        <f t="shared" si="14"/>
        <v>67.5</v>
      </c>
      <c r="R9" s="51">
        <f t="shared" si="15"/>
        <v>76.623385939741752</v>
      </c>
      <c r="S9" s="46">
        <f t="shared" si="16"/>
        <v>42142.862266857963</v>
      </c>
      <c r="T9" t="str">
        <f t="shared" si="17"/>
        <v xml:space="preserve">3 Descuentos (Transbordo) </v>
      </c>
      <c r="U9">
        <f t="shared" si="18"/>
        <v>11</v>
      </c>
      <c r="Y9" t="str">
        <f>TRIM(Tabla2[[#This Row],[CONDUCTOR]])</f>
        <v>GONZALEZ IPUANA RENE</v>
      </c>
    </row>
    <row r="10" spans="1:32" x14ac:dyDescent="0.2">
      <c r="B10" s="136" t="s">
        <v>123</v>
      </c>
      <c r="C10" s="166">
        <v>4</v>
      </c>
      <c r="D10" s="151" t="s">
        <v>162</v>
      </c>
      <c r="E10" s="150">
        <v>7</v>
      </c>
      <c r="F10" s="150">
        <v>0</v>
      </c>
      <c r="G10" s="165">
        <v>148</v>
      </c>
      <c r="H10" s="226">
        <f t="shared" si="8"/>
        <v>21.142857142857142</v>
      </c>
      <c r="I10" s="227">
        <f t="shared" si="9"/>
        <v>160.2467718794835</v>
      </c>
      <c r="J10" s="363">
        <f>+Tabla2[[#This Row],[PROM DE USUARIOS]]-Tabla2[[#This Row],[USUARIOS]]</f>
        <v>12.246771879483504</v>
      </c>
      <c r="K10" s="151" t="s">
        <v>191</v>
      </c>
      <c r="L10" s="163">
        <f t="shared" si="10"/>
        <v>89649.361549497844</v>
      </c>
      <c r="M10" s="162" t="str">
        <f>+VLOOKUP(C10,Lista!B:D,3,0)</f>
        <v>MICRO</v>
      </c>
      <c r="N10" s="373">
        <f t="shared" si="11"/>
        <v>12782.5</v>
      </c>
      <c r="O10" s="50">
        <f t="shared" si="12"/>
        <v>7</v>
      </c>
      <c r="P10" s="47">
        <f t="shared" si="13"/>
        <v>153.2467718794835</v>
      </c>
      <c r="Q10" s="49">
        <f t="shared" si="14"/>
        <v>141</v>
      </c>
      <c r="R10" s="51">
        <f t="shared" si="15"/>
        <v>153.2467718794835</v>
      </c>
      <c r="S10" s="46">
        <f t="shared" si="16"/>
        <v>84285.724533715926</v>
      </c>
      <c r="T10" t="str">
        <f t="shared" si="17"/>
        <v xml:space="preserve">19 Descuentos (Transbordo) </v>
      </c>
      <c r="U10">
        <f t="shared" si="18"/>
        <v>17</v>
      </c>
      <c r="Y10" t="str">
        <f>TRIM(Tabla2[[#This Row],[CONDUCTOR]])</f>
        <v>SANCHEZ BETANCOURT FRANSCISCO</v>
      </c>
    </row>
    <row r="11" spans="1:32" x14ac:dyDescent="0.2">
      <c r="B11" s="136" t="s">
        <v>124</v>
      </c>
      <c r="C11" s="166">
        <v>5</v>
      </c>
      <c r="D11" s="151" t="s">
        <v>154</v>
      </c>
      <c r="E11" s="150">
        <v>10</v>
      </c>
      <c r="F11" s="150">
        <v>0</v>
      </c>
      <c r="G11" s="165">
        <v>248</v>
      </c>
      <c r="H11" s="226">
        <f t="shared" si="8"/>
        <v>24.8</v>
      </c>
      <c r="I11" s="227">
        <f t="shared" si="9"/>
        <v>228.92395982783356</v>
      </c>
      <c r="J11" s="363">
        <f>+Tabla2[[#This Row],[PROM DE USUARIOS]]-Tabla2[[#This Row],[USUARIOS]]</f>
        <v>-19.076040172166444</v>
      </c>
      <c r="K11" s="151" t="s">
        <v>192</v>
      </c>
      <c r="L11" s="163">
        <f t="shared" si="10"/>
        <v>128070.51649928263</v>
      </c>
      <c r="M11" s="162">
        <f>+VLOOKUP(C11,Lista!B:D,3,0)</f>
        <v>0</v>
      </c>
      <c r="N11" s="373">
        <f t="shared" si="11"/>
        <v>12782.5</v>
      </c>
      <c r="O11" s="50">
        <f t="shared" si="12"/>
        <v>10</v>
      </c>
      <c r="P11" s="47">
        <f t="shared" si="13"/>
        <v>218.92395982783356</v>
      </c>
      <c r="Q11" s="49">
        <f t="shared" si="14"/>
        <v>238</v>
      </c>
      <c r="R11" s="51">
        <f t="shared" si="15"/>
        <v>218.92395982783356</v>
      </c>
      <c r="S11" s="46">
        <f t="shared" si="16"/>
        <v>120408.17790530846</v>
      </c>
      <c r="T11" t="str">
        <f t="shared" si="17"/>
        <v xml:space="preserve">2 Descuentos (Usuarios desubicados) </v>
      </c>
      <c r="U11">
        <f t="shared" si="18"/>
        <v>30</v>
      </c>
      <c r="Y11" t="str">
        <f>TRIM(Tabla2[[#This Row],[CONDUCTOR]])</f>
        <v>LONDOÑO LOPERA DUVAN ANDRES</v>
      </c>
    </row>
    <row r="12" spans="1:32" x14ac:dyDescent="0.2">
      <c r="B12" s="136" t="s">
        <v>123</v>
      </c>
      <c r="C12" s="166">
        <v>6</v>
      </c>
      <c r="D12" s="151" t="s">
        <v>172</v>
      </c>
      <c r="E12" s="150">
        <v>2</v>
      </c>
      <c r="F12" s="150">
        <v>0</v>
      </c>
      <c r="G12" s="165">
        <v>36</v>
      </c>
      <c r="H12" s="226">
        <f t="shared" si="8"/>
        <v>18</v>
      </c>
      <c r="I12" s="227">
        <f t="shared" si="9"/>
        <v>45.784791965566711</v>
      </c>
      <c r="J12" s="363">
        <f>+Tabla2[[#This Row],[PROM DE USUARIOS]]-Tabla2[[#This Row],[USUARIOS]]</f>
        <v>9.7847919655667113</v>
      </c>
      <c r="K12" s="151"/>
      <c r="L12" s="163">
        <f t="shared" si="10"/>
        <v>25614.103299856528</v>
      </c>
      <c r="M12" s="162" t="str">
        <f>+VLOOKUP(C12,Lista!B:D,3,0)</f>
        <v>MICRO</v>
      </c>
      <c r="N12" s="373">
        <f t="shared" si="11"/>
        <v>12782.5</v>
      </c>
      <c r="O12" s="50">
        <f t="shared" si="12"/>
        <v>2</v>
      </c>
      <c r="P12" s="47">
        <f t="shared" si="13"/>
        <v>43.784791965566711</v>
      </c>
      <c r="Q12" s="49">
        <f t="shared" si="14"/>
        <v>34</v>
      </c>
      <c r="R12" s="51">
        <f t="shared" si="15"/>
        <v>43.784791965566711</v>
      </c>
      <c r="S12" s="46">
        <f t="shared" si="16"/>
        <v>24081.635581061691</v>
      </c>
      <c r="T12" t="str">
        <f t="shared" si="17"/>
        <v/>
      </c>
      <c r="U12">
        <f t="shared" si="18"/>
        <v>3</v>
      </c>
      <c r="Y12" t="str">
        <f>TRIM(Tabla2[[#This Row],[CONDUCTOR]])</f>
        <v>LOPEZ PINEDA DANIEL ESTIVEN</v>
      </c>
    </row>
    <row r="13" spans="1:32" x14ac:dyDescent="0.2">
      <c r="B13" s="136" t="s">
        <v>124</v>
      </c>
      <c r="C13" s="166">
        <v>7</v>
      </c>
      <c r="D13" s="151" t="s">
        <v>181</v>
      </c>
      <c r="E13" s="150">
        <v>3</v>
      </c>
      <c r="F13" s="150">
        <v>0</v>
      </c>
      <c r="G13" s="165">
        <v>52</v>
      </c>
      <c r="H13" s="226">
        <f t="shared" si="8"/>
        <v>17.333333333333332</v>
      </c>
      <c r="I13" s="227">
        <f t="shared" si="9"/>
        <v>68.677187948350067</v>
      </c>
      <c r="J13" s="363">
        <f>+Tabla2[[#This Row],[PROM DE USUARIOS]]-Tabla2[[#This Row],[USUARIOS]]</f>
        <v>16.677187948350067</v>
      </c>
      <c r="K13" s="151"/>
      <c r="L13" s="163">
        <f t="shared" si="10"/>
        <v>38421.154949784788</v>
      </c>
      <c r="M13" s="162">
        <f>+VLOOKUP(C13,Lista!B:D,3,0)</f>
        <v>0</v>
      </c>
      <c r="N13" s="373">
        <f t="shared" si="11"/>
        <v>12782.5</v>
      </c>
      <c r="O13" s="50">
        <f t="shared" si="12"/>
        <v>3</v>
      </c>
      <c r="P13" s="47">
        <f t="shared" si="13"/>
        <v>65.677187948350067</v>
      </c>
      <c r="Q13" s="49">
        <f t="shared" si="14"/>
        <v>49</v>
      </c>
      <c r="R13" s="51">
        <f t="shared" si="15"/>
        <v>65.677187948350067</v>
      </c>
      <c r="S13" s="46">
        <f t="shared" si="16"/>
        <v>36122.453371592535</v>
      </c>
      <c r="T13" t="str">
        <f t="shared" si="17"/>
        <v/>
      </c>
      <c r="U13">
        <f t="shared" si="18"/>
        <v>2</v>
      </c>
      <c r="Y13" t="str">
        <f>TRIM(Tabla2[[#This Row],[CONDUCTOR]])</f>
        <v>JARAMILLO JARAMILLO FRANCISCO WBEIMAR</v>
      </c>
    </row>
    <row r="14" spans="1:32" x14ac:dyDescent="0.2">
      <c r="B14" s="136" t="s">
        <v>123</v>
      </c>
      <c r="C14" s="137">
        <v>8</v>
      </c>
      <c r="D14" s="151" t="s">
        <v>181</v>
      </c>
      <c r="E14" s="150">
        <v>6</v>
      </c>
      <c r="F14" s="150">
        <v>0</v>
      </c>
      <c r="G14" s="146">
        <v>151</v>
      </c>
      <c r="H14" s="226">
        <f t="shared" si="8"/>
        <v>25.166666666666668</v>
      </c>
      <c r="I14" s="227">
        <f t="shared" si="9"/>
        <v>137.35437589670013</v>
      </c>
      <c r="J14" s="363">
        <f>+Tabla2[[#This Row],[PROM DE USUARIOS]]-Tabla2[[#This Row],[USUARIOS]]</f>
        <v>-13.645624103299866</v>
      </c>
      <c r="K14" s="151" t="s">
        <v>187</v>
      </c>
      <c r="L14" s="163">
        <f t="shared" si="10"/>
        <v>76842.309899569576</v>
      </c>
      <c r="M14" s="162">
        <f>+VLOOKUP(C14,Lista!B:D,3,0)</f>
        <v>0</v>
      </c>
      <c r="N14" s="373">
        <f t="shared" si="11"/>
        <v>12782.5</v>
      </c>
      <c r="O14" s="50">
        <f t="shared" si="12"/>
        <v>6</v>
      </c>
      <c r="P14" s="47">
        <f t="shared" si="13"/>
        <v>131.35437589670013</v>
      </c>
      <c r="Q14" s="49">
        <f t="shared" si="14"/>
        <v>145</v>
      </c>
      <c r="R14" s="51">
        <f t="shared" si="15"/>
        <v>131.35437589670013</v>
      </c>
      <c r="S14" s="46">
        <f t="shared" si="16"/>
        <v>72244.906743185071</v>
      </c>
      <c r="T14" t="str">
        <f t="shared" si="17"/>
        <v>RAFAEL GONZALEZ Realizó 1 viaje donde movilizó 34 usuarios</v>
      </c>
      <c r="U14">
        <f t="shared" si="18"/>
        <v>31</v>
      </c>
      <c r="Y14" t="str">
        <f>TRIM(Tabla2[[#This Row],[CONDUCTOR]])</f>
        <v>JARAMILLO JARAMILLO FRANCISCO WBEIMAR</v>
      </c>
    </row>
    <row r="15" spans="1:32" x14ac:dyDescent="0.2">
      <c r="B15" s="136" t="s">
        <v>124</v>
      </c>
      <c r="C15" s="166">
        <v>9</v>
      </c>
      <c r="D15" s="151" t="s">
        <v>156</v>
      </c>
      <c r="E15" s="150">
        <v>10</v>
      </c>
      <c r="F15" s="150">
        <v>0</v>
      </c>
      <c r="G15" s="146">
        <v>227</v>
      </c>
      <c r="H15" s="226">
        <f t="shared" si="8"/>
        <v>22.7</v>
      </c>
      <c r="I15" s="227">
        <f t="shared" si="9"/>
        <v>228.92395982783356</v>
      </c>
      <c r="J15" s="363">
        <f>+Tabla2[[#This Row],[PROM DE USUARIOS]]-Tabla2[[#This Row],[USUARIOS]]</f>
        <v>1.9239598278335563</v>
      </c>
      <c r="K15" s="151"/>
      <c r="L15" s="163">
        <f t="shared" si="10"/>
        <v>128070.51649928263</v>
      </c>
      <c r="M15" s="162" t="str">
        <f>+VLOOKUP(C15,Lista!B:D,3,0)</f>
        <v>MICRO</v>
      </c>
      <c r="N15" s="373">
        <f t="shared" si="11"/>
        <v>12782.5</v>
      </c>
      <c r="O15" s="50">
        <f t="shared" si="12"/>
        <v>10</v>
      </c>
      <c r="P15" s="47">
        <f t="shared" si="13"/>
        <v>218.92395982783356</v>
      </c>
      <c r="Q15" s="49">
        <f t="shared" si="14"/>
        <v>217</v>
      </c>
      <c r="R15" s="51">
        <f t="shared" si="15"/>
        <v>218.92395982783356</v>
      </c>
      <c r="S15" s="46">
        <f t="shared" si="16"/>
        <v>120408.17790530846</v>
      </c>
      <c r="T15" t="str">
        <f t="shared" si="17"/>
        <v/>
      </c>
      <c r="U15">
        <f t="shared" si="18"/>
        <v>20</v>
      </c>
      <c r="Y15" t="str">
        <f>TRIM(Tabla2[[#This Row],[CONDUCTOR]])</f>
        <v>CARTAGENA RAMIREZ FREDY ALONSO</v>
      </c>
    </row>
    <row r="16" spans="1:32" s="2" customFormat="1" ht="22.5" x14ac:dyDescent="0.2">
      <c r="B16" s="136" t="s">
        <v>123</v>
      </c>
      <c r="C16" s="166">
        <v>10</v>
      </c>
      <c r="D16" s="136" t="s">
        <v>182</v>
      </c>
      <c r="E16" s="150">
        <v>10</v>
      </c>
      <c r="F16" s="150">
        <v>0.5</v>
      </c>
      <c r="G16" s="379">
        <v>209</v>
      </c>
      <c r="H16" s="375">
        <f t="shared" si="8"/>
        <v>20.9</v>
      </c>
      <c r="I16" s="376">
        <f t="shared" si="9"/>
        <v>228.92395982783356</v>
      </c>
      <c r="J16" s="377">
        <f>+Tabla2[[#This Row],[PROM DE USUARIOS]]-Tabla2[[#This Row],[USUARIOS]]</f>
        <v>19.923959827833556</v>
      </c>
      <c r="K16" s="378" t="s">
        <v>207</v>
      </c>
      <c r="L16" s="163">
        <f t="shared" si="10"/>
        <v>121667.10649928263</v>
      </c>
      <c r="M16" s="162" t="str">
        <f>+VLOOKUP(C16,Lista!B:D,3,0)</f>
        <v>MICRO</v>
      </c>
      <c r="N16" s="373">
        <f t="shared" si="11"/>
        <v>12782.5</v>
      </c>
      <c r="O16" s="50">
        <f t="shared" si="12"/>
        <v>9.5</v>
      </c>
      <c r="P16" s="47">
        <f t="shared" si="13"/>
        <v>207.97795982783356</v>
      </c>
      <c r="Q16" s="49">
        <f t="shared" si="14"/>
        <v>199.5</v>
      </c>
      <c r="R16" s="51">
        <f t="shared" si="15"/>
        <v>218.92395982783356</v>
      </c>
      <c r="S16" s="46">
        <f t="shared" si="16"/>
        <v>120408.17790530846</v>
      </c>
      <c r="T16" s="2" t="str">
        <f t="shared" si="17"/>
        <v xml:space="preserve">Se descuenta 0.5 viaje de 2 30 pm ya que NO ingresa a placita zea. 8 Descuentos (Transbordo) </v>
      </c>
      <c r="U16" s="2">
        <f t="shared" si="18"/>
        <v>14</v>
      </c>
      <c r="V16" s="2">
        <v>0.5</v>
      </c>
      <c r="W16" s="2">
        <v>11.446</v>
      </c>
      <c r="Y16" s="2" t="str">
        <f>TRIM(Tabla2[[#This Row],[CONDUCTOR]])</f>
        <v>MARIN ALZATE KEVIN ANDRES</v>
      </c>
    </row>
    <row r="17" spans="2:25" x14ac:dyDescent="0.2">
      <c r="B17" s="136" t="s">
        <v>124</v>
      </c>
      <c r="C17" s="137">
        <v>11</v>
      </c>
      <c r="D17" s="151" t="s">
        <v>153</v>
      </c>
      <c r="E17" s="150">
        <v>9</v>
      </c>
      <c r="F17" s="150">
        <v>0</v>
      </c>
      <c r="G17" s="146">
        <v>249</v>
      </c>
      <c r="H17" s="226">
        <f t="shared" si="8"/>
        <v>27.666666666666668</v>
      </c>
      <c r="I17" s="227">
        <f t="shared" si="9"/>
        <v>206.03156384505019</v>
      </c>
      <c r="J17" s="363">
        <f>+Tabla2[[#This Row],[PROM DE USUARIOS]]-Tabla2[[#This Row],[USUARIOS]]</f>
        <v>-42.968436154949813</v>
      </c>
      <c r="K17" s="151" t="s">
        <v>193</v>
      </c>
      <c r="L17" s="163">
        <f t="shared" si="10"/>
        <v>115263.46484935436</v>
      </c>
      <c r="M17" s="162" t="str">
        <f>+VLOOKUP(C17,Lista!B:D,3,0)</f>
        <v>MICRO</v>
      </c>
      <c r="N17" s="373">
        <f t="shared" si="11"/>
        <v>12782.5</v>
      </c>
      <c r="O17" s="50">
        <f t="shared" si="12"/>
        <v>9</v>
      </c>
      <c r="P17" s="47">
        <f t="shared" si="13"/>
        <v>197.03156384505019</v>
      </c>
      <c r="Q17" s="49">
        <f t="shared" si="14"/>
        <v>240</v>
      </c>
      <c r="R17" s="51">
        <f t="shared" si="15"/>
        <v>197.03156384505019</v>
      </c>
      <c r="S17" s="46">
        <f t="shared" si="16"/>
        <v>108367.36011477761</v>
      </c>
      <c r="T17" t="str">
        <f t="shared" si="17"/>
        <v xml:space="preserve">6 Descuentos (Transbordo) </v>
      </c>
      <c r="U17">
        <f t="shared" si="18"/>
        <v>38</v>
      </c>
      <c r="Y17" t="str">
        <f>TRIM(Tabla2[[#This Row],[CONDUCTOR]])</f>
        <v>YEPES TORRES JHON ALEXANDER</v>
      </c>
    </row>
    <row r="18" spans="2:25" x14ac:dyDescent="0.2">
      <c r="B18" s="136" t="s">
        <v>123</v>
      </c>
      <c r="C18" s="166">
        <v>13</v>
      </c>
      <c r="D18" s="151" t="s">
        <v>159</v>
      </c>
      <c r="E18" s="150">
        <v>10</v>
      </c>
      <c r="F18" s="150">
        <v>0</v>
      </c>
      <c r="G18" s="165">
        <v>227</v>
      </c>
      <c r="H18" s="226">
        <f t="shared" si="8"/>
        <v>22.7</v>
      </c>
      <c r="I18" s="227">
        <f t="shared" si="9"/>
        <v>228.92395982783356</v>
      </c>
      <c r="J18" s="363">
        <f>+Tabla2[[#This Row],[PROM DE USUARIOS]]-Tabla2[[#This Row],[USUARIOS]]</f>
        <v>1.9239598278335563</v>
      </c>
      <c r="K18" s="151" t="s">
        <v>194</v>
      </c>
      <c r="L18" s="163">
        <f t="shared" si="10"/>
        <v>128070.51649928263</v>
      </c>
      <c r="M18" s="162" t="str">
        <f>+VLOOKUP(C18,Lista!B:D,3,0)</f>
        <v>MICRO</v>
      </c>
      <c r="N18" s="373">
        <f t="shared" si="11"/>
        <v>12782.5</v>
      </c>
      <c r="O18" s="50">
        <f t="shared" si="12"/>
        <v>10</v>
      </c>
      <c r="P18" s="47">
        <f t="shared" si="13"/>
        <v>218.92395982783356</v>
      </c>
      <c r="Q18" s="49">
        <f t="shared" si="14"/>
        <v>217</v>
      </c>
      <c r="R18" s="51">
        <f t="shared" si="15"/>
        <v>218.92395982783356</v>
      </c>
      <c r="S18" s="46">
        <f t="shared" si="16"/>
        <v>120408.17790530846</v>
      </c>
      <c r="T18" t="str">
        <f t="shared" si="17"/>
        <v xml:space="preserve">9 Descuentos (Transbordo) </v>
      </c>
      <c r="U18">
        <f t="shared" si="18"/>
        <v>20</v>
      </c>
      <c r="Y18" t="str">
        <f>TRIM(Tabla2[[#This Row],[CONDUCTOR]])</f>
        <v>MIRANDA MACHADO ALVARO</v>
      </c>
    </row>
    <row r="19" spans="2:25" x14ac:dyDescent="0.2">
      <c r="B19" s="136" t="s">
        <v>124</v>
      </c>
      <c r="C19" s="166">
        <v>14</v>
      </c>
      <c r="D19" s="151" t="s">
        <v>148</v>
      </c>
      <c r="E19" s="150">
        <v>12</v>
      </c>
      <c r="F19" s="150">
        <v>0</v>
      </c>
      <c r="G19" s="165">
        <v>251</v>
      </c>
      <c r="H19" s="226">
        <f t="shared" si="8"/>
        <v>20.916666666666668</v>
      </c>
      <c r="I19" s="227">
        <f t="shared" si="9"/>
        <v>274.70875179340027</v>
      </c>
      <c r="J19" s="363">
        <f>+Tabla2[[#This Row],[PROM DE USUARIOS]]-Tabla2[[#This Row],[USUARIOS]]</f>
        <v>23.708751793400268</v>
      </c>
      <c r="K19" s="151" t="s">
        <v>190</v>
      </c>
      <c r="L19" s="163">
        <f t="shared" si="10"/>
        <v>153684.61979913915</v>
      </c>
      <c r="M19" s="162">
        <f>+VLOOKUP(C19,Lista!B:D,3,0)</f>
        <v>0</v>
      </c>
      <c r="N19" s="373">
        <f t="shared" si="11"/>
        <v>12782.5</v>
      </c>
      <c r="O19" s="50">
        <f t="shared" si="12"/>
        <v>12</v>
      </c>
      <c r="P19" s="47">
        <f t="shared" si="13"/>
        <v>262.70875179340027</v>
      </c>
      <c r="Q19" s="49">
        <f t="shared" si="14"/>
        <v>239</v>
      </c>
      <c r="R19" s="51">
        <f t="shared" si="15"/>
        <v>262.70875179340027</v>
      </c>
      <c r="S19" s="46">
        <f t="shared" si="16"/>
        <v>144489.81348637014</v>
      </c>
      <c r="T19" t="str">
        <f t="shared" si="17"/>
        <v xml:space="preserve">3 Descuentos (Transbordo) </v>
      </c>
      <c r="U19">
        <f t="shared" si="18"/>
        <v>15</v>
      </c>
      <c r="Y19" t="str">
        <f>TRIM(Tabla2[[#This Row],[CONDUCTOR]])</f>
        <v>VERENZUELA MARTINEZ ALEXANDER</v>
      </c>
    </row>
    <row r="20" spans="2:25" x14ac:dyDescent="0.2">
      <c r="B20" s="136" t="s">
        <v>123</v>
      </c>
      <c r="C20" s="166">
        <v>15</v>
      </c>
      <c r="D20" s="151" t="s">
        <v>170</v>
      </c>
      <c r="E20" s="150">
        <v>11.5</v>
      </c>
      <c r="F20" s="150">
        <v>0.5</v>
      </c>
      <c r="G20" s="165">
        <v>279</v>
      </c>
      <c r="H20" s="226">
        <f t="shared" si="8"/>
        <v>24.260869565217391</v>
      </c>
      <c r="I20" s="227">
        <f t="shared" si="9"/>
        <v>263.2625538020086</v>
      </c>
      <c r="J20" s="363">
        <f>+Tabla2[[#This Row],[PROM DE USUARIOS]]-Tabla2[[#This Row],[USUARIOS]]</f>
        <v>-15.737446197991403</v>
      </c>
      <c r="K20" s="151"/>
      <c r="L20" s="163">
        <f t="shared" si="10"/>
        <v>147281.09397417502</v>
      </c>
      <c r="M20" s="162">
        <f>+VLOOKUP(C20,Lista!B:D,3,0)</f>
        <v>0</v>
      </c>
      <c r="N20" s="373">
        <f t="shared" si="11"/>
        <v>12782.5</v>
      </c>
      <c r="O20" s="50">
        <f t="shared" si="12"/>
        <v>11.5</v>
      </c>
      <c r="P20" s="47">
        <f t="shared" si="13"/>
        <v>251.7625538020086</v>
      </c>
      <c r="Q20" s="49">
        <f t="shared" si="14"/>
        <v>267.5</v>
      </c>
      <c r="R20" s="51">
        <f t="shared" si="15"/>
        <v>251.7625538020086</v>
      </c>
      <c r="S20" s="46">
        <f t="shared" si="16"/>
        <v>138469.40459110471</v>
      </c>
      <c r="T20" t="str">
        <f t="shared" si="17"/>
        <v/>
      </c>
      <c r="U20">
        <f t="shared" si="18"/>
        <v>28</v>
      </c>
      <c r="Y20" t="str">
        <f>TRIM(Tabla2[[#This Row],[CONDUCTOR]])</f>
        <v>HERNANDEZ MACIAS GILBERTO</v>
      </c>
    </row>
    <row r="21" spans="2:25" x14ac:dyDescent="0.2">
      <c r="B21" s="136" t="s">
        <v>124</v>
      </c>
      <c r="C21" s="166">
        <v>16</v>
      </c>
      <c r="D21" s="151" t="s">
        <v>183</v>
      </c>
      <c r="E21" s="150">
        <v>8</v>
      </c>
      <c r="F21" s="150">
        <v>0</v>
      </c>
      <c r="G21" s="165">
        <v>213</v>
      </c>
      <c r="H21" s="226">
        <f t="shared" si="8"/>
        <v>26.625</v>
      </c>
      <c r="I21" s="227">
        <f t="shared" si="9"/>
        <v>183.13916786226685</v>
      </c>
      <c r="J21" s="363">
        <f>+Tabla2[[#This Row],[PROM DE USUARIOS]]-Tabla2[[#This Row],[USUARIOS]]</f>
        <v>-29.860832137733155</v>
      </c>
      <c r="K21" s="151" t="s">
        <v>195</v>
      </c>
      <c r="L21" s="163">
        <f t="shared" si="10"/>
        <v>102456.41319942611</v>
      </c>
      <c r="M21" s="162" t="str">
        <f>+VLOOKUP(C21,Lista!B:D,3,0)</f>
        <v>MICRO</v>
      </c>
      <c r="N21" s="373">
        <f t="shared" si="11"/>
        <v>12782.5</v>
      </c>
      <c r="O21" s="50">
        <f t="shared" si="12"/>
        <v>8</v>
      </c>
      <c r="P21" s="47">
        <f t="shared" si="13"/>
        <v>175.13916786226685</v>
      </c>
      <c r="Q21" s="49">
        <f t="shared" si="14"/>
        <v>205</v>
      </c>
      <c r="R21" s="51">
        <f t="shared" si="15"/>
        <v>175.13916786226685</v>
      </c>
      <c r="S21" s="46">
        <f t="shared" si="16"/>
        <v>96326.542324246766</v>
      </c>
      <c r="T21" t="str">
        <f t="shared" si="17"/>
        <v xml:space="preserve">13 Descuentos (Transbordo) </v>
      </c>
      <c r="U21">
        <f t="shared" si="18"/>
        <v>34</v>
      </c>
      <c r="Y21" t="str">
        <f>TRIM(Tabla2[[#This Row],[CONDUCTOR]])</f>
        <v>PEREZ GARCIA JUAN ESTEBAN</v>
      </c>
    </row>
    <row r="22" spans="2:25" x14ac:dyDescent="0.2">
      <c r="B22" s="136" t="s">
        <v>123</v>
      </c>
      <c r="C22" s="166">
        <v>17</v>
      </c>
      <c r="D22" s="151" t="s">
        <v>158</v>
      </c>
      <c r="E22" s="150">
        <v>11</v>
      </c>
      <c r="F22" s="150">
        <v>0</v>
      </c>
      <c r="G22" s="165">
        <v>186</v>
      </c>
      <c r="H22" s="226">
        <f t="shared" si="8"/>
        <v>16.90909090909091</v>
      </c>
      <c r="I22" s="227">
        <f t="shared" si="9"/>
        <v>251.81635581061693</v>
      </c>
      <c r="J22" s="363">
        <f>+Tabla2[[#This Row],[PROM DE USUARIOS]]-Tabla2[[#This Row],[USUARIOS]]</f>
        <v>65.816355810616926</v>
      </c>
      <c r="K22" s="151" t="s">
        <v>196</v>
      </c>
      <c r="L22" s="163">
        <f t="shared" si="10"/>
        <v>140877.56814921091</v>
      </c>
      <c r="M22" s="162" t="str">
        <f>+VLOOKUP(C22,Lista!B:D,3,0)</f>
        <v>MICRO</v>
      </c>
      <c r="N22" s="373">
        <f t="shared" si="11"/>
        <v>12782.5</v>
      </c>
      <c r="O22" s="50">
        <f t="shared" si="12"/>
        <v>11</v>
      </c>
      <c r="P22" s="47">
        <f t="shared" si="13"/>
        <v>240.81635581061693</v>
      </c>
      <c r="Q22" s="49">
        <f t="shared" si="14"/>
        <v>175</v>
      </c>
      <c r="R22" s="51">
        <f t="shared" si="15"/>
        <v>240.81635581061693</v>
      </c>
      <c r="S22" s="46">
        <f t="shared" si="16"/>
        <v>132448.99569583932</v>
      </c>
      <c r="T22" t="str">
        <f t="shared" si="17"/>
        <v xml:space="preserve">13 Descuentos (transbordo y conduct) </v>
      </c>
      <c r="U22">
        <f t="shared" si="18"/>
        <v>1</v>
      </c>
      <c r="Y22" t="str">
        <f>TRIM(Tabla2[[#This Row],[CONDUCTOR]])</f>
        <v>PARRA VILLA YUBER ALONSO</v>
      </c>
    </row>
    <row r="23" spans="2:25" x14ac:dyDescent="0.2">
      <c r="B23" s="136" t="s">
        <v>124</v>
      </c>
      <c r="C23" s="166">
        <v>18</v>
      </c>
      <c r="D23" s="151" t="s">
        <v>167</v>
      </c>
      <c r="E23" s="150">
        <v>8</v>
      </c>
      <c r="F23" s="150">
        <v>0</v>
      </c>
      <c r="G23" s="165">
        <v>184</v>
      </c>
      <c r="H23" s="226">
        <f t="shared" si="8"/>
        <v>23</v>
      </c>
      <c r="I23" s="227">
        <f t="shared" si="9"/>
        <v>183.13916786226685</v>
      </c>
      <c r="J23" s="363">
        <f>+Tabla2[[#This Row],[PROM DE USUARIOS]]-Tabla2[[#This Row],[USUARIOS]]</f>
        <v>-0.86083213773315492</v>
      </c>
      <c r="K23" s="151" t="s">
        <v>197</v>
      </c>
      <c r="L23" s="163">
        <f t="shared" si="10"/>
        <v>102456.41319942611</v>
      </c>
      <c r="M23" s="162" t="str">
        <f>+VLOOKUP(C23,Lista!B:D,3,0)</f>
        <v>MICRO</v>
      </c>
      <c r="N23" s="373">
        <f t="shared" si="11"/>
        <v>12782.5</v>
      </c>
      <c r="O23" s="50">
        <f t="shared" si="12"/>
        <v>8</v>
      </c>
      <c r="P23" s="47">
        <f t="shared" si="13"/>
        <v>175.13916786226685</v>
      </c>
      <c r="Q23" s="49">
        <f t="shared" si="14"/>
        <v>176</v>
      </c>
      <c r="R23" s="51">
        <f t="shared" si="15"/>
        <v>175.13916786226685</v>
      </c>
      <c r="S23" s="46">
        <f t="shared" si="16"/>
        <v>96326.542324246766</v>
      </c>
      <c r="T23" t="str">
        <f t="shared" si="17"/>
        <v xml:space="preserve">1 Descuento (Despachador) </v>
      </c>
      <c r="U23">
        <f t="shared" si="18"/>
        <v>23</v>
      </c>
      <c r="Y23" t="str">
        <f>TRIM(Tabla2[[#This Row],[CONDUCTOR]])</f>
        <v>ALBERTO ARISTIZABAL RAFAEL</v>
      </c>
    </row>
    <row r="24" spans="2:25" x14ac:dyDescent="0.2">
      <c r="B24" s="136" t="s">
        <v>123</v>
      </c>
      <c r="C24" s="166">
        <v>20</v>
      </c>
      <c r="D24" s="151" t="s">
        <v>173</v>
      </c>
      <c r="E24" s="150">
        <v>11</v>
      </c>
      <c r="F24" s="150">
        <v>0</v>
      </c>
      <c r="G24" s="146">
        <v>269</v>
      </c>
      <c r="H24" s="226">
        <f t="shared" si="8"/>
        <v>24.454545454545453</v>
      </c>
      <c r="I24" s="227">
        <f t="shared" si="9"/>
        <v>251.81635581061693</v>
      </c>
      <c r="J24" s="363">
        <f>+Tabla2[[#This Row],[PROM DE USUARIOS]]-Tabla2[[#This Row],[USUARIOS]]</f>
        <v>-17.183644189383074</v>
      </c>
      <c r="K24" s="151" t="s">
        <v>197</v>
      </c>
      <c r="L24" s="163">
        <f t="shared" si="10"/>
        <v>140877.56814921091</v>
      </c>
      <c r="M24" s="162" t="str">
        <f>+VLOOKUP(C24,Lista!B:D,3,0)</f>
        <v>MICRO</v>
      </c>
      <c r="N24" s="373">
        <f t="shared" si="11"/>
        <v>12782.5</v>
      </c>
      <c r="O24" s="50">
        <f t="shared" si="12"/>
        <v>11</v>
      </c>
      <c r="P24" s="47">
        <f t="shared" si="13"/>
        <v>240.81635581061693</v>
      </c>
      <c r="Q24" s="49">
        <f t="shared" si="14"/>
        <v>258</v>
      </c>
      <c r="R24" s="51">
        <f t="shared" si="15"/>
        <v>240.81635581061693</v>
      </c>
      <c r="S24" s="46">
        <f t="shared" si="16"/>
        <v>132448.99569583932</v>
      </c>
      <c r="T24" t="str">
        <f t="shared" si="17"/>
        <v xml:space="preserve">1 Descuento (Despachador) </v>
      </c>
      <c r="U24">
        <f t="shared" si="18"/>
        <v>29</v>
      </c>
      <c r="Y24" t="str">
        <f>TRIM(Tabla2[[#This Row],[CONDUCTOR]])</f>
        <v>MURILLO YORMAN ANDRES</v>
      </c>
    </row>
    <row r="25" spans="2:25" x14ac:dyDescent="0.2">
      <c r="B25" s="136" t="s">
        <v>124</v>
      </c>
      <c r="C25" s="137">
        <v>21</v>
      </c>
      <c r="D25" s="151" t="s">
        <v>174</v>
      </c>
      <c r="E25" s="150">
        <v>11</v>
      </c>
      <c r="F25" s="150">
        <v>0</v>
      </c>
      <c r="G25" s="165">
        <v>238</v>
      </c>
      <c r="H25" s="226">
        <f t="shared" si="8"/>
        <v>21.636363636363637</v>
      </c>
      <c r="I25" s="227">
        <f t="shared" si="9"/>
        <v>251.81635581061693</v>
      </c>
      <c r="J25" s="363">
        <f>+Tabla2[[#This Row],[PROM DE USUARIOS]]-Tabla2[[#This Row],[USUARIOS]]</f>
        <v>13.816355810616926</v>
      </c>
      <c r="K25" s="151" t="s">
        <v>189</v>
      </c>
      <c r="L25" s="163">
        <f t="shared" si="10"/>
        <v>140877.56814921091</v>
      </c>
      <c r="M25" s="162" t="str">
        <f>+VLOOKUP(C25,Lista!B:D,3,0)</f>
        <v>MICRO</v>
      </c>
      <c r="N25" s="373">
        <f t="shared" si="11"/>
        <v>12782.5</v>
      </c>
      <c r="O25" s="50">
        <f t="shared" si="12"/>
        <v>11</v>
      </c>
      <c r="P25" s="47">
        <f t="shared" si="13"/>
        <v>240.81635581061693</v>
      </c>
      <c r="Q25" s="49">
        <f t="shared" si="14"/>
        <v>227</v>
      </c>
      <c r="R25" s="51">
        <f t="shared" si="15"/>
        <v>240.81635581061693</v>
      </c>
      <c r="S25" s="46">
        <f t="shared" si="16"/>
        <v>132448.99569583932</v>
      </c>
      <c r="T25" t="str">
        <f t="shared" si="17"/>
        <v xml:space="preserve">JULIAN MACIAS Realizó 5 viajes donde movilizó 107 usuarios </v>
      </c>
      <c r="U25">
        <f t="shared" si="18"/>
        <v>19</v>
      </c>
      <c r="Y25" t="str">
        <f>TRIM(Tabla2[[#This Row],[CONDUCTOR]])</f>
        <v>DAVID HENRY GIOVANNY</v>
      </c>
    </row>
    <row r="26" spans="2:25" x14ac:dyDescent="0.2">
      <c r="B26" s="136" t="s">
        <v>123</v>
      </c>
      <c r="C26" s="166">
        <v>22</v>
      </c>
      <c r="D26" s="151" t="s">
        <v>175</v>
      </c>
      <c r="E26" s="150">
        <v>13</v>
      </c>
      <c r="F26" s="150">
        <v>0</v>
      </c>
      <c r="G26" s="165">
        <v>369</v>
      </c>
      <c r="H26" s="226">
        <f t="shared" si="8"/>
        <v>28.384615384615383</v>
      </c>
      <c r="I26" s="227">
        <f t="shared" si="9"/>
        <v>297.60114777618361</v>
      </c>
      <c r="J26" s="363">
        <f>+Tabla2[[#This Row],[PROM DE USUARIOS]]-Tabla2[[#This Row],[USUARIOS]]</f>
        <v>-71.398852223816391</v>
      </c>
      <c r="K26" s="151"/>
      <c r="L26" s="163">
        <f t="shared" si="10"/>
        <v>166491.67144906742</v>
      </c>
      <c r="M26" s="162">
        <f>+VLOOKUP(C26,Lista!B:D,3,0)</f>
        <v>0</v>
      </c>
      <c r="N26" s="373">
        <f t="shared" si="11"/>
        <v>12782.5</v>
      </c>
      <c r="O26" s="50">
        <f t="shared" si="12"/>
        <v>13</v>
      </c>
      <c r="P26" s="47">
        <f t="shared" si="13"/>
        <v>284.60114777618361</v>
      </c>
      <c r="Q26" s="49">
        <f t="shared" si="14"/>
        <v>356</v>
      </c>
      <c r="R26" s="51">
        <f t="shared" si="15"/>
        <v>284.60114777618361</v>
      </c>
      <c r="S26" s="46">
        <f t="shared" si="16"/>
        <v>156530.631276901</v>
      </c>
      <c r="T26" t="str">
        <f t="shared" si="17"/>
        <v/>
      </c>
      <c r="U26">
        <f t="shared" si="18"/>
        <v>40</v>
      </c>
      <c r="Y26" t="str">
        <f>TRIM(Tabla2[[#This Row],[CONDUCTOR]])</f>
        <v>QUIRAMA CASTAÑEDA JHON JADER</v>
      </c>
    </row>
    <row r="27" spans="2:25" x14ac:dyDescent="0.2">
      <c r="B27" s="136" t="s">
        <v>124</v>
      </c>
      <c r="C27" s="166">
        <v>23</v>
      </c>
      <c r="D27" s="151" t="s">
        <v>171</v>
      </c>
      <c r="E27" s="150">
        <v>9</v>
      </c>
      <c r="F27" s="150">
        <v>0</v>
      </c>
      <c r="G27" s="146">
        <v>207</v>
      </c>
      <c r="H27" s="226">
        <f t="shared" si="8"/>
        <v>23</v>
      </c>
      <c r="I27" s="227">
        <f t="shared" si="9"/>
        <v>206.03156384505019</v>
      </c>
      <c r="J27" s="363">
        <f>+Tabla2[[#This Row],[PROM DE USUARIOS]]-Tabla2[[#This Row],[USUARIOS]]</f>
        <v>-0.9684361549498135</v>
      </c>
      <c r="K27" s="151"/>
      <c r="L27" s="163">
        <f t="shared" si="10"/>
        <v>115263.46484935436</v>
      </c>
      <c r="M27" s="162" t="str">
        <f>+VLOOKUP(C27,Lista!B:D,3,0)</f>
        <v xml:space="preserve">MICRO </v>
      </c>
      <c r="N27" s="373">
        <f t="shared" si="11"/>
        <v>12782.5</v>
      </c>
      <c r="O27" s="50">
        <f t="shared" si="12"/>
        <v>9</v>
      </c>
      <c r="P27" s="47">
        <f t="shared" si="13"/>
        <v>197.03156384505019</v>
      </c>
      <c r="Q27" s="49">
        <f t="shared" si="14"/>
        <v>198</v>
      </c>
      <c r="R27" s="51">
        <f t="shared" si="15"/>
        <v>197.03156384505019</v>
      </c>
      <c r="S27" s="46">
        <f t="shared" si="16"/>
        <v>108367.36011477761</v>
      </c>
      <c r="T27" t="str">
        <f t="shared" si="17"/>
        <v/>
      </c>
      <c r="U27">
        <f t="shared" si="18"/>
        <v>23</v>
      </c>
      <c r="Y27" t="str">
        <f>TRIM(Tabla2[[#This Row],[CONDUCTOR]])</f>
        <v>SALDARRIAGA PARRA LUIS ALBERTO</v>
      </c>
    </row>
    <row r="28" spans="2:25" x14ac:dyDescent="0.2">
      <c r="B28" s="136" t="s">
        <v>123</v>
      </c>
      <c r="C28" s="166">
        <v>24</v>
      </c>
      <c r="D28" s="151" t="s">
        <v>176</v>
      </c>
      <c r="E28" s="150">
        <v>10</v>
      </c>
      <c r="F28" s="150">
        <v>0</v>
      </c>
      <c r="G28" s="146">
        <v>212</v>
      </c>
      <c r="H28" s="226">
        <f t="shared" si="8"/>
        <v>21.2</v>
      </c>
      <c r="I28" s="227">
        <f t="shared" si="9"/>
        <v>228.92395982783356</v>
      </c>
      <c r="J28" s="363">
        <f>+Tabla2[[#This Row],[PROM DE USUARIOS]]-Tabla2[[#This Row],[USUARIOS]]</f>
        <v>16.923959827833556</v>
      </c>
      <c r="K28" s="151"/>
      <c r="L28" s="163">
        <f t="shared" si="10"/>
        <v>128070.51649928263</v>
      </c>
      <c r="M28" s="162" t="str">
        <f>+VLOOKUP(C28,Lista!B:D,3,0)</f>
        <v>MICRO</v>
      </c>
      <c r="N28" s="373">
        <f t="shared" si="11"/>
        <v>12782.5</v>
      </c>
      <c r="O28" s="50">
        <f t="shared" si="12"/>
        <v>10</v>
      </c>
      <c r="P28" s="47">
        <f t="shared" si="13"/>
        <v>218.92395982783356</v>
      </c>
      <c r="Q28" s="49">
        <f t="shared" si="14"/>
        <v>202</v>
      </c>
      <c r="R28" s="51">
        <f t="shared" si="15"/>
        <v>218.92395982783356</v>
      </c>
      <c r="S28" s="46">
        <f t="shared" si="16"/>
        <v>120408.17790530846</v>
      </c>
      <c r="T28" t="str">
        <f t="shared" si="17"/>
        <v/>
      </c>
      <c r="U28">
        <f t="shared" si="18"/>
        <v>18</v>
      </c>
      <c r="Y28" t="str">
        <f>TRIM(Tabla2[[#This Row],[CONDUCTOR]])</f>
        <v>JIMENEZ HERNANDEZ ESTEBAN CAMILO</v>
      </c>
    </row>
    <row r="29" spans="2:25" x14ac:dyDescent="0.2">
      <c r="B29" s="136" t="s">
        <v>124</v>
      </c>
      <c r="C29" s="166">
        <v>26</v>
      </c>
      <c r="D29" s="151" t="s">
        <v>152</v>
      </c>
      <c r="E29" s="150">
        <v>4</v>
      </c>
      <c r="F29" s="150">
        <v>0</v>
      </c>
      <c r="G29" s="165">
        <v>104</v>
      </c>
      <c r="H29" s="226">
        <f t="shared" si="8"/>
        <v>26</v>
      </c>
      <c r="I29" s="227">
        <f t="shared" si="9"/>
        <v>91.569583931133423</v>
      </c>
      <c r="J29" s="363">
        <f>+Tabla2[[#This Row],[PROM DE USUARIOS]]-Tabla2[[#This Row],[USUARIOS]]</f>
        <v>-12.430416068866577</v>
      </c>
      <c r="K29" s="151"/>
      <c r="L29" s="163">
        <f t="shared" si="10"/>
        <v>51228.206599713056</v>
      </c>
      <c r="M29" s="162" t="str">
        <f>+VLOOKUP(C29,Lista!B:D,3,0)</f>
        <v>MICRO</v>
      </c>
      <c r="N29" s="373">
        <f t="shared" si="11"/>
        <v>12782.5</v>
      </c>
      <c r="O29" s="50">
        <f t="shared" si="12"/>
        <v>4</v>
      </c>
      <c r="P29" s="47">
        <f t="shared" si="13"/>
        <v>87.569583931133423</v>
      </c>
      <c r="Q29" s="49">
        <f t="shared" si="14"/>
        <v>100</v>
      </c>
      <c r="R29" s="51">
        <f t="shared" si="15"/>
        <v>87.569583931133423</v>
      </c>
      <c r="S29" s="46">
        <f t="shared" si="16"/>
        <v>48163.271162123383</v>
      </c>
      <c r="T29" t="str">
        <f t="shared" si="17"/>
        <v/>
      </c>
      <c r="U29">
        <f t="shared" si="18"/>
        <v>33</v>
      </c>
      <c r="Y29" t="str">
        <f>TRIM(Tabla2[[#This Row],[CONDUCTOR]])</f>
        <v>ESPINOZA CHAVARRIA GUILLERMO LEON</v>
      </c>
    </row>
    <row r="30" spans="2:25" s="2" customFormat="1" x14ac:dyDescent="0.2">
      <c r="B30" s="136" t="s">
        <v>123</v>
      </c>
      <c r="C30" s="166">
        <v>27</v>
      </c>
      <c r="D30" s="151" t="s">
        <v>184</v>
      </c>
      <c r="E30" s="150">
        <v>15</v>
      </c>
      <c r="F30" s="150">
        <v>0</v>
      </c>
      <c r="G30" s="165">
        <v>298</v>
      </c>
      <c r="H30" s="226">
        <f t="shared" si="8"/>
        <v>19.866666666666667</v>
      </c>
      <c r="I30" s="227">
        <f t="shared" si="9"/>
        <v>343.38593974175035</v>
      </c>
      <c r="J30" s="363">
        <f>+Tabla2[[#This Row],[PROM DE USUARIOS]]-Tabla2[[#This Row],[USUARIOS]]</f>
        <v>45.385939741750349</v>
      </c>
      <c r="K30" s="151" t="s">
        <v>188</v>
      </c>
      <c r="L30" s="163">
        <f t="shared" si="10"/>
        <v>192105.77474892396</v>
      </c>
      <c r="M30" s="162" t="str">
        <f>+VLOOKUP(C30,Lista!B:D,3,0)</f>
        <v>MICRO</v>
      </c>
      <c r="N30" s="373">
        <f t="shared" si="11"/>
        <v>12782.5</v>
      </c>
      <c r="O30" s="50">
        <f t="shared" si="12"/>
        <v>15</v>
      </c>
      <c r="P30" s="47">
        <f t="shared" si="13"/>
        <v>328.38593974175035</v>
      </c>
      <c r="Q30" s="49">
        <f t="shared" si="14"/>
        <v>283</v>
      </c>
      <c r="R30" s="51">
        <f t="shared" si="15"/>
        <v>328.38593974175035</v>
      </c>
      <c r="S30" s="46">
        <f t="shared" si="16"/>
        <v>180612.26685796271</v>
      </c>
      <c r="T30" t="str">
        <f t="shared" si="17"/>
        <v xml:space="preserve">JORGE FLORES Realizó 13 viajes donde movilizó 258 usuarios </v>
      </c>
      <c r="U30">
        <f t="shared" si="18"/>
        <v>10</v>
      </c>
      <c r="Y30" t="str">
        <f>TRIM(Tabla2[[#This Row],[CONDUCTOR]])</f>
        <v>HENAO MUÑOZ FERNEY</v>
      </c>
    </row>
    <row r="31" spans="2:25" x14ac:dyDescent="0.2">
      <c r="B31" s="136" t="s">
        <v>124</v>
      </c>
      <c r="C31" s="166">
        <v>28</v>
      </c>
      <c r="D31" s="151" t="s">
        <v>177</v>
      </c>
      <c r="E31" s="150">
        <v>9</v>
      </c>
      <c r="F31" s="150">
        <v>0</v>
      </c>
      <c r="G31" s="165">
        <v>164</v>
      </c>
      <c r="H31" s="226">
        <f t="shared" si="8"/>
        <v>18.222222222222221</v>
      </c>
      <c r="I31" s="227">
        <f t="shared" si="9"/>
        <v>206.03156384505019</v>
      </c>
      <c r="J31" s="363">
        <f>+Tabla2[[#This Row],[PROM DE USUARIOS]]-Tabla2[[#This Row],[USUARIOS]]</f>
        <v>42.031563845050187</v>
      </c>
      <c r="K31" s="151" t="s">
        <v>198</v>
      </c>
      <c r="L31" s="163">
        <f t="shared" si="10"/>
        <v>115263.46484935436</v>
      </c>
      <c r="M31" s="162" t="str">
        <f>+VLOOKUP(C31,Lista!B:D,3,0)</f>
        <v>MICRO</v>
      </c>
      <c r="N31" s="373">
        <f t="shared" si="11"/>
        <v>12782.5</v>
      </c>
      <c r="O31" s="50">
        <f t="shared" si="12"/>
        <v>9</v>
      </c>
      <c r="P31" s="47">
        <f t="shared" si="13"/>
        <v>197.03156384505019</v>
      </c>
      <c r="Q31" s="49">
        <f t="shared" si="14"/>
        <v>155</v>
      </c>
      <c r="R31" s="51">
        <f t="shared" si="15"/>
        <v>197.03156384505019</v>
      </c>
      <c r="S31" s="46">
        <f t="shared" si="16"/>
        <v>108367.36011477761</v>
      </c>
      <c r="T31" t="str">
        <f t="shared" si="17"/>
        <v xml:space="preserve">2 Descuentos (Transbordo) </v>
      </c>
      <c r="U31">
        <f t="shared" si="18"/>
        <v>5</v>
      </c>
      <c r="Y31" t="str">
        <f>TRIM(Tabla2[[#This Row],[CONDUCTOR]])</f>
        <v>OSORIO URREGO SANTIAGO</v>
      </c>
    </row>
    <row r="32" spans="2:25" x14ac:dyDescent="0.2">
      <c r="B32" s="136" t="s">
        <v>123</v>
      </c>
      <c r="C32" s="166">
        <v>29</v>
      </c>
      <c r="D32" s="151" t="s">
        <v>185</v>
      </c>
      <c r="E32" s="150">
        <v>10</v>
      </c>
      <c r="F32" s="150">
        <v>0</v>
      </c>
      <c r="G32" s="165">
        <v>190</v>
      </c>
      <c r="H32" s="226">
        <f t="shared" si="8"/>
        <v>19</v>
      </c>
      <c r="I32" s="227">
        <f t="shared" si="9"/>
        <v>228.92395982783356</v>
      </c>
      <c r="J32" s="363">
        <f>+Tabla2[[#This Row],[PROM DE USUARIOS]]-Tabla2[[#This Row],[USUARIOS]]</f>
        <v>38.923959827833556</v>
      </c>
      <c r="K32" s="151" t="s">
        <v>200</v>
      </c>
      <c r="L32" s="163">
        <f t="shared" si="10"/>
        <v>128070.51649928263</v>
      </c>
      <c r="M32" s="162" t="str">
        <f>+VLOOKUP(C32,Lista!B:D,3,0)</f>
        <v>MICRO</v>
      </c>
      <c r="N32" s="373">
        <f t="shared" si="11"/>
        <v>12782.5</v>
      </c>
      <c r="O32" s="50">
        <f t="shared" si="12"/>
        <v>10</v>
      </c>
      <c r="P32" s="47">
        <f t="shared" si="13"/>
        <v>218.92395982783356</v>
      </c>
      <c r="Q32" s="49">
        <f t="shared" si="14"/>
        <v>180</v>
      </c>
      <c r="R32" s="51">
        <f t="shared" si="15"/>
        <v>218.92395982783356</v>
      </c>
      <c r="S32" s="46">
        <f t="shared" si="16"/>
        <v>120408.17790530846</v>
      </c>
      <c r="T32" t="str">
        <f t="shared" si="17"/>
        <v xml:space="preserve">5 Descuentos (Transbordo y conduct) </v>
      </c>
      <c r="U32">
        <f t="shared" si="18"/>
        <v>6</v>
      </c>
      <c r="Y32" t="str">
        <f>TRIM(Tabla2[[#This Row],[CONDUCTOR]])</f>
        <v>LEON PEREZ RAUL ENRIQUE</v>
      </c>
    </row>
    <row r="33" spans="2:25" x14ac:dyDescent="0.2">
      <c r="B33" s="136" t="s">
        <v>124</v>
      </c>
      <c r="C33" s="166">
        <v>30</v>
      </c>
      <c r="D33" s="151" t="s">
        <v>179</v>
      </c>
      <c r="E33" s="150">
        <v>5.5</v>
      </c>
      <c r="F33" s="150"/>
      <c r="G33" s="165">
        <v>108</v>
      </c>
      <c r="H33" s="226">
        <f t="shared" si="8"/>
        <v>19.636363636363637</v>
      </c>
      <c r="I33" s="227">
        <f t="shared" si="9"/>
        <v>125.90817790530846</v>
      </c>
      <c r="J33" s="363">
        <f>+Tabla2[[#This Row],[PROM DE USUARIOS]]-Tabla2[[#This Row],[USUARIOS]]</f>
        <v>17.908177905308463</v>
      </c>
      <c r="K33" s="151"/>
      <c r="L33" s="163">
        <f t="shared" si="10"/>
        <v>70438.784074605457</v>
      </c>
      <c r="M33" s="162" t="str">
        <f>+VLOOKUP(C33,Lista!B:D,3,0)</f>
        <v>MICRO</v>
      </c>
      <c r="N33" s="373">
        <f t="shared" si="11"/>
        <v>12782.5</v>
      </c>
      <c r="O33" s="50">
        <f t="shared" si="12"/>
        <v>5.5</v>
      </c>
      <c r="P33" s="47">
        <f t="shared" si="13"/>
        <v>120.40817790530846</v>
      </c>
      <c r="Q33" s="49">
        <f t="shared" si="14"/>
        <v>102.5</v>
      </c>
      <c r="R33" s="51">
        <f t="shared" si="15"/>
        <v>120.40817790530846</v>
      </c>
      <c r="S33" s="46">
        <f t="shared" si="16"/>
        <v>66224.497847919658</v>
      </c>
      <c r="T33" t="str">
        <f t="shared" si="17"/>
        <v/>
      </c>
      <c r="U33">
        <f t="shared" si="18"/>
        <v>8</v>
      </c>
      <c r="Y33" t="str">
        <f>TRIM(Tabla2[[#This Row],[CONDUCTOR]])</f>
        <v>AGUDELO GARCIA LLORDIN ELIAS</v>
      </c>
    </row>
    <row r="34" spans="2:25" x14ac:dyDescent="0.2">
      <c r="B34" s="136" t="s">
        <v>123</v>
      </c>
      <c r="C34" s="166">
        <v>31</v>
      </c>
      <c r="D34" s="151" t="s">
        <v>166</v>
      </c>
      <c r="E34" s="150">
        <v>10</v>
      </c>
      <c r="F34" s="150">
        <v>0</v>
      </c>
      <c r="G34" s="165">
        <v>239</v>
      </c>
      <c r="H34" s="226">
        <f t="shared" si="8"/>
        <v>23.9</v>
      </c>
      <c r="I34" s="227">
        <f t="shared" si="9"/>
        <v>228.92395982783356</v>
      </c>
      <c r="J34" s="363">
        <f>+Tabla2[[#This Row],[PROM DE USUARIOS]]-Tabla2[[#This Row],[USUARIOS]]</f>
        <v>-10.076040172166444</v>
      </c>
      <c r="K34" s="151" t="s">
        <v>194</v>
      </c>
      <c r="L34" s="163">
        <f t="shared" si="10"/>
        <v>128070.51649928263</v>
      </c>
      <c r="M34" s="162" t="str">
        <f>+VLOOKUP(C34,Lista!B:D,3,0)</f>
        <v>MICRO</v>
      </c>
      <c r="N34" s="373">
        <f t="shared" si="11"/>
        <v>12782.5</v>
      </c>
      <c r="O34" s="50">
        <f t="shared" si="12"/>
        <v>10</v>
      </c>
      <c r="P34" s="47">
        <f t="shared" si="13"/>
        <v>218.92395982783356</v>
      </c>
      <c r="Q34" s="49">
        <f t="shared" si="14"/>
        <v>229</v>
      </c>
      <c r="R34" s="51">
        <f t="shared" si="15"/>
        <v>218.92395982783356</v>
      </c>
      <c r="S34" s="46">
        <f t="shared" si="16"/>
        <v>120408.17790530846</v>
      </c>
      <c r="T34" t="str">
        <f t="shared" si="17"/>
        <v xml:space="preserve">9 Descuentos (Transbordo) </v>
      </c>
      <c r="U34">
        <f t="shared" si="18"/>
        <v>27</v>
      </c>
      <c r="Y34" t="str">
        <f>TRIM(Tabla2[[#This Row],[CONDUCTOR]])</f>
        <v>IBARGUEN GARRIDO JUAN ESTEBAN</v>
      </c>
    </row>
    <row r="35" spans="2:25" x14ac:dyDescent="0.2">
      <c r="B35" s="136" t="s">
        <v>124</v>
      </c>
      <c r="C35" s="166">
        <v>32</v>
      </c>
      <c r="D35" s="151" t="s">
        <v>180</v>
      </c>
      <c r="E35" s="150">
        <v>6</v>
      </c>
      <c r="F35" s="150">
        <v>0</v>
      </c>
      <c r="G35" s="165">
        <v>119</v>
      </c>
      <c r="H35" s="226">
        <f t="shared" si="8"/>
        <v>19.833333333333332</v>
      </c>
      <c r="I35" s="227">
        <f t="shared" si="9"/>
        <v>137.35437589670013</v>
      </c>
      <c r="J35" s="363">
        <f>+Tabla2[[#This Row],[PROM DE USUARIOS]]-Tabla2[[#This Row],[USUARIOS]]</f>
        <v>18.354375896700134</v>
      </c>
      <c r="K35" s="151" t="s">
        <v>201</v>
      </c>
      <c r="L35" s="163">
        <f t="shared" si="10"/>
        <v>76842.309899569576</v>
      </c>
      <c r="M35" s="162" t="str">
        <f>+VLOOKUP(C35,Lista!B:D,3,0)</f>
        <v>MICRO</v>
      </c>
      <c r="N35" s="373">
        <f t="shared" si="11"/>
        <v>12782.5</v>
      </c>
      <c r="O35" s="50">
        <f t="shared" si="12"/>
        <v>6</v>
      </c>
      <c r="P35" s="47">
        <f t="shared" si="13"/>
        <v>131.35437589670013</v>
      </c>
      <c r="Q35" s="49">
        <f t="shared" si="14"/>
        <v>113</v>
      </c>
      <c r="R35" s="51">
        <f t="shared" si="15"/>
        <v>131.35437589670013</v>
      </c>
      <c r="S35" s="46">
        <f t="shared" si="16"/>
        <v>72244.906743185071</v>
      </c>
      <c r="T35" t="str">
        <f t="shared" si="17"/>
        <v xml:space="preserve">8 Descuentos (Conduct y transbordo) </v>
      </c>
      <c r="U35">
        <f t="shared" si="18"/>
        <v>9</v>
      </c>
      <c r="Y35" t="str">
        <f>TRIM(Tabla2[[#This Row],[CONDUCTOR]])</f>
        <v>LAYOS JIMENEZ JOHAN CAMILO</v>
      </c>
    </row>
    <row r="36" spans="2:25" x14ac:dyDescent="0.2">
      <c r="B36" s="136" t="s">
        <v>123</v>
      </c>
      <c r="C36" s="166">
        <v>33</v>
      </c>
      <c r="D36" s="151" t="s">
        <v>155</v>
      </c>
      <c r="E36" s="150">
        <v>8</v>
      </c>
      <c r="F36" s="150">
        <v>0</v>
      </c>
      <c r="G36" s="165">
        <v>154</v>
      </c>
      <c r="H36" s="226">
        <f t="shared" si="8"/>
        <v>19.25</v>
      </c>
      <c r="I36" s="227">
        <f t="shared" si="9"/>
        <v>183.13916786226685</v>
      </c>
      <c r="J36" s="363">
        <f>+Tabla2[[#This Row],[PROM DE USUARIOS]]-Tabla2[[#This Row],[USUARIOS]]</f>
        <v>29.139167862266845</v>
      </c>
      <c r="K36" s="151" t="s">
        <v>202</v>
      </c>
      <c r="L36" s="163">
        <f t="shared" si="10"/>
        <v>102456.41319942611</v>
      </c>
      <c r="M36" s="162" t="str">
        <f>+VLOOKUP(C36,Lista!B:D,3,0)</f>
        <v>MICRO</v>
      </c>
      <c r="N36" s="373">
        <f t="shared" si="11"/>
        <v>12782.5</v>
      </c>
      <c r="O36" s="50">
        <f t="shared" si="12"/>
        <v>8</v>
      </c>
      <c r="P36" s="47">
        <f t="shared" si="13"/>
        <v>175.13916786226685</v>
      </c>
      <c r="Q36" s="49">
        <f t="shared" si="14"/>
        <v>146</v>
      </c>
      <c r="R36" s="51">
        <f t="shared" si="15"/>
        <v>175.13916786226685</v>
      </c>
      <c r="S36" s="46">
        <f t="shared" si="16"/>
        <v>96326.542324246766</v>
      </c>
      <c r="T36" t="str">
        <f t="shared" si="17"/>
        <v xml:space="preserve">31 Descuentos (Transbordo) </v>
      </c>
      <c r="U36">
        <f t="shared" si="18"/>
        <v>7</v>
      </c>
      <c r="Y36" t="str">
        <f>TRIM(Tabla2[[#This Row],[CONDUCTOR]])</f>
        <v>MARULANDA JARAMILLO DAWER ANDRES</v>
      </c>
    </row>
    <row r="37" spans="2:25" x14ac:dyDescent="0.2">
      <c r="B37" s="136" t="s">
        <v>124</v>
      </c>
      <c r="C37" s="166">
        <v>34</v>
      </c>
      <c r="D37" s="151" t="s">
        <v>186</v>
      </c>
      <c r="E37" s="150">
        <v>9</v>
      </c>
      <c r="F37" s="150">
        <v>0</v>
      </c>
      <c r="G37" s="165">
        <v>250</v>
      </c>
      <c r="H37" s="226">
        <f t="shared" si="8"/>
        <v>27.777777777777779</v>
      </c>
      <c r="I37" s="227">
        <f t="shared" si="9"/>
        <v>206.03156384505019</v>
      </c>
      <c r="J37" s="363">
        <f>+Tabla2[[#This Row],[PROM DE USUARIOS]]-Tabla2[[#This Row],[USUARIOS]]</f>
        <v>-43.968436154949813</v>
      </c>
      <c r="K37" s="151" t="s">
        <v>193</v>
      </c>
      <c r="L37" s="163">
        <f t="shared" si="10"/>
        <v>115263.46484935436</v>
      </c>
      <c r="M37" s="162" t="str">
        <f>+VLOOKUP(C37,Lista!B:D,3,0)</f>
        <v>MICRO</v>
      </c>
      <c r="N37" s="373">
        <f t="shared" si="11"/>
        <v>12782.5</v>
      </c>
      <c r="O37" s="50">
        <f t="shared" si="12"/>
        <v>9</v>
      </c>
      <c r="P37" s="47">
        <f t="shared" si="13"/>
        <v>197.03156384505019</v>
      </c>
      <c r="Q37" s="49">
        <f t="shared" si="14"/>
        <v>241</v>
      </c>
      <c r="R37" s="51">
        <f t="shared" si="15"/>
        <v>197.03156384505019</v>
      </c>
      <c r="S37" s="46">
        <f t="shared" si="16"/>
        <v>108367.36011477761</v>
      </c>
      <c r="T37" t="str">
        <f t="shared" si="17"/>
        <v xml:space="preserve">6 Descuentos (Transbordo) </v>
      </c>
      <c r="U37">
        <f t="shared" si="18"/>
        <v>39</v>
      </c>
      <c r="Y37" t="str">
        <f>TRIM(Tabla2[[#This Row],[CONDUCTOR]])</f>
        <v>MONTOYA OSPINA GILBERTO ANTONIO</v>
      </c>
    </row>
    <row r="38" spans="2:25" x14ac:dyDescent="0.2">
      <c r="B38" s="136" t="s">
        <v>123</v>
      </c>
      <c r="C38" s="166">
        <v>35</v>
      </c>
      <c r="D38" s="151" t="s">
        <v>168</v>
      </c>
      <c r="E38" s="150">
        <v>9</v>
      </c>
      <c r="F38" s="150">
        <v>0</v>
      </c>
      <c r="G38" s="165">
        <v>190</v>
      </c>
      <c r="H38" s="226">
        <f t="shared" si="8"/>
        <v>21.111111111111111</v>
      </c>
      <c r="I38" s="227">
        <f t="shared" si="9"/>
        <v>206.03156384505019</v>
      </c>
      <c r="J38" s="363">
        <f>+Tabla2[[#This Row],[PROM DE USUARIOS]]-Tabla2[[#This Row],[USUARIOS]]</f>
        <v>16.031563845050187</v>
      </c>
      <c r="K38" s="151" t="s">
        <v>203</v>
      </c>
      <c r="L38" s="163">
        <f t="shared" si="10"/>
        <v>115263.46484935436</v>
      </c>
      <c r="M38" s="162">
        <f>+VLOOKUP(C38,Lista!B:D,3,0)</f>
        <v>0</v>
      </c>
      <c r="N38" s="373">
        <f t="shared" si="11"/>
        <v>12782.5</v>
      </c>
      <c r="O38" s="50">
        <f t="shared" si="12"/>
        <v>9</v>
      </c>
      <c r="P38" s="47">
        <f t="shared" si="13"/>
        <v>197.03156384505019</v>
      </c>
      <c r="Q38" s="49">
        <f t="shared" si="14"/>
        <v>181</v>
      </c>
      <c r="R38" s="51">
        <f t="shared" si="15"/>
        <v>197.03156384505019</v>
      </c>
      <c r="S38" s="46">
        <f t="shared" si="16"/>
        <v>108367.36011477761</v>
      </c>
      <c r="T38" t="str">
        <f t="shared" si="17"/>
        <v xml:space="preserve">1 Descuento (conduct) </v>
      </c>
      <c r="U38">
        <f t="shared" si="18"/>
        <v>16</v>
      </c>
      <c r="Y38" t="str">
        <f>TRIM(Tabla2[[#This Row],[CONDUCTOR]])</f>
        <v>PULGARIN GARCIA YONATHAN ANDRES</v>
      </c>
    </row>
    <row r="39" spans="2:25" x14ac:dyDescent="0.2">
      <c r="B39" s="136" t="s">
        <v>124</v>
      </c>
      <c r="C39" s="137">
        <v>36</v>
      </c>
      <c r="D39" s="151" t="s">
        <v>169</v>
      </c>
      <c r="E39" s="150">
        <v>10</v>
      </c>
      <c r="F39" s="150">
        <v>0</v>
      </c>
      <c r="G39" s="146">
        <v>286</v>
      </c>
      <c r="H39" s="226">
        <f t="shared" si="8"/>
        <v>28.6</v>
      </c>
      <c r="I39" s="227">
        <f t="shared" si="9"/>
        <v>228.92395982783356</v>
      </c>
      <c r="J39" s="363">
        <f>+Tabla2[[#This Row],[PROM DE USUARIOS]]-Tabla2[[#This Row],[USUARIOS]]</f>
        <v>-57.076040172166444</v>
      </c>
      <c r="K39" s="151" t="s">
        <v>193</v>
      </c>
      <c r="L39" s="163">
        <f t="shared" si="10"/>
        <v>128070.51649928263</v>
      </c>
      <c r="M39" s="162" t="str">
        <f>+VLOOKUP(C39,Lista!B:D,3,0)</f>
        <v>MICRO</v>
      </c>
      <c r="N39" s="373">
        <f t="shared" si="11"/>
        <v>12782.5</v>
      </c>
      <c r="O39" s="50">
        <f t="shared" si="12"/>
        <v>10</v>
      </c>
      <c r="P39" s="47">
        <f t="shared" si="13"/>
        <v>218.92395982783356</v>
      </c>
      <c r="Q39" s="49">
        <f t="shared" si="14"/>
        <v>276</v>
      </c>
      <c r="R39" s="51">
        <f t="shared" si="15"/>
        <v>218.92395982783356</v>
      </c>
      <c r="S39" s="46">
        <f t="shared" si="16"/>
        <v>120408.17790530846</v>
      </c>
      <c r="T39" t="str">
        <f t="shared" si="17"/>
        <v xml:space="preserve">6 Descuentos (Transbordo) </v>
      </c>
      <c r="U39">
        <f t="shared" si="18"/>
        <v>41</v>
      </c>
      <c r="Y39" t="str">
        <f>TRIM(Tabla2[[#This Row],[CONDUCTOR]])</f>
        <v>MARTINEZ CHAVERRA LUIS NORBERTO</v>
      </c>
    </row>
    <row r="40" spans="2:25" x14ac:dyDescent="0.2">
      <c r="B40" s="136" t="s">
        <v>123</v>
      </c>
      <c r="C40" s="166">
        <v>37</v>
      </c>
      <c r="D40" s="151" t="s">
        <v>161</v>
      </c>
      <c r="E40" s="150">
        <v>8</v>
      </c>
      <c r="F40" s="150">
        <v>0</v>
      </c>
      <c r="G40" s="165">
        <v>221</v>
      </c>
      <c r="H40" s="226">
        <f t="shared" si="8"/>
        <v>27.625</v>
      </c>
      <c r="I40" s="227">
        <f t="shared" si="9"/>
        <v>183.13916786226685</v>
      </c>
      <c r="J40" s="363">
        <f>+Tabla2[[#This Row],[PROM DE USUARIOS]]-Tabla2[[#This Row],[USUARIOS]]</f>
        <v>-37.860832137733155</v>
      </c>
      <c r="K40" s="151" t="s">
        <v>204</v>
      </c>
      <c r="L40" s="163">
        <f t="shared" si="10"/>
        <v>102456.41319942611</v>
      </c>
      <c r="M40" s="162">
        <f>+VLOOKUP(C40,Lista!B:D,3,0)</f>
        <v>0</v>
      </c>
      <c r="N40" s="373">
        <f t="shared" si="11"/>
        <v>12782.5</v>
      </c>
      <c r="O40" s="50">
        <f t="shared" si="12"/>
        <v>8</v>
      </c>
      <c r="P40" s="47">
        <f t="shared" si="13"/>
        <v>175.13916786226685</v>
      </c>
      <c r="Q40" s="49">
        <f t="shared" si="14"/>
        <v>213</v>
      </c>
      <c r="R40" s="51">
        <f t="shared" si="15"/>
        <v>175.13916786226685</v>
      </c>
      <c r="S40" s="46">
        <f t="shared" si="16"/>
        <v>96326.542324246766</v>
      </c>
      <c r="T40" t="str">
        <f t="shared" si="17"/>
        <v xml:space="preserve">7 Descuentos (Transbordo) </v>
      </c>
      <c r="U40">
        <f t="shared" si="18"/>
        <v>37</v>
      </c>
      <c r="Y40" t="str">
        <f>TRIM(Tabla2[[#This Row],[CONDUCTOR]])</f>
        <v>GUTIERREZ ARICAPA DANIEL HUMBERTO</v>
      </c>
    </row>
    <row r="41" spans="2:25" x14ac:dyDescent="0.2">
      <c r="B41" s="136" t="s">
        <v>124</v>
      </c>
      <c r="C41" s="166">
        <v>38</v>
      </c>
      <c r="D41" s="151" t="s">
        <v>150</v>
      </c>
      <c r="E41" s="150">
        <v>10</v>
      </c>
      <c r="F41" s="150">
        <v>0</v>
      </c>
      <c r="G41" s="165">
        <v>238</v>
      </c>
      <c r="H41" s="226">
        <f t="shared" si="8"/>
        <v>23.8</v>
      </c>
      <c r="I41" s="227">
        <f t="shared" si="9"/>
        <v>228.92395982783356</v>
      </c>
      <c r="J41" s="363">
        <f>+Tabla2[[#This Row],[PROM DE USUARIOS]]-Tabla2[[#This Row],[USUARIOS]]</f>
        <v>-9.0760401721664437</v>
      </c>
      <c r="K41" s="151" t="s">
        <v>193</v>
      </c>
      <c r="L41" s="163">
        <f t="shared" si="10"/>
        <v>128070.51649928263</v>
      </c>
      <c r="M41" s="162" t="str">
        <f>+VLOOKUP(C41,Lista!B:D,3,0)</f>
        <v>MICRO</v>
      </c>
      <c r="N41" s="373">
        <f t="shared" si="11"/>
        <v>12782.5</v>
      </c>
      <c r="O41" s="50">
        <f t="shared" si="12"/>
        <v>10</v>
      </c>
      <c r="P41" s="47">
        <f t="shared" si="13"/>
        <v>218.92395982783356</v>
      </c>
      <c r="Q41" s="49">
        <f t="shared" si="14"/>
        <v>228</v>
      </c>
      <c r="R41" s="51">
        <f t="shared" si="15"/>
        <v>218.92395982783356</v>
      </c>
      <c r="S41" s="46">
        <f t="shared" si="16"/>
        <v>120408.17790530846</v>
      </c>
      <c r="T41" t="str">
        <f t="shared" si="17"/>
        <v xml:space="preserve">6 Descuentos (Transbordo) </v>
      </c>
      <c r="U41">
        <f t="shared" si="18"/>
        <v>26</v>
      </c>
      <c r="Y41" t="str">
        <f>TRIM(Tabla2[[#This Row],[CONDUCTOR]])</f>
        <v>FRANCO CARVAJAL GERARDO ANTONIO</v>
      </c>
    </row>
    <row r="42" spans="2:25" x14ac:dyDescent="0.2">
      <c r="B42" s="136" t="s">
        <v>123</v>
      </c>
      <c r="C42" s="166">
        <v>39</v>
      </c>
      <c r="D42" s="151" t="s">
        <v>164</v>
      </c>
      <c r="E42" s="150">
        <v>6</v>
      </c>
      <c r="F42" s="150">
        <v>0</v>
      </c>
      <c r="G42" s="165">
        <v>142</v>
      </c>
      <c r="H42" s="226">
        <f t="shared" si="8"/>
        <v>23.666666666666668</v>
      </c>
      <c r="I42" s="227">
        <f t="shared" si="9"/>
        <v>137.35437589670013</v>
      </c>
      <c r="J42" s="363">
        <f>+Tabla2[[#This Row],[PROM DE USUARIOS]]-Tabla2[[#This Row],[USUARIOS]]</f>
        <v>-4.6456241032998662</v>
      </c>
      <c r="K42" s="151" t="s">
        <v>199</v>
      </c>
      <c r="L42" s="163">
        <f t="shared" si="10"/>
        <v>76842.309899569576</v>
      </c>
      <c r="M42" s="162" t="str">
        <f>+VLOOKUP(C42,Lista!B:D,3,0)</f>
        <v>MICRO</v>
      </c>
      <c r="N42" s="373">
        <f t="shared" si="11"/>
        <v>12782.5</v>
      </c>
      <c r="O42" s="50">
        <f t="shared" si="12"/>
        <v>6</v>
      </c>
      <c r="P42" s="47">
        <f t="shared" si="13"/>
        <v>131.35437589670013</v>
      </c>
      <c r="Q42" s="49">
        <f t="shared" si="14"/>
        <v>136</v>
      </c>
      <c r="R42" s="51">
        <f t="shared" si="15"/>
        <v>131.35437589670013</v>
      </c>
      <c r="S42" s="46">
        <f t="shared" si="16"/>
        <v>72244.906743185071</v>
      </c>
      <c r="T42" t="str">
        <f t="shared" si="17"/>
        <v xml:space="preserve">4 Descuentos (Transbordo) </v>
      </c>
      <c r="U42">
        <f t="shared" si="18"/>
        <v>25</v>
      </c>
      <c r="Y42" t="str">
        <f>TRIM(Tabla2[[#This Row],[CONDUCTOR]])</f>
        <v>PALMAR PANA EDIXON JOSUE</v>
      </c>
    </row>
    <row r="43" spans="2:25" x14ac:dyDescent="0.2">
      <c r="B43" s="136" t="s">
        <v>124</v>
      </c>
      <c r="C43" s="166">
        <v>40</v>
      </c>
      <c r="D43" s="151" t="s">
        <v>178</v>
      </c>
      <c r="E43" s="150">
        <v>9</v>
      </c>
      <c r="F43" s="150">
        <v>0</v>
      </c>
      <c r="G43" s="146">
        <v>185</v>
      </c>
      <c r="H43" s="226">
        <f t="shared" si="8"/>
        <v>20.555555555555557</v>
      </c>
      <c r="I43" s="227">
        <f t="shared" si="9"/>
        <v>206.03156384505019</v>
      </c>
      <c r="J43" s="363">
        <f>+Tabla2[[#This Row],[PROM DE USUARIOS]]-Tabla2[[#This Row],[USUARIOS]]</f>
        <v>21.031563845050187</v>
      </c>
      <c r="K43" s="151" t="s">
        <v>205</v>
      </c>
      <c r="L43" s="163">
        <f t="shared" si="10"/>
        <v>115263.46484935436</v>
      </c>
      <c r="M43" s="162" t="str">
        <f>+VLOOKUP(C43,Lista!B:D,3,0)</f>
        <v>MICRO</v>
      </c>
      <c r="N43" s="373">
        <f t="shared" si="11"/>
        <v>12782.5</v>
      </c>
      <c r="O43" s="50">
        <f t="shared" si="12"/>
        <v>9</v>
      </c>
      <c r="P43" s="47">
        <f t="shared" si="13"/>
        <v>197.03156384505019</v>
      </c>
      <c r="Q43" s="49">
        <f t="shared" si="14"/>
        <v>176</v>
      </c>
      <c r="R43" s="51">
        <f t="shared" si="15"/>
        <v>197.03156384505019</v>
      </c>
      <c r="S43" s="46">
        <f t="shared" si="16"/>
        <v>108367.36011477761</v>
      </c>
      <c r="T43" t="str">
        <f t="shared" si="17"/>
        <v xml:space="preserve">1 Descuento (Transbordo) </v>
      </c>
      <c r="U43">
        <f t="shared" si="18"/>
        <v>12</v>
      </c>
      <c r="Y43" t="str">
        <f>TRIM(Tabla2[[#This Row],[CONDUCTOR]])</f>
        <v>OCAMPO OCAMPO ANTONIO JOSE</v>
      </c>
    </row>
    <row r="44" spans="2:25" x14ac:dyDescent="0.2">
      <c r="B44" s="136" t="s">
        <v>123</v>
      </c>
      <c r="C44" s="166">
        <v>41</v>
      </c>
      <c r="D44" s="151" t="s">
        <v>160</v>
      </c>
      <c r="E44" s="150">
        <v>10</v>
      </c>
      <c r="F44" s="150">
        <v>0</v>
      </c>
      <c r="G44" s="146">
        <v>182</v>
      </c>
      <c r="H44" s="226">
        <f t="shared" si="8"/>
        <v>18.2</v>
      </c>
      <c r="I44" s="227">
        <f t="shared" si="9"/>
        <v>228.92395982783356</v>
      </c>
      <c r="J44" s="363">
        <f>+Tabla2[[#This Row],[PROM DE USUARIOS]]-Tabla2[[#This Row],[USUARIOS]]</f>
        <v>46.923959827833556</v>
      </c>
      <c r="K44" s="151"/>
      <c r="L44" s="163">
        <f t="shared" si="10"/>
        <v>128070.51649928263</v>
      </c>
      <c r="M44" s="162">
        <f>+VLOOKUP(C44,Lista!B:D,3,0)</f>
        <v>0</v>
      </c>
      <c r="N44" s="373">
        <f t="shared" si="11"/>
        <v>12782.5</v>
      </c>
      <c r="O44" s="50">
        <f t="shared" si="12"/>
        <v>10</v>
      </c>
      <c r="P44" s="47">
        <f t="shared" si="13"/>
        <v>218.92395982783356</v>
      </c>
      <c r="Q44" s="49">
        <f t="shared" si="14"/>
        <v>172</v>
      </c>
      <c r="R44" s="51">
        <f t="shared" si="15"/>
        <v>218.92395982783356</v>
      </c>
      <c r="S44" s="46">
        <f t="shared" si="16"/>
        <v>120408.17790530846</v>
      </c>
      <c r="T44" t="str">
        <f t="shared" si="17"/>
        <v/>
      </c>
      <c r="U44">
        <f t="shared" si="18"/>
        <v>4</v>
      </c>
      <c r="Y44" t="str">
        <f>TRIM(Tabla2[[#This Row],[CONDUCTOR]])</f>
        <v>GARCIA DAVID WILSON ALBERTO</v>
      </c>
    </row>
    <row r="45" spans="2:25" x14ac:dyDescent="0.2">
      <c r="B45" s="136" t="s">
        <v>124</v>
      </c>
      <c r="C45" s="166">
        <v>42</v>
      </c>
      <c r="D45" s="151" t="s">
        <v>151</v>
      </c>
      <c r="E45" s="150">
        <v>10</v>
      </c>
      <c r="F45" s="150">
        <v>0.5</v>
      </c>
      <c r="G45" s="146">
        <v>256</v>
      </c>
      <c r="H45" s="226">
        <f t="shared" si="8"/>
        <v>25.6</v>
      </c>
      <c r="I45" s="227">
        <f t="shared" si="9"/>
        <v>228.92395982783356</v>
      </c>
      <c r="J45" s="363">
        <f>+Tabla2[[#This Row],[PROM DE USUARIOS]]-Tabla2[[#This Row],[USUARIOS]]</f>
        <v>-27.076040172166444</v>
      </c>
      <c r="K45" s="151" t="s">
        <v>208</v>
      </c>
      <c r="L45" s="163">
        <f t="shared" si="10"/>
        <v>121667.10649928263</v>
      </c>
      <c r="M45" s="162">
        <f>+VLOOKUP(C45,Lista!B:D,3,0)</f>
        <v>0</v>
      </c>
      <c r="N45" s="373">
        <f t="shared" si="11"/>
        <v>12782.5</v>
      </c>
      <c r="O45" s="50">
        <f t="shared" si="12"/>
        <v>9.5</v>
      </c>
      <c r="P45" s="47">
        <f t="shared" si="13"/>
        <v>207.97795982783356</v>
      </c>
      <c r="Q45" s="49">
        <f t="shared" si="14"/>
        <v>246.5</v>
      </c>
      <c r="R45" s="51">
        <f t="shared" si="15"/>
        <v>218.92395982783356</v>
      </c>
      <c r="S45" s="46">
        <f t="shared" si="16"/>
        <v>120408.17790530846</v>
      </c>
      <c r="T45" t="str">
        <f t="shared" si="17"/>
        <v xml:space="preserve">Se descuenta 0.5 viaje de 12 18 pm ya que NO ingresa a placita zea </v>
      </c>
      <c r="U45">
        <f t="shared" si="18"/>
        <v>32</v>
      </c>
      <c r="V45">
        <v>0.5</v>
      </c>
      <c r="W45">
        <v>11.446</v>
      </c>
      <c r="Y45" t="str">
        <f>TRIM(Tabla2[[#This Row],[CONDUCTOR]])</f>
        <v>LOPERA ALVAREZ ESTIVEN</v>
      </c>
    </row>
    <row r="46" spans="2:25" x14ac:dyDescent="0.2">
      <c r="B46" s="136" t="s">
        <v>123</v>
      </c>
      <c r="C46" s="166">
        <v>43</v>
      </c>
      <c r="D46" s="151" t="s">
        <v>157</v>
      </c>
      <c r="E46" s="150">
        <v>9</v>
      </c>
      <c r="F46" s="150">
        <v>0</v>
      </c>
      <c r="G46" s="165">
        <v>244</v>
      </c>
      <c r="H46" s="226">
        <f t="shared" si="8"/>
        <v>27.111111111111111</v>
      </c>
      <c r="I46" s="227">
        <f t="shared" si="9"/>
        <v>206.03156384505019</v>
      </c>
      <c r="J46" s="363">
        <f>+Tabla2[[#This Row],[PROM DE USUARIOS]]-Tabla2[[#This Row],[USUARIOS]]</f>
        <v>-37.968436154949813</v>
      </c>
      <c r="K46" s="151"/>
      <c r="L46" s="163">
        <f t="shared" si="10"/>
        <v>115263.46484935436</v>
      </c>
      <c r="M46" s="162">
        <f>+VLOOKUP(C46,Lista!B:D,3,0)</f>
        <v>0</v>
      </c>
      <c r="N46" s="373">
        <f t="shared" si="11"/>
        <v>12782.5</v>
      </c>
      <c r="O46" s="50">
        <f t="shared" si="12"/>
        <v>9</v>
      </c>
      <c r="P46" s="47">
        <f t="shared" si="13"/>
        <v>197.03156384505019</v>
      </c>
      <c r="Q46" s="49">
        <f t="shared" si="14"/>
        <v>235</v>
      </c>
      <c r="R46" s="51">
        <f t="shared" si="15"/>
        <v>197.03156384505019</v>
      </c>
      <c r="S46" s="46">
        <f t="shared" si="16"/>
        <v>108367.36011477761</v>
      </c>
      <c r="T46" t="str">
        <f t="shared" si="17"/>
        <v/>
      </c>
      <c r="U46">
        <f t="shared" si="18"/>
        <v>36</v>
      </c>
      <c r="Y46" t="str">
        <f>TRIM(Tabla2[[#This Row],[CONDUCTOR]])</f>
        <v>CALLE BOTERO ANDRES CAMILO</v>
      </c>
    </row>
    <row r="47" spans="2:25" x14ac:dyDescent="0.2">
      <c r="B47" s="232"/>
      <c r="C47" s="239">
        <f>SUBTOTAL(102,Tabla2[VEH])</f>
        <v>40</v>
      </c>
      <c r="D47" s="233" t="s">
        <v>129</v>
      </c>
      <c r="E47" s="234">
        <f>SUBTOTAL(109,Tabla2[VIAJES])</f>
        <v>348.5</v>
      </c>
      <c r="F47" s="234">
        <f>SUBTOTAL(109,Tabla2[VIAJES PERD.])</f>
        <v>2.5</v>
      </c>
      <c r="G47" s="240">
        <f>SUBTOTAL(109,Tabla2[USUARIOS])</f>
        <v>7978</v>
      </c>
      <c r="H47" s="372">
        <f>+Tabla2[[#Totals],[USUARIOS]]/Tabla2[[#Totals],[VIAJES]]</f>
        <v>22.892395982783356</v>
      </c>
      <c r="I47" s="240">
        <f>SUBTOTAL(109,Tabla2[PROM DE USUARIOS])</f>
        <v>7978</v>
      </c>
      <c r="J47" s="371">
        <f>SUBTOTAL(109,Tabla2[RECIBE / ENTREGA])</f>
        <v>-5.9685589803848416E-13</v>
      </c>
      <c r="K47" s="235" t="s">
        <v>209</v>
      </c>
      <c r="L47" s="236"/>
      <c r="M47" s="237"/>
      <c r="N47" s="238">
        <f>SUBTOTAL(109,Tabla2[DIFER. MICRO - BUS ])</f>
        <v>511300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22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22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22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22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22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22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68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8:E1177 E7:E46">
    <cfRule type="cellIs" dxfId="30" priority="170" operator="greaterThan">
      <formula>7</formula>
    </cfRule>
  </conditionalFormatting>
  <conditionalFormatting sqref="E1487:E4765">
    <cfRule type="cellIs" dxfId="29" priority="137" operator="greaterThan">
      <formula>7</formula>
    </cfRule>
  </conditionalFormatting>
  <conditionalFormatting sqref="I48:I1249 G48:G50 I7:I46">
    <cfRule type="cellIs" dxfId="2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27" priority="297711" operator="greaterThan">
      <formula>$H$47</formula>
    </cfRule>
  </conditionalFormatting>
  <conditionalFormatting sqref="L7:L1249">
    <cfRule type="top10" dxfId="26" priority="297798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112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113</v>
      </c>
      <c r="E2" s="369"/>
      <c r="F2" s="369"/>
      <c r="G2" s="369"/>
      <c r="H2" s="369"/>
      <c r="I2" s="369"/>
      <c r="J2" s="369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117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2025-11-19T05:45:52Z</cp:lastPrinted>
  <dcterms:created xsi:type="dcterms:W3CDTF">2021-05-05T13:25:05Z</dcterms:created>
  <dcterms:modified xsi:type="dcterms:W3CDTF">2025-11-19T05:46:12Z</dcterms:modified>
</cp:coreProperties>
</file>