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B76A2568-7F44-462D-B2F4-678A2DD01F5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Import!$B$6:$N$1866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5" i="1" l="1"/>
  <c r="M25" i="1"/>
  <c r="O25" i="1"/>
  <c r="Q25" i="1" s="1"/>
  <c r="T25" i="1"/>
  <c r="H26" i="1"/>
  <c r="M26" i="1"/>
  <c r="N28" i="1" s="1"/>
  <c r="O26" i="1"/>
  <c r="Q26" i="1" s="1"/>
  <c r="T26" i="1"/>
  <c r="H27" i="1"/>
  <c r="M27" i="1"/>
  <c r="O27" i="1"/>
  <c r="Q27" i="1"/>
  <c r="T27" i="1"/>
  <c r="H28" i="1"/>
  <c r="M28" i="1"/>
  <c r="N32" i="1" s="1"/>
  <c r="O28" i="1"/>
  <c r="Q28" i="1"/>
  <c r="T28" i="1"/>
  <c r="H29" i="1"/>
  <c r="M29" i="1"/>
  <c r="O29" i="1"/>
  <c r="Q29" i="1" s="1"/>
  <c r="T29" i="1"/>
  <c r="H30" i="1"/>
  <c r="M30" i="1"/>
  <c r="O30" i="1"/>
  <c r="Q30" i="1" s="1"/>
  <c r="T30" i="1"/>
  <c r="H31" i="1"/>
  <c r="M31" i="1"/>
  <c r="O31" i="1"/>
  <c r="Q31" i="1" s="1"/>
  <c r="T31" i="1"/>
  <c r="H32" i="1"/>
  <c r="M32" i="1"/>
  <c r="O32" i="1"/>
  <c r="Q32" i="1" s="1"/>
  <c r="T32" i="1"/>
  <c r="H33" i="1"/>
  <c r="M33" i="1"/>
  <c r="O33" i="1"/>
  <c r="Q33" i="1" s="1"/>
  <c r="T33" i="1"/>
  <c r="H34" i="1"/>
  <c r="M34" i="1"/>
  <c r="O34" i="1"/>
  <c r="Q34" i="1" s="1"/>
  <c r="T34" i="1"/>
  <c r="H35" i="1"/>
  <c r="M35" i="1"/>
  <c r="O35" i="1"/>
  <c r="Q35" i="1"/>
  <c r="T35" i="1"/>
  <c r="H36" i="1"/>
  <c r="M36" i="1"/>
  <c r="N31" i="1" s="1"/>
  <c r="O36" i="1"/>
  <c r="Q36" i="1"/>
  <c r="T36" i="1"/>
  <c r="H37" i="1"/>
  <c r="M37" i="1"/>
  <c r="O37" i="1"/>
  <c r="Q37" i="1" s="1"/>
  <c r="T37" i="1"/>
  <c r="H38" i="1"/>
  <c r="M38" i="1"/>
  <c r="O38" i="1"/>
  <c r="Q38" i="1" s="1"/>
  <c r="T38" i="1"/>
  <c r="H39" i="1"/>
  <c r="M39" i="1"/>
  <c r="O39" i="1"/>
  <c r="Q39" i="1"/>
  <c r="T39" i="1"/>
  <c r="H40" i="1"/>
  <c r="M40" i="1"/>
  <c r="N35" i="1" s="1"/>
  <c r="O40" i="1"/>
  <c r="Q40" i="1"/>
  <c r="T40" i="1"/>
  <c r="H41" i="1"/>
  <c r="M41" i="1"/>
  <c r="O41" i="1"/>
  <c r="Q41" i="1" s="1"/>
  <c r="T41" i="1"/>
  <c r="H42" i="1"/>
  <c r="M42" i="1"/>
  <c r="O42" i="1"/>
  <c r="Q42" i="1" s="1"/>
  <c r="T42" i="1"/>
  <c r="H43" i="1"/>
  <c r="M43" i="1"/>
  <c r="O43" i="1"/>
  <c r="Q43" i="1"/>
  <c r="T43" i="1"/>
  <c r="H44" i="1"/>
  <c r="M44" i="1"/>
  <c r="N39" i="1" s="1"/>
  <c r="O44" i="1"/>
  <c r="Q44" i="1"/>
  <c r="T44" i="1"/>
  <c r="H45" i="1"/>
  <c r="M45" i="1"/>
  <c r="O45" i="1"/>
  <c r="Q45" i="1" s="1"/>
  <c r="T45" i="1"/>
  <c r="C46" i="1"/>
  <c r="G46" i="1"/>
  <c r="F46" i="1"/>
  <c r="E46" i="1"/>
  <c r="G11" i="6"/>
  <c r="F11" i="6"/>
  <c r="E11" i="6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O7" i="1"/>
  <c r="Q7" i="1" s="1"/>
  <c r="O8" i="1"/>
  <c r="Q8" i="1" s="1"/>
  <c r="O9" i="1"/>
  <c r="Q9" i="1" s="1"/>
  <c r="O10" i="1"/>
  <c r="Q10" i="1" s="1"/>
  <c r="O11" i="1"/>
  <c r="Q11" i="1" s="1"/>
  <c r="O12" i="1"/>
  <c r="Q12" i="1" s="1"/>
  <c r="O13" i="1"/>
  <c r="Q13" i="1" s="1"/>
  <c r="O14" i="1"/>
  <c r="Q14" i="1" s="1"/>
  <c r="O15" i="1"/>
  <c r="Q15" i="1" s="1"/>
  <c r="O16" i="1"/>
  <c r="Q16" i="1" s="1"/>
  <c r="O17" i="1"/>
  <c r="Q17" i="1" s="1"/>
  <c r="O18" i="1"/>
  <c r="Q18" i="1" s="1"/>
  <c r="O19" i="1"/>
  <c r="Q19" i="1" s="1"/>
  <c r="O20" i="1"/>
  <c r="Q20" i="1" s="1"/>
  <c r="O21" i="1"/>
  <c r="Q21" i="1" s="1"/>
  <c r="O22" i="1"/>
  <c r="Q22" i="1" s="1"/>
  <c r="O23" i="1"/>
  <c r="Q23" i="1" s="1"/>
  <c r="O24" i="1"/>
  <c r="Q24" i="1" s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H19" i="1"/>
  <c r="H9" i="1"/>
  <c r="H10" i="1"/>
  <c r="H11" i="1"/>
  <c r="H12" i="1"/>
  <c r="H13" i="1"/>
  <c r="H14" i="1"/>
  <c r="H15" i="1"/>
  <c r="H16" i="1"/>
  <c r="H17" i="1"/>
  <c r="H18" i="1"/>
  <c r="H20" i="1"/>
  <c r="H21" i="1"/>
  <c r="H22" i="1"/>
  <c r="H23" i="1"/>
  <c r="H24" i="1"/>
  <c r="H7" i="1"/>
  <c r="H8" i="1"/>
  <c r="T46" i="1"/>
  <c r="O46" i="1"/>
  <c r="Q46" i="1" s="1"/>
  <c r="T47" i="1"/>
  <c r="O47" i="1"/>
  <c r="Q47" i="1" s="1"/>
  <c r="P3" i="6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H11" i="3"/>
  <c r="D12" i="3"/>
  <c r="D13" i="3"/>
  <c r="E12" i="3"/>
  <c r="AP6" i="3"/>
  <c r="E13" i="3"/>
  <c r="I10" i="1" l="1"/>
  <c r="J10" i="1" s="1"/>
  <c r="I34" i="1"/>
  <c r="P34" i="1" s="1"/>
  <c r="L34" i="1" s="1"/>
  <c r="I39" i="1"/>
  <c r="J39" i="1" s="1"/>
  <c r="I40" i="1"/>
  <c r="J40" i="1" s="1"/>
  <c r="I29" i="1"/>
  <c r="J29" i="1" s="1"/>
  <c r="I25" i="1"/>
  <c r="J25" i="1" s="1"/>
  <c r="I33" i="1"/>
  <c r="J33" i="1" s="1"/>
  <c r="I38" i="1"/>
  <c r="I37" i="1"/>
  <c r="P25" i="1"/>
  <c r="L25" i="1" s="1"/>
  <c r="I43" i="1"/>
  <c r="J43" i="1" s="1"/>
  <c r="I42" i="1"/>
  <c r="I41" i="1"/>
  <c r="I32" i="1"/>
  <c r="J32" i="1" s="1"/>
  <c r="I31" i="1"/>
  <c r="J31" i="1" s="1"/>
  <c r="I28" i="1"/>
  <c r="J28" i="1" s="1"/>
  <c r="I27" i="1"/>
  <c r="J27" i="1" s="1"/>
  <c r="I44" i="1"/>
  <c r="J44" i="1" s="1"/>
  <c r="I45" i="1"/>
  <c r="I36" i="1"/>
  <c r="J36" i="1" s="1"/>
  <c r="I35" i="1"/>
  <c r="J35" i="1" s="1"/>
  <c r="I30" i="1"/>
  <c r="I26" i="1"/>
  <c r="N43" i="1"/>
  <c r="N27" i="1"/>
  <c r="N42" i="1"/>
  <c r="N38" i="1"/>
  <c r="N34" i="1"/>
  <c r="N30" i="1"/>
  <c r="N26" i="1"/>
  <c r="N41" i="1"/>
  <c r="N37" i="1"/>
  <c r="N33" i="1"/>
  <c r="N29" i="1"/>
  <c r="N25" i="1"/>
  <c r="N45" i="1"/>
  <c r="N44" i="1"/>
  <c r="N40" i="1"/>
  <c r="N36" i="1"/>
  <c r="I23" i="1"/>
  <c r="J23" i="1" s="1"/>
  <c r="I12" i="1"/>
  <c r="P12" i="1" s="1"/>
  <c r="L12" i="1" s="1"/>
  <c r="I17" i="1"/>
  <c r="P17" i="1" s="1"/>
  <c r="L17" i="1" s="1"/>
  <c r="I8" i="1"/>
  <c r="J8" i="1" s="1"/>
  <c r="I7" i="1"/>
  <c r="J7" i="1" s="1"/>
  <c r="I16" i="1"/>
  <c r="P16" i="1" s="1"/>
  <c r="L16" i="1" s="1"/>
  <c r="I11" i="1"/>
  <c r="P11" i="1" s="1"/>
  <c r="L11" i="1" s="1"/>
  <c r="I24" i="1"/>
  <c r="P24" i="1" s="1"/>
  <c r="L24" i="1" s="1"/>
  <c r="I21" i="1"/>
  <c r="J21" i="1" s="1"/>
  <c r="I15" i="1"/>
  <c r="P15" i="1" s="1"/>
  <c r="L15" i="1" s="1"/>
  <c r="I9" i="1"/>
  <c r="J9" i="1" s="1"/>
  <c r="I20" i="1"/>
  <c r="J20" i="1" s="1"/>
  <c r="I13" i="1"/>
  <c r="P13" i="1" s="1"/>
  <c r="L13" i="1" s="1"/>
  <c r="I19" i="1"/>
  <c r="J19" i="1" s="1"/>
  <c r="I22" i="1"/>
  <c r="J22" i="1" s="1"/>
  <c r="I18" i="1"/>
  <c r="J18" i="1" s="1"/>
  <c r="I14" i="1"/>
  <c r="J14" i="1" s="1"/>
  <c r="N8" i="1"/>
  <c r="H46" i="1"/>
  <c r="U10" i="1" s="1"/>
  <c r="N23" i="1"/>
  <c r="N19" i="1"/>
  <c r="N15" i="1"/>
  <c r="N11" i="1"/>
  <c r="N7" i="1"/>
  <c r="N22" i="1"/>
  <c r="N18" i="1"/>
  <c r="N14" i="1"/>
  <c r="N10" i="1"/>
  <c r="N21" i="1"/>
  <c r="N17" i="1"/>
  <c r="N13" i="1"/>
  <c r="N9" i="1"/>
  <c r="N24" i="1"/>
  <c r="N20" i="1"/>
  <c r="N16" i="1"/>
  <c r="N12" i="1"/>
  <c r="P10" i="1"/>
  <c r="L10" i="1" s="1"/>
  <c r="U46" i="1"/>
  <c r="P46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M11" i="6" s="1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U43" i="1" l="1"/>
  <c r="U35" i="1"/>
  <c r="U39" i="1"/>
  <c r="U30" i="1"/>
  <c r="U41" i="1"/>
  <c r="U28" i="1"/>
  <c r="U37" i="1"/>
  <c r="U33" i="1"/>
  <c r="U40" i="1"/>
  <c r="U31" i="1"/>
  <c r="U36" i="1"/>
  <c r="U27" i="1"/>
  <c r="U44" i="1"/>
  <c r="U26" i="1"/>
  <c r="U29" i="1"/>
  <c r="U42" i="1"/>
  <c r="U34" i="1"/>
  <c r="U32" i="1"/>
  <c r="U38" i="1"/>
  <c r="U45" i="1"/>
  <c r="U25" i="1"/>
  <c r="J12" i="1"/>
  <c r="P27" i="1"/>
  <c r="L27" i="1" s="1"/>
  <c r="J34" i="1"/>
  <c r="P40" i="1"/>
  <c r="L40" i="1" s="1"/>
  <c r="P33" i="1"/>
  <c r="L33" i="1" s="1"/>
  <c r="P39" i="1"/>
  <c r="L39" i="1" s="1"/>
  <c r="P43" i="1"/>
  <c r="L43" i="1" s="1"/>
  <c r="P29" i="1"/>
  <c r="L29" i="1" s="1"/>
  <c r="P35" i="1"/>
  <c r="L35" i="1" s="1"/>
  <c r="P26" i="1"/>
  <c r="L26" i="1" s="1"/>
  <c r="J26" i="1"/>
  <c r="P42" i="1"/>
  <c r="L42" i="1" s="1"/>
  <c r="J42" i="1"/>
  <c r="P44" i="1"/>
  <c r="L44" i="1" s="1"/>
  <c r="P7" i="1"/>
  <c r="L7" i="1" s="1"/>
  <c r="I46" i="1"/>
  <c r="P30" i="1"/>
  <c r="L30" i="1" s="1"/>
  <c r="J30" i="1"/>
  <c r="P36" i="1"/>
  <c r="L36" i="1" s="1"/>
  <c r="P38" i="1"/>
  <c r="L38" i="1" s="1"/>
  <c r="J38" i="1"/>
  <c r="P28" i="1"/>
  <c r="L28" i="1" s="1"/>
  <c r="J37" i="1"/>
  <c r="P37" i="1"/>
  <c r="L37" i="1" s="1"/>
  <c r="P31" i="1"/>
  <c r="L31" i="1" s="1"/>
  <c r="P32" i="1"/>
  <c r="L32" i="1" s="1"/>
  <c r="J45" i="1"/>
  <c r="P45" i="1"/>
  <c r="L45" i="1" s="1"/>
  <c r="J41" i="1"/>
  <c r="P41" i="1"/>
  <c r="L41" i="1" s="1"/>
  <c r="P23" i="1"/>
  <c r="L23" i="1" s="1"/>
  <c r="J17" i="1"/>
  <c r="U14" i="1"/>
  <c r="U12" i="1"/>
  <c r="U17" i="1"/>
  <c r="P9" i="1"/>
  <c r="L9" i="1" s="1"/>
  <c r="U15" i="1"/>
  <c r="J13" i="1"/>
  <c r="U23" i="1"/>
  <c r="P8" i="1"/>
  <c r="L8" i="1" s="1"/>
  <c r="J11" i="1"/>
  <c r="U24" i="1"/>
  <c r="U7" i="1"/>
  <c r="U11" i="1"/>
  <c r="U9" i="1"/>
  <c r="U13" i="1"/>
  <c r="P14" i="1"/>
  <c r="L14" i="1" s="1"/>
  <c r="U20" i="1"/>
  <c r="U22" i="1"/>
  <c r="U8" i="1"/>
  <c r="J16" i="1"/>
  <c r="U16" i="1"/>
  <c r="U19" i="1"/>
  <c r="U18" i="1"/>
  <c r="U21" i="1"/>
  <c r="P21" i="1"/>
  <c r="L21" i="1" s="1"/>
  <c r="P22" i="1"/>
  <c r="L22" i="1" s="1"/>
  <c r="J24" i="1"/>
  <c r="J15" i="1"/>
  <c r="P19" i="1"/>
  <c r="L19" i="1" s="1"/>
  <c r="P20" i="1"/>
  <c r="L20" i="1" s="1"/>
  <c r="P18" i="1"/>
  <c r="L18" i="1" s="1"/>
  <c r="N46" i="1"/>
  <c r="U48" i="1"/>
  <c r="U47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6" i="1" l="1"/>
  <c r="R25" i="1"/>
  <c r="S25" i="1" s="1"/>
  <c r="R26" i="1"/>
  <c r="S26" i="1" s="1"/>
  <c r="R29" i="1"/>
  <c r="S29" i="1" s="1"/>
  <c r="R30" i="1"/>
  <c r="S30" i="1" s="1"/>
  <c r="R35" i="1"/>
  <c r="S35" i="1" s="1"/>
  <c r="R40" i="1"/>
  <c r="S40" i="1" s="1"/>
  <c r="R45" i="1"/>
  <c r="S45" i="1" s="1"/>
  <c r="R38" i="1"/>
  <c r="S38" i="1" s="1"/>
  <c r="R43" i="1"/>
  <c r="S43" i="1" s="1"/>
  <c r="R27" i="1"/>
  <c r="S27" i="1" s="1"/>
  <c r="R31" i="1"/>
  <c r="S31" i="1" s="1"/>
  <c r="R36" i="1"/>
  <c r="S36" i="1" s="1"/>
  <c r="R41" i="1"/>
  <c r="S41" i="1" s="1"/>
  <c r="R42" i="1"/>
  <c r="S42" i="1" s="1"/>
  <c r="R33" i="1"/>
  <c r="S33" i="1" s="1"/>
  <c r="R28" i="1"/>
  <c r="S28" i="1" s="1"/>
  <c r="R32" i="1"/>
  <c r="S32" i="1" s="1"/>
  <c r="R37" i="1"/>
  <c r="S37" i="1" s="1"/>
  <c r="R34" i="1"/>
  <c r="S34" i="1" s="1"/>
  <c r="R39" i="1"/>
  <c r="S39" i="1" s="1"/>
  <c r="R44" i="1"/>
  <c r="S44" i="1" s="1"/>
  <c r="R10" i="1"/>
  <c r="S10" i="1" s="1"/>
  <c r="R14" i="1"/>
  <c r="S14" i="1" s="1"/>
  <c r="R18" i="1"/>
  <c r="S18" i="1" s="1"/>
  <c r="R22" i="1"/>
  <c r="S22" i="1" s="1"/>
  <c r="R13" i="1"/>
  <c r="S13" i="1" s="1"/>
  <c r="R17" i="1"/>
  <c r="S17" i="1" s="1"/>
  <c r="R21" i="1"/>
  <c r="S21" i="1" s="1"/>
  <c r="R7" i="1"/>
  <c r="S7" i="1" s="1"/>
  <c r="R11" i="1"/>
  <c r="S11" i="1" s="1"/>
  <c r="R15" i="1"/>
  <c r="S15" i="1" s="1"/>
  <c r="R19" i="1"/>
  <c r="S19" i="1" s="1"/>
  <c r="R23" i="1"/>
  <c r="S23" i="1" s="1"/>
  <c r="R9" i="1"/>
  <c r="S9" i="1" s="1"/>
  <c r="R8" i="1"/>
  <c r="S8" i="1" s="1"/>
  <c r="R12" i="1"/>
  <c r="S12" i="1" s="1"/>
  <c r="R16" i="1"/>
  <c r="S16" i="1" s="1"/>
  <c r="R20" i="1"/>
  <c r="S20" i="1" s="1"/>
  <c r="R24" i="1"/>
  <c r="S24" i="1" s="1"/>
  <c r="R46" i="1"/>
  <c r="S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<sst xmlns="http://schemas.openxmlformats.org/spreadsheetml/2006/main" count="318" uniqueCount="202">
  <si>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</si>
  <si>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</si>
  <si>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</si>
  <si>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</si>
  <si>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</si>
  <si>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</si>
  <si>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</si>
  <si>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</si>
  <si>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</si>
  <si>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</si>
  <si>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</si>
  <si>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</si>
  <si>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</si>
  <si>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</si>
  <si>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</si>
  <si>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</si>
  <si>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</si>
  <si>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</si>
  <si>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</si>
  <si>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</si>
  <si>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TPP852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</si>
  <si>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</si>
  <si>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</si>
  <si>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</si>
  <si>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</si>
  <si>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</si>
  <si>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</si>
  <si>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</si>
  <si>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</si>
  <si>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</si>
  <si>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</si>
  <si>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</si>
  <si>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</si>
  <si>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</si>
  <si>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</si>
  <si>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</si>
  <si>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</si>
  <si>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</si>
  <si>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TPY994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</si>
  <si>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</si>
  <si>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</si>
  <si>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</si>
  <si>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</si>
  <si>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</si>
  <si>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</si>
  <si>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</si>
  <si>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</si>
  <si>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</si>
  <si>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</si>
  <si>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</si>
  <si>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</si>
  <si>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</si>
  <si>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</si>
  <si>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</si>
  <si>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</si>
  <si>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</si>
  <si>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</si>
  <si>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</si>
  <si>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</si>
  <si>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</si>
  <si>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</si>
  <si>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</si>
  <si>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</si>
  <si>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</si>
  <si>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</si>
  <si>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</si>
  <si>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</si>
  <si>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</si>
  <si>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</si>
  <si>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</si>
  <si>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</si>
  <si>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</si>
  <si>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</si>
  <si>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</si>
  <si>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</si>
  <si>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</si>
  <si>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</si>
  <si>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</si>
  <si>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</si>
  <si>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</si>
  <si>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</si>
  <si>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</si>
  <si>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</si>
  <si>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</si>
  <si>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</si>
  <si>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</si>
  <si>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</si>
  <si>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</si>
  <si>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</si>
  <si>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</si>
  <si>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</si>
  <si>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</si>
  <si>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</si>
  <si>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</si>
  <si>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</si>
  <si>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</si>
  <si>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</si>
  <si>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</si>
  <si>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</si>
  <si>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</si>
  <si>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</si>
  <si>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</si>
  <si>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</si>
  <si>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</si>
  <si>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</si>
  <si>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</si>
  <si>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</si>
  <si>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</si>
  <si>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</si>
  <si>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</si>
  <si>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</si>
  <si>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</si>
  <si>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</si>
  <si>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</si>
  <si>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</si>
  <si>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</si>
  <si>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</si>
  <si>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</si>
  <si>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</si>
  <si>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</si>
  <si>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</si>
  <si>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</si>
  <si>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</si>
  <si>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</si>
  <si>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</si>
  <si>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</si>
  <si>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</si>
  <si>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</si>
  <si>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</si>
  <si>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</si>
  <si>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</si>
  <si>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</si>
  <si>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</si>
  <si>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</si>
  <si>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</si>
  <si>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</si>
  <si>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</si>
  <si>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</si>
  <si>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</si>
  <si>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</si>
  <si>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</si>
  <si>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</si>
  <si>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</si>
  <si>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</si>
  <si>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</si>
  <si>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</si>
  <si>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</si>
  <si>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</si>
  <si>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CARTAGENA RAMIREZ FREDY ALONSO</t>
  </si>
  <si>
    <t>ARAQUE ARROYAVE JOSE ALBEIRO</t>
  </si>
  <si>
    <t>PALACIO ARIAS YORFAN ALEXIS</t>
  </si>
  <si>
    <t>IBARGUEN GARRIDO JUAN ESTEBAN</t>
  </si>
  <si>
    <t>LOPEZ PINEDA DANIEL ESTIVEN</t>
  </si>
  <si>
    <t>ALBERTO ARISTIZABAL RAFAEL</t>
  </si>
  <si>
    <t>HERNANDEZ MACIAS GILBERTO</t>
  </si>
  <si>
    <t>AGUDELO GARCIA DENIN ANGELO</t>
  </si>
  <si>
    <t>PALMAR PANA EDIXON JOSUE</t>
  </si>
  <si>
    <t>YEPES TORRES JHON ALEXANDER</t>
  </si>
  <si>
    <t>OSORIO URREGO SANTIAGO</t>
  </si>
  <si>
    <t>AGUDELO GARCIA LLORDIN ELIAS</t>
  </si>
  <si>
    <t>OCAMPO OCAMPO ANTONIO JOSE</t>
  </si>
  <si>
    <t>QUIRAMA CASTAÑEDA JHON JADER</t>
  </si>
  <si>
    <t>LAYOS JIMENEZ JOHAN CAMILO</t>
  </si>
  <si>
    <t>SANCHEZ BETANCOURT FRANSCISCO</t>
  </si>
  <si>
    <t>JIMENEZ HURTADO CARLOS ESTIVEN</t>
  </si>
  <si>
    <t>GONZALEZ PEREZ RAFAEL JOSE</t>
  </si>
  <si>
    <t>GUTIERREZ ARICAPA DANIEL HUMBERTO</t>
  </si>
  <si>
    <t>VERENZUELA MARTINEZ ALEXANDER</t>
  </si>
  <si>
    <t>HINCAPIE VILLA JUAN ESTIVEN</t>
  </si>
  <si>
    <t>PEREZ GARCIA JUAN ESTEBAN</t>
  </si>
  <si>
    <t>JIMENEZ HERNANDEZ ESTEBAN CAMILO</t>
  </si>
  <si>
    <t>TABORDA ROJAS DIEGO ALEJANDRO</t>
  </si>
  <si>
    <t>ESPINOZA CHAVARRIA GUILLERMO LEON</t>
  </si>
  <si>
    <t>JARAMILLO JARAMILLO FRANCISCO WBEIMAR</t>
  </si>
  <si>
    <t>MACIAS HERNANDEZ JULIAN DAVID</t>
  </si>
  <si>
    <t>FLORES RINCON JORGE ALBERTO</t>
  </si>
  <si>
    <t>GARCIA DAVID WILSON ALBERTO</t>
  </si>
  <si>
    <t>CALLE BOTERO ANDRES CAMILO</t>
  </si>
  <si>
    <t>SUAREZ ESCUDERO JONATAN</t>
  </si>
  <si>
    <t>PARIAS MURIEL JHON FREDY</t>
  </si>
  <si>
    <t xml:space="preserve">CIRO MARIN RODRIGO ALBERTO </t>
  </si>
  <si>
    <t xml:space="preserve">SALDARRIAGA PARRA LUIS ALBERTO </t>
  </si>
  <si>
    <t xml:space="preserve">MARTINEZ CHAVERRA LUIS NORBERTO </t>
  </si>
  <si>
    <t>MURILLO YORMAN ANDRES</t>
  </si>
  <si>
    <t xml:space="preserve">MONTOYA OSPINA GILBERTO ANTONIO </t>
  </si>
  <si>
    <t xml:space="preserve">PARRA VILLA YUBER ALONSO </t>
  </si>
  <si>
    <t xml:space="preserve">11 Descuentos (Transbordo) </t>
  </si>
  <si>
    <t xml:space="preserve">8 Descuentos (Transbordo) </t>
  </si>
  <si>
    <t xml:space="preserve">4 Descuentos (Transbordo y conduct) </t>
  </si>
  <si>
    <t xml:space="preserve">2 Descuentos (Transbordo) </t>
  </si>
  <si>
    <t xml:space="preserve">13 Descuentos (Transbordo y conduct) </t>
  </si>
  <si>
    <t xml:space="preserve">5 Descuentos (Transbordo) </t>
  </si>
  <si>
    <t xml:space="preserve">1 Descuento (Usuario desubicado) </t>
  </si>
  <si>
    <t xml:space="preserve">3 Descuentos (Conducts) </t>
  </si>
  <si>
    <t xml:space="preserve">4 Descuentos (Transbordo) </t>
  </si>
  <si>
    <t xml:space="preserve">1 Descuento (Despachador) </t>
  </si>
  <si>
    <t xml:space="preserve">3 Descuentos (Transbordo) </t>
  </si>
  <si>
    <t xml:space="preserve">1 Descuento (Transbordo) </t>
  </si>
  <si>
    <t xml:space="preserve">10 Descuentos (Transbordo y usuario desubicado) </t>
  </si>
  <si>
    <t xml:space="preserve">HENRY DAVID Realizó 7 viajes donde movilizó 183 usuarios. 4 Descuentos (transbordo, asociado y usuario desubicado)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</si>
  <si>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21.4 USUARIOS</t>
    </r>
  </si>
  <si>
    <t xml:space="preserve">Se descuenta 0.5 viaje de 11 23 am ya que NO ingresa a placita zea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</si>
</sst>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0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169" fontId="34" fillId="0" borderId="8" xfId="5" applyNumberFormat="1" applyFont="1" applyFill="1" applyBorder="1" applyAlignment="1">
      <alignment horizontal="right" vertic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Import!$C$7:$C$46</c:f>
              <c:numCache>
                <c:formatCode>0</c:formatCode>
                <c:ptCount val="3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 formatCode="General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14</c:v>
                </c:pt>
                <c:pt idx="12">
                  <c:v>15</c:v>
                </c:pt>
                <c:pt idx="13" formatCode="General">
                  <c:v>16</c:v>
                </c:pt>
                <c:pt idx="14">
                  <c:v>18</c:v>
                </c:pt>
                <c:pt idx="15" formatCode="General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 formatCode="General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 formatCode="General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</c:numCache>
            </c:numRef>
          </c:cat>
          <c:val>
            <c:numRef>
              <c:f>Import!$H$7:$H$46</c:f>
              <c:numCache>
                <c:formatCode>_-* #,##0.0_-;\-* #,##0.0_-;_-* "-"??_-;_-@_-</c:formatCode>
                <c:ptCount val="39"/>
                <c:pt idx="0">
                  <c:v>17.333333333333332</c:v>
                </c:pt>
                <c:pt idx="1">
                  <c:v>20.222222222222221</c:v>
                </c:pt>
                <c:pt idx="2">
                  <c:v>22.625</c:v>
                </c:pt>
                <c:pt idx="3">
                  <c:v>20.111111111111111</c:v>
                </c:pt>
                <c:pt idx="4">
                  <c:v>18.100000000000001</c:v>
                </c:pt>
                <c:pt idx="5">
                  <c:v>19.888888888888889</c:v>
                </c:pt>
                <c:pt idx="6">
                  <c:v>21.777777777777779</c:v>
                </c:pt>
                <c:pt idx="7">
                  <c:v>22</c:v>
                </c:pt>
                <c:pt idx="8">
                  <c:v>22.142857142857142</c:v>
                </c:pt>
                <c:pt idx="9">
                  <c:v>24.571428571428573</c:v>
                </c:pt>
                <c:pt idx="10">
                  <c:v>16.888888888888889</c:v>
                </c:pt>
                <c:pt idx="11">
                  <c:v>18.3</c:v>
                </c:pt>
                <c:pt idx="12">
                  <c:v>21.222222222222221</c:v>
                </c:pt>
                <c:pt idx="13">
                  <c:v>19.222222222222221</c:v>
                </c:pt>
                <c:pt idx="14">
                  <c:v>22.333333333333332</c:v>
                </c:pt>
                <c:pt idx="15">
                  <c:v>16.666666666666668</c:v>
                </c:pt>
                <c:pt idx="16">
                  <c:v>21.333333333333332</c:v>
                </c:pt>
                <c:pt idx="17">
                  <c:v>26.272727272727273</c:v>
                </c:pt>
                <c:pt idx="18">
                  <c:v>24</c:v>
                </c:pt>
                <c:pt idx="19">
                  <c:v>21.1</c:v>
                </c:pt>
                <c:pt idx="20">
                  <c:v>25.777777777777779</c:v>
                </c:pt>
                <c:pt idx="21">
                  <c:v>20.666666666666668</c:v>
                </c:pt>
                <c:pt idx="22">
                  <c:v>17.833333333333332</c:v>
                </c:pt>
                <c:pt idx="23">
                  <c:v>24.3</c:v>
                </c:pt>
                <c:pt idx="24">
                  <c:v>25.545454545454547</c:v>
                </c:pt>
                <c:pt idx="25">
                  <c:v>26.666666666666668</c:v>
                </c:pt>
                <c:pt idx="26">
                  <c:v>20.3</c:v>
                </c:pt>
                <c:pt idx="27">
                  <c:v>23</c:v>
                </c:pt>
                <c:pt idx="28">
                  <c:v>23</c:v>
                </c:pt>
                <c:pt idx="29">
                  <c:v>20.46153846153846</c:v>
                </c:pt>
                <c:pt idx="30">
                  <c:v>22.875</c:v>
                </c:pt>
                <c:pt idx="31">
                  <c:v>24.1</c:v>
                </c:pt>
                <c:pt idx="32">
                  <c:v>21.2</c:v>
                </c:pt>
                <c:pt idx="33">
                  <c:v>20.25</c:v>
                </c:pt>
                <c:pt idx="34">
                  <c:v>21.75</c:v>
                </c:pt>
                <c:pt idx="35">
                  <c:v>20.5</c:v>
                </c:pt>
                <c:pt idx="36">
                  <c:v>23.8</c:v>
                </c:pt>
                <c:pt idx="37">
                  <c:v>20</c:v>
                </c:pt>
                <c:pt idx="38">
                  <c:v>21.444444444444443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4336"/>
    <xdr:ext cx="2946797" cy="1740385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0" y="4336"/>
          <a:ext cx="2946797" cy="1740385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6" totalsRowCount="1" headerRowDxfId="62" dataDxfId="61" totalsRowDxfId="60">
  <sortState xmlns:xlrd2="http://schemas.microsoft.com/office/spreadsheetml/2017/richdata2" ref="B7:N28">
    <sortCondition descending="1" ref="H7:H28"/>
  </sortState>
  <tableColumns count="13">
    <tableColumn id="1" xr3:uid="{00000000-0010-0000-0000-000001000000}" name="RUTA" dataDxfId="25" totalsRowDxfId="12"/>
    <tableColumn id="2" xr3:uid="{00000000-0010-0000-0000-000002000000}" name="VEH" totalsRowFunction="countNums" dataDxfId="24" totalsRowDxfId="11"/>
    <tableColumn id="3" xr3:uid="{00000000-0010-0000-0000-000003000000}" name="CONDUCTOR" totalsRowLabel="Vehs " dataDxfId="23" totalsRowDxfId="10"/>
    <tableColumn id="4" xr3:uid="{00000000-0010-0000-0000-000004000000}" name="VIAJES" totalsRowFunction="sum" dataDxfId="22" totalsRowDxfId="9"/>
    <tableColumn id="5" xr3:uid="{00000000-0010-0000-0000-000005000000}" name="VIAJES PERD." totalsRowFunction="sum" dataDxfId="21" totalsRowDxfId="8"/>
    <tableColumn id="6" xr3:uid="{00000000-0010-0000-0000-000006000000}" name="USUARIOS" totalsRowFunction="sum" dataDxfId="20" totalsRowDxfId="7" dataCellStyle="Millares"/>
    <tableColumn id="12" xr3:uid="{00000000-0010-0000-0000-00000C000000}" name="PROM X VIAJE" totalsRowFunction="custom" dataDxfId="19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18" totalsRowDxfId="5" dataCellStyle="Millares"/>
    <tableColumn id="13" xr3:uid="{FCD2DCC9-9A34-483A-B1DC-9E398E7F3EDE}" name="RECIBE / ENTREGA" totalsRowFunction="sum" dataDxfId="17" totalsRowDxfId="4" dataCellStyle="Millares"/>
    <tableColumn id="8" xr3:uid="{00000000-0010-0000-0000-000008000000}" name="NOVEDADES" totalsRowLabel="PROMEDIO X VIAJE 21.4 USUARIOS" dataDxfId="16" totalsRowDxfId="3"/>
    <tableColumn id="9" xr3:uid="{00000000-0010-0000-0000-000009000000}" name="VALOR OPERACIÓN" dataDxfId="15" totalsRowDxfId="2"/>
    <tableColumn id="10" xr3:uid="{00000000-0010-0000-0000-00000A000000}" name="CLASIFIC." dataDxfId="14" totalsRowDxfId="1"/>
    <tableColumn id="11" xr3:uid="{00000000-0010-0000-0000-00000B000000}" name="DIFER. MICRO - BUS " totalsRowFunction="sum" dataDxfId="13" totalsRowDxfId="0" dataCellStyle="Millares">
      <calculatedColumnFormula>+(SUMIFS(G:G,M:M,"MICRO",E:E,"&gt;0")*100)/COUNTIF($E$7:$E$45,"&gt;0")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59" dataDxfId="58" totalsRowDxfId="5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6" totalsRowDxfId="55"/>
    <tableColumn id="2" xr3:uid="{7E9A4909-E53D-4F94-80A1-A675A394CC57}" name="VEH" totalsRowLabel="4" dataDxfId="54" totalsRowDxfId="53"/>
    <tableColumn id="3" xr3:uid="{32EB6A87-92EF-4CA2-B1E8-104D5D2326F5}" name="CONDUCTOR" totalsRowLabel="Vehs " dataDxfId="52" totalsRowDxfId="51"/>
    <tableColumn id="4" xr3:uid="{72FB169E-4910-4353-AF10-07DA297F0CD5}" name="VIAJES" totalsRowFunction="sum" dataDxfId="50" totalsRowDxfId="49"/>
    <tableColumn id="5" xr3:uid="{F323DE89-3087-4D39-B0ED-15680CB2FE01}" name="VIAJES PERD." totalsRowFunction="sum" dataDxfId="48" totalsRowDxfId="47"/>
    <tableColumn id="6" xr3:uid="{FF87B711-9A02-4FB5-B21F-73198A4385A8}" name="USUARIOS" totalsRowFunction="sum" dataDxfId="46" totalsRowDxfId="45" dataCellStyle="Millares"/>
    <tableColumn id="12" xr3:uid="{60E0DB3A-B7E4-44B6-BB26-D54278C24006}" name="PROM X VIAJE" totalsRowFunction="average" dataDxfId="44" totalsRowDxfId="43" dataCellStyle="Millares"/>
    <tableColumn id="7" xr3:uid="{12134CBA-AEEC-4025-BB5C-89B13D8F91D4}" name="PROM DE USUARIOS" totalsRowFunction="sum" dataDxfId="42" totalsRowDxfId="41" dataCellStyle="Millares"/>
    <tableColumn id="8" xr3:uid="{F35B2CED-DE3E-48D9-8E47-198F9B4F56C9}" name="NOVEDADES" dataDxfId="40" totalsRowDxfId="39"/>
    <tableColumn id="9" xr3:uid="{4BD57B08-79CF-4422-A880-91A289697DC2}" name="VALOR OPERACIÓN" dataDxfId="38" totalsRowDxfId="37" dataCellStyle="Millares"/>
    <tableColumn id="10" xr3:uid="{E8B6C5A5-759D-4901-BD5D-0ADA9540975C}" name="CLASIFIC." dataDxfId="36" totalsRowDxfId="35"/>
    <tableColumn id="11" xr3:uid="{CFA53866-4E21-473F-9C2D-8FB2962BACB5}" name="DIFER. MICRO - BUS " totalsRowFunction="sum" dataDxfId="34" totalsRowDxfId="3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6"/>
  <sheetViews>
    <sheetView showGridLines="0" tabSelected="1" showWhiteSpace="0" zoomScaleNormal="100" workbookViewId="0">
      <selection activeCell="W32" sqref="W32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bestFit="1" customWidth="1"/>
    <col min="9" max="9" width="10.375" style="149" bestFit="1" customWidth="1"/>
    <col min="10" max="10" width="10.375" style="362" customWidth="1"/>
    <col min="11" max="11" width="59.25" bestFit="1" customWidth="1"/>
    <col min="12" max="12" width="10.5" style="337" bestFit="1" customWidth="1"/>
    <col min="13" max="13" width="9.625" bestFit="1" customWidth="1"/>
    <col min="14" max="14" width="11.375" hidden="1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136</v>
      </c>
      <c r="D1" s="366" t="s">
        <v>144</v>
      </c>
      <c r="E1" s="366"/>
      <c r="F1" s="366"/>
      <c r="G1" s="366"/>
      <c r="H1" s="366"/>
      <c r="I1" s="19"/>
      <c r="J1" s="338"/>
      <c r="K1" s="195"/>
      <c r="L1"/>
    </row>
    <row r="2" spans="1:32" ht="49.5" thickBot="1" x14ac:dyDescent="0.35">
      <c r="D2" s="367" t="s">
        <v>143</v>
      </c>
      <c r="E2" s="367"/>
      <c r="F2" s="367"/>
      <c r="G2" s="367"/>
      <c r="H2" s="367"/>
      <c r="I2" s="367"/>
      <c r="J2" s="367"/>
      <c r="K2" s="367"/>
      <c r="L2" s="196"/>
      <c r="Q2" s="57" t="s">
        <v>110</v>
      </c>
      <c r="R2" s="57" t="s">
        <v>1</v>
      </c>
      <c r="S2" s="57" t="s">
        <v>111</v>
      </c>
      <c r="T2" s="58" t="s">
        <v>106</v>
      </c>
      <c r="V2" s="15"/>
      <c r="X2" s="15"/>
      <c r="Z2" s="15"/>
      <c r="AB2" s="15"/>
      <c r="AD2" s="15"/>
      <c r="AF2" s="15"/>
    </row>
    <row r="3" spans="1:32" ht="27.75" thickBot="1" x14ac:dyDescent="0.25">
      <c r="B3" s="368"/>
      <c r="C3" s="368"/>
      <c r="D3" s="368"/>
      <c r="E3" s="368"/>
      <c r="F3" s="368"/>
      <c r="G3" s="241"/>
      <c r="H3" s="243"/>
      <c r="I3" s="19"/>
      <c r="J3" s="338"/>
      <c r="K3" s="195"/>
      <c r="L3" s="197"/>
      <c r="Q3" s="55">
        <f>+SUM(G6:G1857)/2</f>
        <v>7634</v>
      </c>
      <c r="R3" s="55">
        <f>+SUM(E6:E1857)/2</f>
        <v>355.5</v>
      </c>
      <c r="S3" s="55">
        <f>+Q3-R3</f>
        <v>7278.5</v>
      </c>
      <c r="T3" s="56">
        <f>+S3/R3</f>
        <v>20.473980309423347</v>
      </c>
      <c r="V3" s="15"/>
      <c r="X3" s="15"/>
      <c r="Z3" s="15"/>
      <c r="AB3" s="15"/>
      <c r="AD3" s="15"/>
      <c r="AF3" s="15"/>
    </row>
    <row r="4" spans="1:32" x14ac:dyDescent="0.2">
      <c r="B4" s="368"/>
      <c r="C4" s="368"/>
      <c r="D4" s="368"/>
      <c r="E4" s="368"/>
      <c r="F4" s="368"/>
      <c r="G4" s="194">
        <v>45974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121</v>
      </c>
      <c r="D6" s="191" t="s">
        <v>3</v>
      </c>
      <c r="E6" s="192" t="s">
        <v>1</v>
      </c>
      <c r="F6" s="192" t="s">
        <v>53</v>
      </c>
      <c r="G6" s="192" t="s">
        <v>2</v>
      </c>
      <c r="H6" s="198" t="s">
        <v>114</v>
      </c>
      <c r="I6" s="220" t="s">
        <v>115</v>
      </c>
      <c r="J6" s="340" t="s">
        <v>145</v>
      </c>
      <c r="K6" s="190" t="s">
        <v>4</v>
      </c>
      <c r="L6" s="193" t="s">
        <v>6</v>
      </c>
      <c r="M6" s="193" t="s">
        <v>52</v>
      </c>
      <c r="N6" s="193" t="s">
        <v>103</v>
      </c>
      <c r="O6" s="86" t="s">
        <v>101</v>
      </c>
      <c r="P6" s="86" t="s">
        <v>102</v>
      </c>
      <c r="Q6" s="87" t="s">
        <v>105</v>
      </c>
      <c r="R6" s="88" t="s">
        <v>107</v>
      </c>
      <c r="S6" s="88" t="s">
        <v>108</v>
      </c>
      <c r="T6" s="89" t="s">
        <v>109</v>
      </c>
      <c r="U6" s="130" t="s">
        <v>116</v>
      </c>
      <c r="V6" s="88" t="s">
        <v>137</v>
      </c>
      <c r="W6" s="88" t="s">
        <v>138</v>
      </c>
    </row>
    <row r="7" spans="1:32" s="2" customFormat="1" ht="14.25" customHeight="1" x14ac:dyDescent="0.2">
      <c r="B7" s="136" t="s">
        <v>124</v>
      </c>
      <c r="C7" s="166">
        <v>1</v>
      </c>
      <c r="D7" s="151" t="s">
        <v>178</v>
      </c>
      <c r="E7" s="150">
        <v>9</v>
      </c>
      <c r="F7" s="150">
        <v>0</v>
      </c>
      <c r="G7" s="165">
        <v>156</v>
      </c>
      <c r="H7" s="226">
        <f t="shared" ref="H7:H45" si="0">+G7/E7</f>
        <v>17.333333333333332</v>
      </c>
      <c r="I7" s="227">
        <f>+(SUM($G$7:$G$1048576)/SUM($E$7:$E$1048576))*E7</f>
        <v>193.26582278481013</v>
      </c>
      <c r="J7" s="363">
        <f>+Tabla2[[#This Row],[PROM DE USUARIOS]]-Tabla2[[#This Row],[USUARIOS]]</f>
        <v>37.265822784810126</v>
      </c>
      <c r="K7" s="151" t="s">
        <v>186</v>
      </c>
      <c r="L7" s="163">
        <f t="shared" ref="L7:L24" si="1">P7*585</f>
        <v>107795.50632911392</v>
      </c>
      <c r="M7" s="162" t="str">
        <f>+VLOOKUP(C7,Lista!B:D,3,0)</f>
        <v>MICRO</v>
      </c>
      <c r="N7" s="372">
        <f>+(SUMIFS(G:G,M:M,"MICRO",E:E,"&gt;0")*100)/COUNTIF($E$7:$E$45,"&gt;0")</f>
        <v>12117.948717948719</v>
      </c>
      <c r="O7" s="50">
        <f t="shared" ref="O7:O24" si="2">+(E7*1)-V7</f>
        <v>9</v>
      </c>
      <c r="P7" s="47">
        <f t="shared" ref="P7:P24" si="3">+I7-O7-W7</f>
        <v>184.26582278481013</v>
      </c>
      <c r="Q7" s="49">
        <f t="shared" ref="Q7:Q24" si="4">+G7-O7</f>
        <v>147</v>
      </c>
      <c r="R7" s="51">
        <f t="shared" ref="R7:R24" si="5">+E7*$T$3</f>
        <v>184.26582278481013</v>
      </c>
      <c r="S7" s="46">
        <f t="shared" ref="S7:S41" si="6">+R7*550</f>
        <v>101346.20253164557</v>
      </c>
      <c r="T7" t="str">
        <f t="shared" ref="T7:T24" si="7">+IF(K7&lt;&gt;"",K7,"")</f>
        <v xml:space="preserve">11 Descuentos (Transbordo) </v>
      </c>
      <c r="U7">
        <f>+RANK(H7,$H$6:$H$1048576,1)</f>
        <v>3</v>
      </c>
      <c r="V7"/>
      <c r="W7"/>
      <c r="Y7" t="str">
        <f>TRIM(Tabla2[[#This Row],[CONDUCTOR]])</f>
        <v>SUAREZ ESCUDERO JONATAN</v>
      </c>
    </row>
    <row r="8" spans="1:32" x14ac:dyDescent="0.2">
      <c r="B8" s="136" t="s">
        <v>123</v>
      </c>
      <c r="C8" s="166">
        <v>2</v>
      </c>
      <c r="D8" s="151" t="s">
        <v>179</v>
      </c>
      <c r="E8" s="150">
        <v>9</v>
      </c>
      <c r="F8" s="150">
        <v>0</v>
      </c>
      <c r="G8" s="146">
        <v>182</v>
      </c>
      <c r="H8" s="226">
        <f t="shared" si="0"/>
        <v>20.222222222222221</v>
      </c>
      <c r="I8" s="364">
        <f>+(SUM($G$7:$G$1048576)/SUM($E$7:$E$1048576))*E8</f>
        <v>193.26582278481013</v>
      </c>
      <c r="J8" s="363">
        <f>+Tabla2[[#This Row],[PROM DE USUARIOS]]-Tabla2[[#This Row],[USUARIOS]]</f>
        <v>11.265822784810126</v>
      </c>
      <c r="K8" s="151"/>
      <c r="L8" s="163">
        <f t="shared" si="1"/>
        <v>107795.50632911392</v>
      </c>
      <c r="M8" s="162">
        <f>+VLOOKUP(C8,Lista!B:D,3,0)</f>
        <v>0</v>
      </c>
      <c r="N8" s="372">
        <f>+(SUMIFS(G:G,M:M,"MICRO",E:E,"&gt;0")*100)/COUNTIF($E$7:$E$45,"&gt;0")</f>
        <v>12117.948717948719</v>
      </c>
      <c r="O8" s="50">
        <f t="shared" si="2"/>
        <v>9</v>
      </c>
      <c r="P8" s="47">
        <f t="shared" si="3"/>
        <v>184.26582278481013</v>
      </c>
      <c r="Q8" s="49">
        <f t="shared" si="4"/>
        <v>173</v>
      </c>
      <c r="R8" s="51">
        <f t="shared" si="5"/>
        <v>184.26582278481013</v>
      </c>
      <c r="S8" s="46">
        <f t="shared" si="6"/>
        <v>101346.20253164557</v>
      </c>
      <c r="T8" t="str">
        <f t="shared" si="7"/>
        <v/>
      </c>
      <c r="U8">
        <f>+RANK(H8,$H$6:$H$1048576,1)</f>
        <v>11</v>
      </c>
      <c r="Y8" t="str">
        <f>TRIM(Tabla2[[#This Row],[CONDUCTOR]])</f>
        <v>PARIAS MURIEL JHON FREDY</v>
      </c>
    </row>
    <row r="9" spans="1:32" x14ac:dyDescent="0.2">
      <c r="B9" s="136" t="s">
        <v>124</v>
      </c>
      <c r="C9" s="166">
        <v>3</v>
      </c>
      <c r="D9" s="151" t="s">
        <v>172</v>
      </c>
      <c r="E9" s="150">
        <v>8</v>
      </c>
      <c r="F9" s="150">
        <v>0</v>
      </c>
      <c r="G9" s="165">
        <v>181</v>
      </c>
      <c r="H9" s="226">
        <f t="shared" si="0"/>
        <v>22.625</v>
      </c>
      <c r="I9" s="227">
        <f>+(SUM($G$7:$G$1048576)/SUM($E$7:$E$1048576))*E9</f>
        <v>171.79184247538677</v>
      </c>
      <c r="J9" s="363">
        <f>+Tabla2[[#This Row],[PROM DE USUARIOS]]-Tabla2[[#This Row],[USUARIOS]]</f>
        <v>-9.2081575246132275</v>
      </c>
      <c r="K9" s="151" t="s">
        <v>187</v>
      </c>
      <c r="L9" s="163">
        <f t="shared" si="1"/>
        <v>95818.227848101262</v>
      </c>
      <c r="M9" s="162" t="str">
        <f>+VLOOKUP(C9,Lista!B:D,3,0)</f>
        <v>MICRO</v>
      </c>
      <c r="N9" s="372">
        <f>+(SUMIFS(G:G,M:M,"MICRO",E:E,"&gt;0")*100)/COUNTIF($E$7:$E$45,"&gt;0")</f>
        <v>12117.948717948719</v>
      </c>
      <c r="O9" s="50">
        <f t="shared" si="2"/>
        <v>8</v>
      </c>
      <c r="P9" s="47">
        <f t="shared" si="3"/>
        <v>163.79184247538677</v>
      </c>
      <c r="Q9" s="49">
        <f t="shared" si="4"/>
        <v>173</v>
      </c>
      <c r="R9" s="51">
        <f t="shared" si="5"/>
        <v>163.79184247538677</v>
      </c>
      <c r="S9" s="46">
        <f t="shared" si="6"/>
        <v>90085.513361462727</v>
      </c>
      <c r="T9" t="str">
        <f t="shared" si="7"/>
        <v xml:space="preserve">8 Descuentos (Transbordo) </v>
      </c>
      <c r="U9">
        <f>+RANK(H9,$H$6:$H$1048576,1)</f>
        <v>28</v>
      </c>
      <c r="Y9" t="str">
        <f>TRIM(Tabla2[[#This Row],[CONDUCTOR]])</f>
        <v>ESPINOZA CHAVARRIA GUILLERMO LEON</v>
      </c>
    </row>
    <row r="10" spans="1:32" x14ac:dyDescent="0.2">
      <c r="B10" s="136" t="s">
        <v>123</v>
      </c>
      <c r="C10" s="166">
        <v>4</v>
      </c>
      <c r="D10" s="151" t="s">
        <v>163</v>
      </c>
      <c r="E10" s="150">
        <v>9</v>
      </c>
      <c r="F10" s="150">
        <v>0</v>
      </c>
      <c r="G10" s="165">
        <v>181</v>
      </c>
      <c r="H10" s="226">
        <f t="shared" si="0"/>
        <v>20.111111111111111</v>
      </c>
      <c r="I10" s="227">
        <f>+(SUM($G$7:$G$1048576)/SUM($E$7:$E$1048576))*E10</f>
        <v>193.26582278481013</v>
      </c>
      <c r="J10" s="363">
        <f>+Tabla2[[#This Row],[PROM DE USUARIOS]]-Tabla2[[#This Row],[USUARIOS]]</f>
        <v>12.265822784810126</v>
      </c>
      <c r="K10" s="151" t="s">
        <v>188</v>
      </c>
      <c r="L10" s="163">
        <f t="shared" si="1"/>
        <v>107795.50632911392</v>
      </c>
      <c r="M10" s="162" t="str">
        <f>+VLOOKUP(C10,Lista!B:D,3,0)</f>
        <v>MICRO</v>
      </c>
      <c r="N10" s="372">
        <f>+(SUMIFS(G:G,M:M,"MICRO",E:E,"&gt;0")*100)/COUNTIF($E$7:$E$45,"&gt;0")</f>
        <v>12117.948717948719</v>
      </c>
      <c r="O10" s="50">
        <f t="shared" si="2"/>
        <v>9</v>
      </c>
      <c r="P10" s="47">
        <f t="shared" si="3"/>
        <v>184.26582278481013</v>
      </c>
      <c r="Q10" s="49">
        <f t="shared" si="4"/>
        <v>172</v>
      </c>
      <c r="R10" s="51">
        <f t="shared" si="5"/>
        <v>184.26582278481013</v>
      </c>
      <c r="S10" s="46">
        <f t="shared" si="6"/>
        <v>101346.20253164557</v>
      </c>
      <c r="T10" t="str">
        <f t="shared" si="7"/>
        <v xml:space="preserve">4 Descuentos (Transbordo y conduct) </v>
      </c>
      <c r="U10">
        <f>+RANK(H10,$H$6:$H$1048576,1)</f>
        <v>10</v>
      </c>
      <c r="Y10" t="str">
        <f>TRIM(Tabla2[[#This Row],[CONDUCTOR]])</f>
        <v>SANCHEZ BETANCOURT FRANSCISCO</v>
      </c>
    </row>
    <row r="11" spans="1:32" x14ac:dyDescent="0.2">
      <c r="B11" s="136" t="s">
        <v>124</v>
      </c>
      <c r="C11" s="166">
        <v>5</v>
      </c>
      <c r="D11" s="151" t="s">
        <v>167</v>
      </c>
      <c r="E11" s="150">
        <v>10</v>
      </c>
      <c r="F11" s="150">
        <v>0</v>
      </c>
      <c r="G11" s="146">
        <v>181</v>
      </c>
      <c r="H11" s="226">
        <f t="shared" si="0"/>
        <v>18.100000000000001</v>
      </c>
      <c r="I11" s="364">
        <f>+(SUM($G$7:$G$1048576)/SUM($E$7:$E$1048576))*E11</f>
        <v>214.73980309423348</v>
      </c>
      <c r="J11" s="363">
        <f>+Tabla2[[#This Row],[PROM DE USUARIOS]]-Tabla2[[#This Row],[USUARIOS]]</f>
        <v>33.73980309423348</v>
      </c>
      <c r="K11" s="151"/>
      <c r="L11" s="163">
        <f t="shared" si="1"/>
        <v>119772.78481012658</v>
      </c>
      <c r="M11" s="162">
        <f>+VLOOKUP(C11,Lista!B:D,3,0)</f>
        <v>0</v>
      </c>
      <c r="N11" s="372">
        <f>+(SUMIFS(G:G,M:M,"MICRO",E:E,"&gt;0")*100)/COUNTIF($E$7:$E$45,"&gt;0")</f>
        <v>12117.948717948719</v>
      </c>
      <c r="O11" s="50">
        <f t="shared" si="2"/>
        <v>10</v>
      </c>
      <c r="P11" s="47">
        <f t="shared" si="3"/>
        <v>204.73980309423348</v>
      </c>
      <c r="Q11" s="49">
        <f t="shared" si="4"/>
        <v>171</v>
      </c>
      <c r="R11" s="51">
        <f t="shared" si="5"/>
        <v>204.73980309423348</v>
      </c>
      <c r="S11" s="46">
        <f t="shared" si="6"/>
        <v>112606.89170182841</v>
      </c>
      <c r="T11" t="str">
        <f t="shared" si="7"/>
        <v/>
      </c>
      <c r="U11">
        <f>+RANK(H11,$H$6:$H$1048576,1)</f>
        <v>5</v>
      </c>
      <c r="Y11" t="str">
        <f>TRIM(Tabla2[[#This Row],[CONDUCTOR]])</f>
        <v>VERENZUELA MARTINEZ ALEXANDER</v>
      </c>
    </row>
    <row r="12" spans="1:32" x14ac:dyDescent="0.2">
      <c r="B12" s="136" t="s">
        <v>123</v>
      </c>
      <c r="C12" s="137">
        <v>6</v>
      </c>
      <c r="D12" s="151" t="s">
        <v>152</v>
      </c>
      <c r="E12" s="150">
        <v>9</v>
      </c>
      <c r="F12" s="150">
        <v>0</v>
      </c>
      <c r="G12" s="146">
        <v>179</v>
      </c>
      <c r="H12" s="226">
        <f t="shared" si="0"/>
        <v>19.888888888888889</v>
      </c>
      <c r="I12" s="227">
        <f>+(SUM($G$7:$G$1048576)/SUM($E$7:$E$1048576))*E12</f>
        <v>193.26582278481013</v>
      </c>
      <c r="J12" s="363">
        <f>+Tabla2[[#This Row],[PROM DE USUARIOS]]-Tabla2[[#This Row],[USUARIOS]]</f>
        <v>14.265822784810126</v>
      </c>
      <c r="K12" s="151"/>
      <c r="L12" s="163">
        <f t="shared" si="1"/>
        <v>107795.50632911392</v>
      </c>
      <c r="M12" s="162" t="str">
        <f>+VLOOKUP(C12,Lista!B:D,3,0)</f>
        <v>MICRO</v>
      </c>
      <c r="N12" s="372">
        <f>+(SUMIFS(G:G,M:M,"MICRO",E:E,"&gt;0")*100)/COUNTIF($E$7:$E$45,"&gt;0")</f>
        <v>12117.948717948719</v>
      </c>
      <c r="O12" s="50">
        <f t="shared" si="2"/>
        <v>9</v>
      </c>
      <c r="P12" s="47">
        <f t="shared" si="3"/>
        <v>184.26582278481013</v>
      </c>
      <c r="Q12" s="49">
        <f t="shared" si="4"/>
        <v>170</v>
      </c>
      <c r="R12" s="51">
        <f t="shared" si="5"/>
        <v>184.26582278481013</v>
      </c>
      <c r="S12" s="46">
        <f t="shared" si="6"/>
        <v>101346.20253164557</v>
      </c>
      <c r="T12" t="str">
        <f t="shared" si="7"/>
        <v/>
      </c>
      <c r="U12">
        <f>+RANK(H12,$H$6:$H$1048576,1)</f>
        <v>8</v>
      </c>
      <c r="Y12" t="str">
        <f>TRIM(Tabla2[[#This Row],[CONDUCTOR]])</f>
        <v>LOPEZ PINEDA DANIEL ESTIVEN</v>
      </c>
    </row>
    <row r="13" spans="1:32" x14ac:dyDescent="0.2">
      <c r="B13" s="136" t="s">
        <v>124</v>
      </c>
      <c r="C13" s="166">
        <v>7</v>
      </c>
      <c r="D13" s="151" t="s">
        <v>150</v>
      </c>
      <c r="E13" s="150">
        <v>9</v>
      </c>
      <c r="F13" s="150">
        <v>0</v>
      </c>
      <c r="G13" s="165">
        <v>196</v>
      </c>
      <c r="H13" s="226">
        <f t="shared" si="0"/>
        <v>21.777777777777779</v>
      </c>
      <c r="I13" s="227">
        <f>+(SUM($G$7:$G$1048576)/SUM($E$7:$E$1048576))*E13</f>
        <v>193.26582278481013</v>
      </c>
      <c r="J13" s="363">
        <f>+Tabla2[[#This Row],[PROM DE USUARIOS]]-Tabla2[[#This Row],[USUARIOS]]</f>
        <v>-2.7341772151898738</v>
      </c>
      <c r="K13" s="151"/>
      <c r="L13" s="163">
        <f t="shared" si="1"/>
        <v>107795.50632911392</v>
      </c>
      <c r="M13" s="162">
        <f>+VLOOKUP(C13,Lista!B:D,3,0)</f>
        <v>0</v>
      </c>
      <c r="N13" s="372">
        <f>+(SUMIFS(G:G,M:M,"MICRO",E:E,"&gt;0")*100)/COUNTIF($E$7:$E$45,"&gt;0")</f>
        <v>12117.948717948719</v>
      </c>
      <c r="O13" s="50">
        <f t="shared" si="2"/>
        <v>9</v>
      </c>
      <c r="P13" s="47">
        <f t="shared" si="3"/>
        <v>184.26582278481013</v>
      </c>
      <c r="Q13" s="49">
        <f t="shared" si="4"/>
        <v>187</v>
      </c>
      <c r="R13" s="51">
        <f t="shared" si="5"/>
        <v>184.26582278481013</v>
      </c>
      <c r="S13" s="46">
        <f t="shared" si="6"/>
        <v>101346.20253164557</v>
      </c>
      <c r="T13" t="str">
        <f t="shared" si="7"/>
        <v/>
      </c>
      <c r="U13">
        <f>+RANK(H13,$H$6:$H$1048576,1)</f>
        <v>24</v>
      </c>
      <c r="Y13" t="str">
        <f>TRIM(Tabla2[[#This Row],[CONDUCTOR]])</f>
        <v>PALACIO ARIAS YORFAN ALEXIS</v>
      </c>
    </row>
    <row r="14" spans="1:32" x14ac:dyDescent="0.2">
      <c r="B14" s="136" t="s">
        <v>123</v>
      </c>
      <c r="C14" s="166">
        <v>8</v>
      </c>
      <c r="D14" s="151" t="s">
        <v>165</v>
      </c>
      <c r="E14" s="150">
        <v>10</v>
      </c>
      <c r="F14" s="150">
        <v>0</v>
      </c>
      <c r="G14" s="165">
        <v>220</v>
      </c>
      <c r="H14" s="226">
        <f t="shared" si="0"/>
        <v>22</v>
      </c>
      <c r="I14" s="227">
        <f>+(SUM($G$7:$G$1048576)/SUM($E$7:$E$1048576))*E14</f>
        <v>214.73980309423348</v>
      </c>
      <c r="J14" s="363">
        <f>+Tabla2[[#This Row],[PROM DE USUARIOS]]-Tabla2[[#This Row],[USUARIOS]]</f>
        <v>-5.2601969057665201</v>
      </c>
      <c r="K14" s="151"/>
      <c r="L14" s="163">
        <f t="shared" si="1"/>
        <v>119772.78481012658</v>
      </c>
      <c r="M14" s="162">
        <f>+VLOOKUP(C14,Lista!B:D,3,0)</f>
        <v>0</v>
      </c>
      <c r="N14" s="372">
        <f>+(SUMIFS(G:G,M:M,"MICRO",E:E,"&gt;0")*100)/COUNTIF($E$7:$E$45,"&gt;0")</f>
        <v>12117.948717948719</v>
      </c>
      <c r="O14" s="50">
        <f t="shared" si="2"/>
        <v>10</v>
      </c>
      <c r="P14" s="47">
        <f t="shared" si="3"/>
        <v>204.73980309423348</v>
      </c>
      <c r="Q14" s="49">
        <f t="shared" si="4"/>
        <v>210</v>
      </c>
      <c r="R14" s="51">
        <f t="shared" si="5"/>
        <v>204.73980309423348</v>
      </c>
      <c r="S14" s="46">
        <f t="shared" si="6"/>
        <v>112606.89170182841</v>
      </c>
      <c r="T14" t="str">
        <f t="shared" si="7"/>
        <v/>
      </c>
      <c r="U14">
        <f>+RANK(H14,$H$6:$H$1048576,1)</f>
        <v>25</v>
      </c>
      <c r="Y14" t="str">
        <f>TRIM(Tabla2[[#This Row],[CONDUCTOR]])</f>
        <v>GONZALEZ PEREZ RAFAEL JOSE</v>
      </c>
    </row>
    <row r="15" spans="1:32" x14ac:dyDescent="0.2">
      <c r="B15" s="136" t="s">
        <v>124</v>
      </c>
      <c r="C15" s="166">
        <v>9</v>
      </c>
      <c r="D15" s="151" t="s">
        <v>148</v>
      </c>
      <c r="E15" s="150">
        <v>7</v>
      </c>
      <c r="F15" s="150">
        <v>0</v>
      </c>
      <c r="G15" s="165">
        <v>155</v>
      </c>
      <c r="H15" s="226">
        <f t="shared" si="0"/>
        <v>22.142857142857142</v>
      </c>
      <c r="I15" s="227">
        <f>+(SUM($G$7:$G$1048576)/SUM($E$7:$E$1048576))*E15</f>
        <v>150.31786216596342</v>
      </c>
      <c r="J15" s="363">
        <f>+Tabla2[[#This Row],[PROM DE USUARIOS]]-Tabla2[[#This Row],[USUARIOS]]</f>
        <v>-4.6821378340365811</v>
      </c>
      <c r="K15" s="151"/>
      <c r="L15" s="163">
        <f t="shared" si="1"/>
        <v>83840.9493670886</v>
      </c>
      <c r="M15" s="162" t="str">
        <f>+VLOOKUP(C15,Lista!B:D,3,0)</f>
        <v>MICRO</v>
      </c>
      <c r="N15" s="372">
        <f>+(SUMIFS(G:G,M:M,"MICRO",E:E,"&gt;0")*100)/COUNTIF($E$7:$E$45,"&gt;0")</f>
        <v>12117.948717948719</v>
      </c>
      <c r="O15" s="50">
        <f t="shared" si="2"/>
        <v>7</v>
      </c>
      <c r="P15" s="47">
        <f t="shared" si="3"/>
        <v>143.31786216596342</v>
      </c>
      <c r="Q15" s="49">
        <f t="shared" si="4"/>
        <v>148</v>
      </c>
      <c r="R15" s="51">
        <f t="shared" si="5"/>
        <v>143.31786216596342</v>
      </c>
      <c r="S15" s="46">
        <f t="shared" si="6"/>
        <v>78824.824191279884</v>
      </c>
      <c r="T15" t="str">
        <f t="shared" si="7"/>
        <v/>
      </c>
      <c r="U15">
        <f>+RANK(H15,$H$6:$H$1048576,1)</f>
        <v>26</v>
      </c>
      <c r="Y15" t="str">
        <f>TRIM(Tabla2[[#This Row],[CONDUCTOR]])</f>
        <v>CARTAGENA RAMIREZ FREDY ALONSO</v>
      </c>
    </row>
    <row r="16" spans="1:32" x14ac:dyDescent="0.2">
      <c r="B16" s="136" t="s">
        <v>123</v>
      </c>
      <c r="C16" s="166">
        <v>10</v>
      </c>
      <c r="D16" s="151" t="s">
        <v>166</v>
      </c>
      <c r="E16" s="150">
        <v>7</v>
      </c>
      <c r="F16" s="150">
        <v>0</v>
      </c>
      <c r="G16" s="165">
        <v>172</v>
      </c>
      <c r="H16" s="226">
        <f t="shared" si="0"/>
        <v>24.571428571428573</v>
      </c>
      <c r="I16" s="227">
        <f>+(SUM($G$7:$G$1048576)/SUM($E$7:$E$1048576))*E16</f>
        <v>150.31786216596342</v>
      </c>
      <c r="J16" s="363">
        <f>+Tabla2[[#This Row],[PROM DE USUARIOS]]-Tabla2[[#This Row],[USUARIOS]]</f>
        <v>-21.682137834036581</v>
      </c>
      <c r="K16" s="151"/>
      <c r="L16" s="163">
        <f t="shared" si="1"/>
        <v>83840.9493670886</v>
      </c>
      <c r="M16" s="162" t="str">
        <f>+VLOOKUP(C16,Lista!B:D,3,0)</f>
        <v>MICRO</v>
      </c>
      <c r="N16" s="372">
        <f>+(SUMIFS(G:G,M:M,"MICRO",E:E,"&gt;0")*100)/COUNTIF($E$7:$E$45,"&gt;0")</f>
        <v>12117.948717948719</v>
      </c>
      <c r="O16" s="50">
        <f t="shared" si="2"/>
        <v>7</v>
      </c>
      <c r="P16" s="47">
        <f t="shared" si="3"/>
        <v>143.31786216596342</v>
      </c>
      <c r="Q16" s="49">
        <f t="shared" si="4"/>
        <v>165</v>
      </c>
      <c r="R16" s="51">
        <f t="shared" si="5"/>
        <v>143.31786216596342</v>
      </c>
      <c r="S16" s="46">
        <f t="shared" si="6"/>
        <v>78824.824191279884</v>
      </c>
      <c r="T16" t="str">
        <f t="shared" si="7"/>
        <v/>
      </c>
      <c r="U16">
        <f>+RANK(H16,$H$6:$H$1048576,1)</f>
        <v>36</v>
      </c>
      <c r="Y16" t="str">
        <f>TRIM(Tabla2[[#This Row],[CONDUCTOR]])</f>
        <v>GUTIERREZ ARICAPA DANIEL HUMBERTO</v>
      </c>
    </row>
    <row r="17" spans="2:25" x14ac:dyDescent="0.2">
      <c r="B17" s="136" t="s">
        <v>124</v>
      </c>
      <c r="C17" s="166">
        <v>11</v>
      </c>
      <c r="D17" s="151" t="s">
        <v>157</v>
      </c>
      <c r="E17" s="150">
        <v>4.5</v>
      </c>
      <c r="F17" s="150">
        <v>0.5</v>
      </c>
      <c r="G17" s="165">
        <v>76</v>
      </c>
      <c r="H17" s="226">
        <f t="shared" si="0"/>
        <v>16.888888888888889</v>
      </c>
      <c r="I17" s="227">
        <f>+(SUM($G$7:$G$1048576)/SUM($E$7:$E$1048576))*E17</f>
        <v>96.632911392405063</v>
      </c>
      <c r="J17" s="363">
        <f>+Tabla2[[#This Row],[PROM DE USUARIOS]]-Tabla2[[#This Row],[USUARIOS]]</f>
        <v>20.632911392405063</v>
      </c>
      <c r="K17" s="151" t="s">
        <v>189</v>
      </c>
      <c r="L17" s="163">
        <f t="shared" si="1"/>
        <v>53897.753164556962</v>
      </c>
      <c r="M17" s="162" t="str">
        <f>+VLOOKUP(C17,Lista!B:D,3,0)</f>
        <v>MICRO</v>
      </c>
      <c r="N17" s="372">
        <f>+(SUMIFS(G:G,M:M,"MICRO",E:E,"&gt;0")*100)/COUNTIF($E$7:$E$45,"&gt;0")</f>
        <v>12117.948717948719</v>
      </c>
      <c r="O17" s="50">
        <f t="shared" si="2"/>
        <v>4.5</v>
      </c>
      <c r="P17" s="47">
        <f t="shared" si="3"/>
        <v>92.132911392405063</v>
      </c>
      <c r="Q17" s="49">
        <f t="shared" si="4"/>
        <v>71.5</v>
      </c>
      <c r="R17" s="51">
        <f t="shared" si="5"/>
        <v>92.132911392405063</v>
      </c>
      <c r="S17" s="46">
        <f t="shared" si="6"/>
        <v>50673.101265822785</v>
      </c>
      <c r="T17" t="str">
        <f t="shared" si="7"/>
        <v xml:space="preserve">2 Descuentos (Transbordo) </v>
      </c>
      <c r="U17">
        <f>+RANK(H17,$H$6:$H$1048576,1)</f>
        <v>2</v>
      </c>
      <c r="Y17" t="str">
        <f>TRIM(Tabla2[[#This Row],[CONDUCTOR]])</f>
        <v>YEPES TORRES JHON ALEXANDER</v>
      </c>
    </row>
    <row r="18" spans="2:25" x14ac:dyDescent="0.2">
      <c r="B18" s="136" t="s">
        <v>123</v>
      </c>
      <c r="C18" s="166">
        <v>14</v>
      </c>
      <c r="D18" s="151" t="s">
        <v>122</v>
      </c>
      <c r="E18" s="150">
        <v>10</v>
      </c>
      <c r="F18" s="150">
        <v>0</v>
      </c>
      <c r="G18" s="146">
        <v>183</v>
      </c>
      <c r="H18" s="226">
        <f t="shared" si="0"/>
        <v>18.3</v>
      </c>
      <c r="I18" s="364">
        <f>+(SUM($G$7:$G$1048576)/SUM($E$7:$E$1048576))*E18</f>
        <v>214.73980309423348</v>
      </c>
      <c r="J18" s="363">
        <f>+Tabla2[[#This Row],[PROM DE USUARIOS]]-Tabla2[[#This Row],[USUARIOS]]</f>
        <v>31.73980309423348</v>
      </c>
      <c r="K18" s="151"/>
      <c r="L18" s="163">
        <f t="shared" si="1"/>
        <v>119772.78481012658</v>
      </c>
      <c r="M18" s="162">
        <f>+VLOOKUP(C18,Lista!B:D,3,0)</f>
        <v>0</v>
      </c>
      <c r="N18" s="372">
        <f>+(SUMIFS(G:G,M:M,"MICRO",E:E,"&gt;0")*100)/COUNTIF($E$7:$E$45,"&gt;0")</f>
        <v>12117.948717948719</v>
      </c>
      <c r="O18" s="50">
        <f t="shared" si="2"/>
        <v>10</v>
      </c>
      <c r="P18" s="47">
        <f t="shared" si="3"/>
        <v>204.73980309423348</v>
      </c>
      <c r="Q18" s="49">
        <f t="shared" si="4"/>
        <v>173</v>
      </c>
      <c r="R18" s="51">
        <f t="shared" si="5"/>
        <v>204.73980309423348</v>
      </c>
      <c r="S18" s="46">
        <f t="shared" si="6"/>
        <v>112606.89170182841</v>
      </c>
      <c r="T18" t="str">
        <f t="shared" si="7"/>
        <v/>
      </c>
      <c r="U18">
        <f>+RANK(H18,$H$6:$H$1048576,1)</f>
        <v>6</v>
      </c>
      <c r="Y18" t="str">
        <f>TRIM(Tabla2[[#This Row],[CONDUCTOR]])</f>
        <v>DURANGO PAEZ GILDARDO</v>
      </c>
    </row>
    <row r="19" spans="2:25" x14ac:dyDescent="0.2">
      <c r="B19" s="136" t="s">
        <v>124</v>
      </c>
      <c r="C19" s="166">
        <v>15</v>
      </c>
      <c r="D19" s="151" t="s">
        <v>154</v>
      </c>
      <c r="E19" s="150">
        <v>9</v>
      </c>
      <c r="F19" s="150">
        <v>0</v>
      </c>
      <c r="G19" s="165">
        <v>191</v>
      </c>
      <c r="H19" s="226">
        <f t="shared" si="0"/>
        <v>21.222222222222221</v>
      </c>
      <c r="I19" s="227">
        <f>+(SUM($G$7:$G$1048576)/SUM($E$7:$E$1048576))*E19</f>
        <v>193.26582278481013</v>
      </c>
      <c r="J19" s="363">
        <f>+Tabla2[[#This Row],[PROM DE USUARIOS]]-Tabla2[[#This Row],[USUARIOS]]</f>
        <v>2.2658227848101262</v>
      </c>
      <c r="K19" s="151"/>
      <c r="L19" s="163">
        <f t="shared" si="1"/>
        <v>107795.50632911392</v>
      </c>
      <c r="M19" s="162">
        <f>+VLOOKUP(C19,Lista!B:D,3,0)</f>
        <v>0</v>
      </c>
      <c r="N19" s="372">
        <f>+(SUMIFS(G:G,M:M,"MICRO",E:E,"&gt;0")*100)/COUNTIF($E$7:$E$45,"&gt;0")</f>
        <v>12117.948717948719</v>
      </c>
      <c r="O19" s="50">
        <f t="shared" si="2"/>
        <v>9</v>
      </c>
      <c r="P19" s="47">
        <f t="shared" si="3"/>
        <v>184.26582278481013</v>
      </c>
      <c r="Q19" s="49">
        <f t="shared" si="4"/>
        <v>182</v>
      </c>
      <c r="R19" s="51">
        <f t="shared" si="5"/>
        <v>184.26582278481013</v>
      </c>
      <c r="S19" s="46">
        <f t="shared" si="6"/>
        <v>101346.20253164557</v>
      </c>
      <c r="T19" t="str">
        <f t="shared" si="7"/>
        <v/>
      </c>
      <c r="U19">
        <f>+RANK(H19,$H$6:$H$1048576,1)</f>
        <v>19</v>
      </c>
      <c r="Y19" t="str">
        <f>TRIM(Tabla2[[#This Row],[CONDUCTOR]])</f>
        <v>HERNANDEZ MACIAS GILBERTO</v>
      </c>
    </row>
    <row r="20" spans="2:25" x14ac:dyDescent="0.2">
      <c r="B20" s="136" t="s">
        <v>123</v>
      </c>
      <c r="C20" s="137">
        <v>16</v>
      </c>
      <c r="D20" s="151" t="s">
        <v>169</v>
      </c>
      <c r="E20" s="150">
        <v>9</v>
      </c>
      <c r="F20" s="150">
        <v>0</v>
      </c>
      <c r="G20" s="146">
        <v>173</v>
      </c>
      <c r="H20" s="226">
        <f t="shared" si="0"/>
        <v>19.222222222222221</v>
      </c>
      <c r="I20" s="227">
        <f>+(SUM($G$7:$G$1048576)/SUM($E$7:$E$1048576))*E20</f>
        <v>193.26582278481013</v>
      </c>
      <c r="J20" s="363">
        <f>+Tabla2[[#This Row],[PROM DE USUARIOS]]-Tabla2[[#This Row],[USUARIOS]]</f>
        <v>20.265822784810126</v>
      </c>
      <c r="K20" s="151"/>
      <c r="L20" s="163">
        <f t="shared" si="1"/>
        <v>107795.50632911392</v>
      </c>
      <c r="M20" s="162" t="str">
        <f>+VLOOKUP(C20,Lista!B:D,3,0)</f>
        <v>MICRO</v>
      </c>
      <c r="N20" s="372">
        <f>+(SUMIFS(G:G,M:M,"MICRO",E:E,"&gt;0")*100)/COUNTIF($E$7:$E$45,"&gt;0")</f>
        <v>12117.948717948719</v>
      </c>
      <c r="O20" s="50">
        <f t="shared" si="2"/>
        <v>9</v>
      </c>
      <c r="P20" s="47">
        <f t="shared" si="3"/>
        <v>184.26582278481013</v>
      </c>
      <c r="Q20" s="49">
        <f t="shared" si="4"/>
        <v>164</v>
      </c>
      <c r="R20" s="51">
        <f t="shared" si="5"/>
        <v>184.26582278481013</v>
      </c>
      <c r="S20" s="46">
        <f t="shared" si="6"/>
        <v>101346.20253164557</v>
      </c>
      <c r="T20" t="str">
        <f t="shared" si="7"/>
        <v/>
      </c>
      <c r="U20">
        <f>+RANK(H20,$H$6:$H$1048576,1)</f>
        <v>7</v>
      </c>
      <c r="Y20" t="str">
        <f>TRIM(Tabla2[[#This Row],[CONDUCTOR]])</f>
        <v>PEREZ GARCIA JUAN ESTEBAN</v>
      </c>
    </row>
    <row r="21" spans="2:25" x14ac:dyDescent="0.2">
      <c r="B21" s="136" t="s">
        <v>124</v>
      </c>
      <c r="C21" s="166">
        <v>18</v>
      </c>
      <c r="D21" s="151" t="s">
        <v>153</v>
      </c>
      <c r="E21" s="150">
        <v>9</v>
      </c>
      <c r="F21" s="150">
        <v>0</v>
      </c>
      <c r="G21" s="165">
        <v>201</v>
      </c>
      <c r="H21" s="226">
        <f t="shared" si="0"/>
        <v>22.333333333333332</v>
      </c>
      <c r="I21" s="227">
        <f>+(SUM($G$7:$G$1048576)/SUM($E$7:$E$1048576))*E21</f>
        <v>193.26582278481013</v>
      </c>
      <c r="J21" s="363">
        <f>+Tabla2[[#This Row],[PROM DE USUARIOS]]-Tabla2[[#This Row],[USUARIOS]]</f>
        <v>-7.7341772151898738</v>
      </c>
      <c r="K21" s="151" t="s">
        <v>190</v>
      </c>
      <c r="L21" s="163">
        <f t="shared" si="1"/>
        <v>107795.50632911392</v>
      </c>
      <c r="M21" s="162" t="str">
        <f>+VLOOKUP(C21,Lista!B:D,3,0)</f>
        <v>MICRO</v>
      </c>
      <c r="N21" s="372">
        <f>+(SUMIFS(G:G,M:M,"MICRO",E:E,"&gt;0")*100)/COUNTIF($E$7:$E$45,"&gt;0")</f>
        <v>12117.948717948719</v>
      </c>
      <c r="O21" s="50">
        <f t="shared" si="2"/>
        <v>9</v>
      </c>
      <c r="P21" s="47">
        <f t="shared" si="3"/>
        <v>184.26582278481013</v>
      </c>
      <c r="Q21" s="49">
        <f t="shared" si="4"/>
        <v>192</v>
      </c>
      <c r="R21" s="51">
        <f t="shared" si="5"/>
        <v>184.26582278481013</v>
      </c>
      <c r="S21" s="46">
        <f t="shared" si="6"/>
        <v>101346.20253164557</v>
      </c>
      <c r="T21" t="str">
        <f t="shared" si="7"/>
        <v xml:space="preserve">13 Descuentos (Transbordo y conduct) </v>
      </c>
      <c r="U21">
        <f>+RANK(H21,$H$6:$H$1048576,1)</f>
        <v>27</v>
      </c>
      <c r="Y21" t="str">
        <f>TRIM(Tabla2[[#This Row],[CONDUCTOR]])</f>
        <v>ALBERTO ARISTIZABAL RAFAEL</v>
      </c>
    </row>
    <row r="22" spans="2:25" x14ac:dyDescent="0.2">
      <c r="B22" s="136" t="s">
        <v>123</v>
      </c>
      <c r="C22" s="137">
        <v>20</v>
      </c>
      <c r="D22" s="151" t="s">
        <v>173</v>
      </c>
      <c r="E22" s="150">
        <v>9</v>
      </c>
      <c r="F22" s="150">
        <v>0</v>
      </c>
      <c r="G22" s="146">
        <v>150</v>
      </c>
      <c r="H22" s="226">
        <f t="shared" si="0"/>
        <v>16.666666666666668</v>
      </c>
      <c r="I22" s="227">
        <f>+(SUM($G$7:$G$1048576)/SUM($E$7:$E$1048576))*E22</f>
        <v>193.26582278481013</v>
      </c>
      <c r="J22" s="363">
        <f>+Tabla2[[#This Row],[PROM DE USUARIOS]]-Tabla2[[#This Row],[USUARIOS]]</f>
        <v>43.265822784810126</v>
      </c>
      <c r="K22" s="151" t="s">
        <v>191</v>
      </c>
      <c r="L22" s="163">
        <f t="shared" si="1"/>
        <v>107795.50632911392</v>
      </c>
      <c r="M22" s="162" t="str">
        <f>+VLOOKUP(C22,Lista!B:D,3,0)</f>
        <v>MICRO</v>
      </c>
      <c r="N22" s="372">
        <f>+(SUMIFS(G:G,M:M,"MICRO",E:E,"&gt;0")*100)/COUNTIF($E$7:$E$45,"&gt;0")</f>
        <v>12117.948717948719</v>
      </c>
      <c r="O22" s="50">
        <f t="shared" si="2"/>
        <v>9</v>
      </c>
      <c r="P22" s="47">
        <f t="shared" si="3"/>
        <v>184.26582278481013</v>
      </c>
      <c r="Q22" s="49">
        <f t="shared" si="4"/>
        <v>141</v>
      </c>
      <c r="R22" s="51">
        <f t="shared" si="5"/>
        <v>184.26582278481013</v>
      </c>
      <c r="S22" s="46">
        <f t="shared" si="6"/>
        <v>101346.20253164557</v>
      </c>
      <c r="T22" t="str">
        <f t="shared" si="7"/>
        <v xml:space="preserve">5 Descuentos (Transbordo) </v>
      </c>
      <c r="U22">
        <f>+RANK(H22,$H$6:$H$1048576,1)</f>
        <v>1</v>
      </c>
      <c r="Y22" t="str">
        <f>TRIM(Tabla2[[#This Row],[CONDUCTOR]])</f>
        <v>JARAMILLO JARAMILLO FRANCISCO WBEIMAR</v>
      </c>
    </row>
    <row r="23" spans="2:25" s="2" customFormat="1" ht="22.5" x14ac:dyDescent="0.2">
      <c r="B23" s="136" t="s">
        <v>124</v>
      </c>
      <c r="C23" s="166">
        <v>21</v>
      </c>
      <c r="D23" s="136" t="s">
        <v>174</v>
      </c>
      <c r="E23" s="150">
        <v>12</v>
      </c>
      <c r="F23" s="150">
        <v>0</v>
      </c>
      <c r="G23" s="375">
        <v>256</v>
      </c>
      <c r="H23" s="376">
        <f t="shared" si="0"/>
        <v>21.333333333333332</v>
      </c>
      <c r="I23" s="377">
        <f>+(SUM($G$7:$G$1048576)/SUM($E$7:$E$1048576))*E23</f>
        <v>257.68776371308013</v>
      </c>
      <c r="J23" s="378">
        <f>+Tabla2[[#This Row],[PROM DE USUARIOS]]-Tabla2[[#This Row],[USUARIOS]]</f>
        <v>1.6877637130801304</v>
      </c>
      <c r="K23" s="379" t="s">
        <v>199</v>
      </c>
      <c r="L23" s="163">
        <f t="shared" si="1"/>
        <v>143727.34177215188</v>
      </c>
      <c r="M23" s="162" t="str">
        <f>+VLOOKUP(C23,Lista!B:D,3,0)</f>
        <v>MICRO</v>
      </c>
      <c r="N23" s="372">
        <f>+(SUMIFS(G:G,M:M,"MICRO",E:E,"&gt;0")*100)/COUNTIF($E$7:$E$45,"&gt;0")</f>
        <v>12117.948717948719</v>
      </c>
      <c r="O23" s="50">
        <f t="shared" si="2"/>
        <v>12</v>
      </c>
      <c r="P23" s="47">
        <f t="shared" si="3"/>
        <v>245.68776371308013</v>
      </c>
      <c r="Q23" s="49">
        <f t="shared" si="4"/>
        <v>244</v>
      </c>
      <c r="R23" s="51">
        <f t="shared" si="5"/>
        <v>245.68776371308016</v>
      </c>
      <c r="S23" s="46">
        <f t="shared" si="6"/>
        <v>135128.27004219408</v>
      </c>
      <c r="T23" s="2" t="str">
        <f t="shared" si="7"/>
        <v xml:space="preserve">HENRY DAVID Realizó 7 viajes donde movilizó 183 usuarios. 4 Descuentos (transbordo, asociado y usuario desubicado) </v>
      </c>
      <c r="U23" s="2">
        <f>+RANK(H23,$H$6:$H$1048576,1)</f>
        <v>20</v>
      </c>
      <c r="Y23" s="2" t="str">
        <f>TRIM(Tabla2[[#This Row],[CONDUCTOR]])</f>
        <v>MACIAS HERNANDEZ JULIAN DAVID</v>
      </c>
    </row>
    <row r="24" spans="2:25" x14ac:dyDescent="0.2">
      <c r="B24" s="136" t="s">
        <v>123</v>
      </c>
      <c r="C24" s="166">
        <v>22</v>
      </c>
      <c r="D24" s="151" t="s">
        <v>161</v>
      </c>
      <c r="E24" s="150">
        <v>11</v>
      </c>
      <c r="F24" s="150">
        <v>0</v>
      </c>
      <c r="G24" s="146">
        <v>289</v>
      </c>
      <c r="H24" s="226">
        <f t="shared" si="0"/>
        <v>26.272727272727273</v>
      </c>
      <c r="I24" s="364">
        <f>+(SUM($G$7:$G$1048576)/SUM($E$7:$E$1048576))*E24</f>
        <v>236.21378340365681</v>
      </c>
      <c r="J24" s="363">
        <f>+Tabla2[[#This Row],[PROM DE USUARIOS]]-Tabla2[[#This Row],[USUARIOS]]</f>
        <v>-52.786216596343195</v>
      </c>
      <c r="K24" s="151" t="s">
        <v>192</v>
      </c>
      <c r="L24" s="163">
        <f t="shared" si="1"/>
        <v>131750.06329113923</v>
      </c>
      <c r="M24" s="162">
        <f>+VLOOKUP(C24,Lista!B:D,3,0)</f>
        <v>0</v>
      </c>
      <c r="N24" s="372">
        <f>+(SUMIFS(G:G,M:M,"MICRO",E:E,"&gt;0")*100)/COUNTIF($E$7:$E$45,"&gt;0")</f>
        <v>12117.948717948719</v>
      </c>
      <c r="O24" s="50">
        <f t="shared" si="2"/>
        <v>11</v>
      </c>
      <c r="P24" s="47">
        <f t="shared" si="3"/>
        <v>225.21378340365681</v>
      </c>
      <c r="Q24" s="49">
        <f t="shared" si="4"/>
        <v>278</v>
      </c>
      <c r="R24" s="51">
        <f t="shared" si="5"/>
        <v>225.21378340365681</v>
      </c>
      <c r="S24" s="46">
        <f t="shared" si="6"/>
        <v>123867.58087201124</v>
      </c>
      <c r="T24" t="str">
        <f t="shared" si="7"/>
        <v xml:space="preserve">1 Descuento (Usuario desubicado) </v>
      </c>
      <c r="U24">
        <f>+RANK(H24,$H$6:$H$1048576,1)</f>
        <v>39</v>
      </c>
      <c r="Y24" t="str">
        <f>TRIM(Tabla2[[#This Row],[CONDUCTOR]])</f>
        <v>QUIRAMA CASTAÑEDA JHON JADER</v>
      </c>
    </row>
    <row r="25" spans="2:25" x14ac:dyDescent="0.2">
      <c r="B25" s="136" t="s">
        <v>124</v>
      </c>
      <c r="C25" s="166">
        <v>23</v>
      </c>
      <c r="D25" s="151" t="s">
        <v>181</v>
      </c>
      <c r="E25" s="150">
        <v>9.5</v>
      </c>
      <c r="F25" s="150">
        <v>0</v>
      </c>
      <c r="G25" s="146">
        <v>228</v>
      </c>
      <c r="H25" s="226">
        <f t="shared" ref="H25:H45" si="8">+G25/E25</f>
        <v>24</v>
      </c>
      <c r="I25" s="364">
        <f t="shared" ref="I25:I45" si="9">+(SUM($G$7:$G$1048576)/SUM($E$7:$E$1048576))*E25</f>
        <v>204.00281293952179</v>
      </c>
      <c r="J25" s="363">
        <f>+Tabla2[[#This Row],[PROM DE USUARIOS]]-Tabla2[[#This Row],[USUARIOS]]</f>
        <v>-23.997187060478211</v>
      </c>
      <c r="K25" s="151"/>
      <c r="L25" s="163">
        <f t="shared" ref="L25:L45" si="10">P25*585</f>
        <v>113784.14556962025</v>
      </c>
      <c r="M25" s="162" t="str">
        <f>+VLOOKUP(C25,Lista!B:D,3,0)</f>
        <v xml:space="preserve">MICRO </v>
      </c>
      <c r="N25" s="372">
        <f t="shared" ref="N25:N45" si="11">+(SUMIFS(G:G,M:M,"MICRO",E:E,"&gt;0")*100)/COUNTIF($E$7:$E$45,"&gt;0")</f>
        <v>12117.948717948719</v>
      </c>
      <c r="O25" s="50">
        <f t="shared" ref="O25:O45" si="12">+(E25*1)-V25</f>
        <v>9.5</v>
      </c>
      <c r="P25" s="47">
        <f t="shared" ref="P25:P45" si="13">+I25-O25-W25</f>
        <v>194.50281293952179</v>
      </c>
      <c r="Q25" s="49">
        <f t="shared" ref="Q25:Q45" si="14">+G25-O25</f>
        <v>218.5</v>
      </c>
      <c r="R25" s="51">
        <f t="shared" ref="R25:R45" si="15">+E25*$T$3</f>
        <v>194.50281293952179</v>
      </c>
      <c r="S25" s="46">
        <f t="shared" ref="S25:S45" si="16">+R25*550</f>
        <v>106976.54711673698</v>
      </c>
      <c r="T25" t="str">
        <f t="shared" ref="T25:T45" si="17">+IF(K25&lt;&gt;"",K25,"")</f>
        <v/>
      </c>
      <c r="U25">
        <f t="shared" ref="U25:U45" si="18">+RANK(H25,$H$6:$H$1048576,1)</f>
        <v>33</v>
      </c>
      <c r="Y25" t="str">
        <f>TRIM(Tabla2[[#This Row],[CONDUCTOR]])</f>
        <v>SALDARRIAGA PARRA LUIS ALBERTO</v>
      </c>
    </row>
    <row r="26" spans="2:25" x14ac:dyDescent="0.2">
      <c r="B26" s="136" t="s">
        <v>124</v>
      </c>
      <c r="C26" s="166">
        <v>24</v>
      </c>
      <c r="D26" s="151" t="s">
        <v>170</v>
      </c>
      <c r="E26" s="150">
        <v>10</v>
      </c>
      <c r="F26" s="150">
        <v>0</v>
      </c>
      <c r="G26" s="146">
        <v>211</v>
      </c>
      <c r="H26" s="226">
        <f t="shared" si="8"/>
        <v>21.1</v>
      </c>
      <c r="I26" s="364">
        <f t="shared" si="9"/>
        <v>214.73980309423348</v>
      </c>
      <c r="J26" s="363">
        <f>+Tabla2[[#This Row],[PROM DE USUARIOS]]-Tabla2[[#This Row],[USUARIOS]]</f>
        <v>3.7398030942334799</v>
      </c>
      <c r="K26" s="151" t="s">
        <v>193</v>
      </c>
      <c r="L26" s="163">
        <f t="shared" si="10"/>
        <v>119772.78481012658</v>
      </c>
      <c r="M26" s="162" t="str">
        <f>+VLOOKUP(C26,Lista!B:D,3,0)</f>
        <v>MICRO</v>
      </c>
      <c r="N26" s="372">
        <f t="shared" si="11"/>
        <v>12117.948717948719</v>
      </c>
      <c r="O26" s="50">
        <f t="shared" si="12"/>
        <v>10</v>
      </c>
      <c r="P26" s="47">
        <f t="shared" si="13"/>
        <v>204.73980309423348</v>
      </c>
      <c r="Q26" s="49">
        <f t="shared" si="14"/>
        <v>201</v>
      </c>
      <c r="R26" s="51">
        <f t="shared" si="15"/>
        <v>204.73980309423348</v>
      </c>
      <c r="S26" s="46">
        <f t="shared" si="16"/>
        <v>112606.89170182841</v>
      </c>
      <c r="T26" t="str">
        <f t="shared" si="17"/>
        <v xml:space="preserve">3 Descuentos (Conducts) </v>
      </c>
      <c r="U26">
        <f t="shared" si="18"/>
        <v>17</v>
      </c>
      <c r="Y26" t="str">
        <f>TRIM(Tabla2[[#This Row],[CONDUCTOR]])</f>
        <v>JIMENEZ HERNANDEZ ESTEBAN CAMILO</v>
      </c>
    </row>
    <row r="27" spans="2:25" x14ac:dyDescent="0.2">
      <c r="B27" s="136" t="s">
        <v>123</v>
      </c>
      <c r="C27" s="166">
        <v>25</v>
      </c>
      <c r="D27" s="151" t="s">
        <v>164</v>
      </c>
      <c r="E27" s="150">
        <v>9</v>
      </c>
      <c r="F27" s="150">
        <v>0</v>
      </c>
      <c r="G27" s="165">
        <v>232</v>
      </c>
      <c r="H27" s="226">
        <f t="shared" si="8"/>
        <v>25.777777777777779</v>
      </c>
      <c r="I27" s="364">
        <f t="shared" si="9"/>
        <v>193.26582278481013</v>
      </c>
      <c r="J27" s="363">
        <f>+Tabla2[[#This Row],[PROM DE USUARIOS]]-Tabla2[[#This Row],[USUARIOS]]</f>
        <v>-38.734177215189874</v>
      </c>
      <c r="K27" s="151" t="s">
        <v>194</v>
      </c>
      <c r="L27" s="163">
        <f t="shared" si="10"/>
        <v>107795.50632911392</v>
      </c>
      <c r="M27" s="162">
        <f>+VLOOKUP(C27,Lista!B:D,3,0)</f>
        <v>0</v>
      </c>
      <c r="N27" s="372">
        <f t="shared" si="11"/>
        <v>12117.948717948719</v>
      </c>
      <c r="O27" s="50">
        <f t="shared" si="12"/>
        <v>9</v>
      </c>
      <c r="P27" s="47">
        <f t="shared" si="13"/>
        <v>184.26582278481013</v>
      </c>
      <c r="Q27" s="49">
        <f t="shared" si="14"/>
        <v>223</v>
      </c>
      <c r="R27" s="51">
        <f t="shared" si="15"/>
        <v>184.26582278481013</v>
      </c>
      <c r="S27" s="46">
        <f t="shared" si="16"/>
        <v>101346.20253164557</v>
      </c>
      <c r="T27" t="str">
        <f t="shared" si="17"/>
        <v xml:space="preserve">4 Descuentos (Transbordo) </v>
      </c>
      <c r="U27">
        <f t="shared" si="18"/>
        <v>38</v>
      </c>
      <c r="Y27" t="str">
        <f>TRIM(Tabla2[[#This Row],[CONDUCTOR]])</f>
        <v>JIMENEZ HURTADO CARLOS ESTIVEN</v>
      </c>
    </row>
    <row r="28" spans="2:25" x14ac:dyDescent="0.2">
      <c r="B28" s="136" t="s">
        <v>124</v>
      </c>
      <c r="C28" s="166">
        <v>26</v>
      </c>
      <c r="D28" s="151" t="s">
        <v>180</v>
      </c>
      <c r="E28" s="150">
        <v>9</v>
      </c>
      <c r="F28" s="150">
        <v>0</v>
      </c>
      <c r="G28" s="165">
        <v>186</v>
      </c>
      <c r="H28" s="226">
        <f t="shared" si="8"/>
        <v>20.666666666666668</v>
      </c>
      <c r="I28" s="364">
        <f t="shared" si="9"/>
        <v>193.26582278481013</v>
      </c>
      <c r="J28" s="363">
        <f>+Tabla2[[#This Row],[PROM DE USUARIOS]]-Tabla2[[#This Row],[USUARIOS]]</f>
        <v>7.2658227848101262</v>
      </c>
      <c r="K28" s="151" t="s">
        <v>195</v>
      </c>
      <c r="L28" s="163">
        <f t="shared" si="10"/>
        <v>107795.50632911392</v>
      </c>
      <c r="M28" s="162" t="str">
        <f>+VLOOKUP(C28,Lista!B:D,3,0)</f>
        <v>MICRO</v>
      </c>
      <c r="N28" s="372">
        <f t="shared" si="11"/>
        <v>12117.948717948719</v>
      </c>
      <c r="O28" s="50">
        <f t="shared" si="12"/>
        <v>9</v>
      </c>
      <c r="P28" s="47">
        <f t="shared" si="13"/>
        <v>184.26582278481013</v>
      </c>
      <c r="Q28" s="49">
        <f t="shared" si="14"/>
        <v>177</v>
      </c>
      <c r="R28" s="51">
        <f t="shared" si="15"/>
        <v>184.26582278481013</v>
      </c>
      <c r="S28" s="46">
        <f t="shared" si="16"/>
        <v>101346.20253164557</v>
      </c>
      <c r="T28" t="str">
        <f t="shared" si="17"/>
        <v xml:space="preserve">1 Descuento (Despachador) </v>
      </c>
      <c r="U28">
        <f t="shared" si="18"/>
        <v>16</v>
      </c>
      <c r="Y28" t="str">
        <f>TRIM(Tabla2[[#This Row],[CONDUCTOR]])</f>
        <v>CIRO MARIN RODRIGO ALBERTO</v>
      </c>
    </row>
    <row r="29" spans="2:25" x14ac:dyDescent="0.2">
      <c r="B29" s="136" t="s">
        <v>123</v>
      </c>
      <c r="C29" s="137">
        <v>27</v>
      </c>
      <c r="D29" s="151" t="s">
        <v>175</v>
      </c>
      <c r="E29" s="150">
        <v>12</v>
      </c>
      <c r="F29" s="150">
        <v>0</v>
      </c>
      <c r="G29" s="146">
        <v>214</v>
      </c>
      <c r="H29" s="226">
        <f t="shared" si="8"/>
        <v>17.833333333333332</v>
      </c>
      <c r="I29" s="364">
        <f t="shared" si="9"/>
        <v>257.68776371308013</v>
      </c>
      <c r="J29" s="363">
        <f>+Tabla2[[#This Row],[PROM DE USUARIOS]]-Tabla2[[#This Row],[USUARIOS]]</f>
        <v>43.68776371308013</v>
      </c>
      <c r="K29" s="151"/>
      <c r="L29" s="163">
        <f t="shared" si="10"/>
        <v>143727.34177215188</v>
      </c>
      <c r="M29" s="162" t="str">
        <f>+VLOOKUP(C29,Lista!B:D,3,0)</f>
        <v>MICRO</v>
      </c>
      <c r="N29" s="372">
        <f t="shared" si="11"/>
        <v>12117.948717948719</v>
      </c>
      <c r="O29" s="50">
        <f t="shared" si="12"/>
        <v>12</v>
      </c>
      <c r="P29" s="47">
        <f t="shared" si="13"/>
        <v>245.68776371308013</v>
      </c>
      <c r="Q29" s="49">
        <f t="shared" si="14"/>
        <v>202</v>
      </c>
      <c r="R29" s="51">
        <f t="shared" si="15"/>
        <v>245.68776371308016</v>
      </c>
      <c r="S29" s="46">
        <f t="shared" si="16"/>
        <v>135128.27004219408</v>
      </c>
      <c r="T29" t="str">
        <f t="shared" si="17"/>
        <v/>
      </c>
      <c r="U29">
        <f t="shared" si="18"/>
        <v>4</v>
      </c>
      <c r="Y29" t="str">
        <f>TRIM(Tabla2[[#This Row],[CONDUCTOR]])</f>
        <v>FLORES RINCON JORGE ALBERTO</v>
      </c>
    </row>
    <row r="30" spans="2:25" s="2" customFormat="1" x14ac:dyDescent="0.2">
      <c r="B30" s="136" t="s">
        <v>124</v>
      </c>
      <c r="C30" s="166">
        <v>28</v>
      </c>
      <c r="D30" s="151" t="s">
        <v>158</v>
      </c>
      <c r="E30" s="150">
        <v>10</v>
      </c>
      <c r="F30" s="150">
        <v>0</v>
      </c>
      <c r="G30" s="165">
        <v>243</v>
      </c>
      <c r="H30" s="226">
        <f t="shared" si="8"/>
        <v>24.3</v>
      </c>
      <c r="I30" s="364">
        <f t="shared" si="9"/>
        <v>214.73980309423348</v>
      </c>
      <c r="J30" s="363">
        <f>+Tabla2[[#This Row],[PROM DE USUARIOS]]-Tabla2[[#This Row],[USUARIOS]]</f>
        <v>-28.26019690576652</v>
      </c>
      <c r="K30" s="151" t="s">
        <v>196</v>
      </c>
      <c r="L30" s="163">
        <f t="shared" si="10"/>
        <v>119772.78481012658</v>
      </c>
      <c r="M30" s="162" t="str">
        <f>+VLOOKUP(C30,Lista!B:D,3,0)</f>
        <v>MICRO</v>
      </c>
      <c r="N30" s="372">
        <f t="shared" si="11"/>
        <v>12117.948717948719</v>
      </c>
      <c r="O30" s="50">
        <f t="shared" si="12"/>
        <v>10</v>
      </c>
      <c r="P30" s="47">
        <f t="shared" si="13"/>
        <v>204.73980309423348</v>
      </c>
      <c r="Q30" s="49">
        <f t="shared" si="14"/>
        <v>233</v>
      </c>
      <c r="R30" s="51">
        <f t="shared" si="15"/>
        <v>204.73980309423348</v>
      </c>
      <c r="S30" s="46">
        <f t="shared" si="16"/>
        <v>112606.89170182841</v>
      </c>
      <c r="T30" t="str">
        <f t="shared" si="17"/>
        <v xml:space="preserve">3 Descuentos (Transbordo) </v>
      </c>
      <c r="U30">
        <f t="shared" si="18"/>
        <v>35</v>
      </c>
      <c r="Y30" t="str">
        <f>TRIM(Tabla2[[#This Row],[CONDUCTOR]])</f>
        <v>OSORIO URREGO SANTIAGO</v>
      </c>
    </row>
    <row r="31" spans="2:25" x14ac:dyDescent="0.2">
      <c r="B31" s="136" t="s">
        <v>123</v>
      </c>
      <c r="C31" s="166">
        <v>29</v>
      </c>
      <c r="D31" s="151" t="s">
        <v>183</v>
      </c>
      <c r="E31" s="150">
        <v>11</v>
      </c>
      <c r="F31" s="150">
        <v>0.5</v>
      </c>
      <c r="G31" s="165">
        <v>281</v>
      </c>
      <c r="H31" s="226">
        <f t="shared" si="8"/>
        <v>25.545454545454547</v>
      </c>
      <c r="I31" s="364">
        <f t="shared" si="9"/>
        <v>236.21378340365681</v>
      </c>
      <c r="J31" s="363">
        <f>+Tabla2[[#This Row],[PROM DE USUARIOS]]-Tabla2[[#This Row],[USUARIOS]]</f>
        <v>-44.786216596343195</v>
      </c>
      <c r="K31" s="151" t="s">
        <v>201</v>
      </c>
      <c r="L31" s="163">
        <f t="shared" si="10"/>
        <v>125761.41829113923</v>
      </c>
      <c r="M31" s="162" t="str">
        <f>+VLOOKUP(C31,Lista!B:D,3,0)</f>
        <v>MICRO</v>
      </c>
      <c r="N31" s="372">
        <f t="shared" si="11"/>
        <v>12117.948717948719</v>
      </c>
      <c r="O31" s="50">
        <f t="shared" si="12"/>
        <v>10.5</v>
      </c>
      <c r="P31" s="47">
        <f t="shared" si="13"/>
        <v>214.97678340365681</v>
      </c>
      <c r="Q31" s="49">
        <f t="shared" si="14"/>
        <v>270.5</v>
      </c>
      <c r="R31" s="51">
        <f t="shared" si="15"/>
        <v>225.21378340365681</v>
      </c>
      <c r="S31" s="46">
        <f t="shared" si="16"/>
        <v>123867.58087201124</v>
      </c>
      <c r="T31" t="str">
        <f t="shared" si="17"/>
        <v xml:space="preserve">Se descuenta 0.5 viaje de 11 23 am ya que NO ingresa a placita zea </v>
      </c>
      <c r="U31">
        <f t="shared" si="18"/>
        <v>37</v>
      </c>
      <c r="V31">
        <v>0.5</v>
      </c>
      <c r="W31">
        <v>10.737</v>
      </c>
      <c r="Y31" t="str">
        <f>TRIM(Tabla2[[#This Row],[CONDUCTOR]])</f>
        <v>MURILLO YORMAN ANDRES</v>
      </c>
    </row>
    <row r="32" spans="2:25" x14ac:dyDescent="0.2">
      <c r="B32" s="136" t="s">
        <v>124</v>
      </c>
      <c r="C32" s="166">
        <v>30</v>
      </c>
      <c r="D32" s="151" t="s">
        <v>159</v>
      </c>
      <c r="E32" s="150">
        <v>4.5</v>
      </c>
      <c r="F32" s="150">
        <v>0.5</v>
      </c>
      <c r="G32" s="165">
        <v>120</v>
      </c>
      <c r="H32" s="226">
        <f t="shared" si="8"/>
        <v>26.666666666666668</v>
      </c>
      <c r="I32" s="364">
        <f t="shared" si="9"/>
        <v>96.632911392405063</v>
      </c>
      <c r="J32" s="363">
        <f>+Tabla2[[#This Row],[PROM DE USUARIOS]]-Tabla2[[#This Row],[USUARIOS]]</f>
        <v>-23.367088607594937</v>
      </c>
      <c r="K32" s="151"/>
      <c r="L32" s="163">
        <f t="shared" si="10"/>
        <v>53897.753164556962</v>
      </c>
      <c r="M32" s="162" t="str">
        <f>+VLOOKUP(C32,Lista!B:D,3,0)</f>
        <v>MICRO</v>
      </c>
      <c r="N32" s="372">
        <f t="shared" si="11"/>
        <v>12117.948717948719</v>
      </c>
      <c r="O32" s="50">
        <f t="shared" si="12"/>
        <v>4.5</v>
      </c>
      <c r="P32" s="47">
        <f t="shared" si="13"/>
        <v>92.132911392405063</v>
      </c>
      <c r="Q32" s="49">
        <f t="shared" si="14"/>
        <v>115.5</v>
      </c>
      <c r="R32" s="51">
        <f t="shared" si="15"/>
        <v>92.132911392405063</v>
      </c>
      <c r="S32" s="46">
        <f t="shared" si="16"/>
        <v>50673.101265822785</v>
      </c>
      <c r="T32" t="str">
        <f t="shared" si="17"/>
        <v/>
      </c>
      <c r="U32">
        <f t="shared" si="18"/>
        <v>40</v>
      </c>
      <c r="Y32" t="str">
        <f>TRIM(Tabla2[[#This Row],[CONDUCTOR]])</f>
        <v>AGUDELO GARCIA LLORDIN ELIAS</v>
      </c>
    </row>
    <row r="33" spans="2:25" x14ac:dyDescent="0.2">
      <c r="B33" s="136" t="s">
        <v>123</v>
      </c>
      <c r="C33" s="166">
        <v>31</v>
      </c>
      <c r="D33" s="151" t="s">
        <v>151</v>
      </c>
      <c r="E33" s="150">
        <v>10</v>
      </c>
      <c r="F33" s="150">
        <v>0</v>
      </c>
      <c r="G33" s="165">
        <v>203</v>
      </c>
      <c r="H33" s="226">
        <f t="shared" si="8"/>
        <v>20.3</v>
      </c>
      <c r="I33" s="364">
        <f t="shared" si="9"/>
        <v>214.73980309423348</v>
      </c>
      <c r="J33" s="363">
        <f>+Tabla2[[#This Row],[PROM DE USUARIOS]]-Tabla2[[#This Row],[USUARIOS]]</f>
        <v>11.73980309423348</v>
      </c>
      <c r="K33" s="151"/>
      <c r="L33" s="163">
        <f t="shared" si="10"/>
        <v>119772.78481012658</v>
      </c>
      <c r="M33" s="162" t="str">
        <f>+VLOOKUP(C33,Lista!B:D,3,0)</f>
        <v>MICRO</v>
      </c>
      <c r="N33" s="372">
        <f t="shared" si="11"/>
        <v>12117.948717948719</v>
      </c>
      <c r="O33" s="50">
        <f t="shared" si="12"/>
        <v>10</v>
      </c>
      <c r="P33" s="47">
        <f t="shared" si="13"/>
        <v>204.73980309423348</v>
      </c>
      <c r="Q33" s="49">
        <f t="shared" si="14"/>
        <v>193</v>
      </c>
      <c r="R33" s="51">
        <f t="shared" si="15"/>
        <v>204.73980309423348</v>
      </c>
      <c r="S33" s="46">
        <f t="shared" si="16"/>
        <v>112606.89170182841</v>
      </c>
      <c r="T33" t="str">
        <f t="shared" si="17"/>
        <v/>
      </c>
      <c r="U33">
        <f t="shared" si="18"/>
        <v>13</v>
      </c>
      <c r="Y33" t="str">
        <f>TRIM(Tabla2[[#This Row],[CONDUCTOR]])</f>
        <v>IBARGUEN GARRIDO JUAN ESTEBAN</v>
      </c>
    </row>
    <row r="34" spans="2:25" x14ac:dyDescent="0.2">
      <c r="B34" s="136" t="s">
        <v>124</v>
      </c>
      <c r="C34" s="137">
        <v>32</v>
      </c>
      <c r="D34" s="151" t="s">
        <v>162</v>
      </c>
      <c r="E34" s="150">
        <v>1</v>
      </c>
      <c r="F34" s="150"/>
      <c r="G34" s="165">
        <v>23</v>
      </c>
      <c r="H34" s="226">
        <f t="shared" si="8"/>
        <v>23</v>
      </c>
      <c r="I34" s="364">
        <f t="shared" si="9"/>
        <v>21.473980309423347</v>
      </c>
      <c r="J34" s="363">
        <f>+Tabla2[[#This Row],[PROM DE USUARIOS]]-Tabla2[[#This Row],[USUARIOS]]</f>
        <v>-1.5260196905766534</v>
      </c>
      <c r="K34" s="151" t="s">
        <v>191</v>
      </c>
      <c r="L34" s="163">
        <f t="shared" si="10"/>
        <v>11977.278481012658</v>
      </c>
      <c r="M34" s="162" t="str">
        <f>+VLOOKUP(C34,Lista!B:D,3,0)</f>
        <v>MICRO</v>
      </c>
      <c r="N34" s="372">
        <f t="shared" si="11"/>
        <v>12117.948717948719</v>
      </c>
      <c r="O34" s="50">
        <f t="shared" si="12"/>
        <v>1</v>
      </c>
      <c r="P34" s="47">
        <f t="shared" si="13"/>
        <v>20.473980309423347</v>
      </c>
      <c r="Q34" s="49">
        <f t="shared" si="14"/>
        <v>22</v>
      </c>
      <c r="R34" s="51">
        <f t="shared" si="15"/>
        <v>20.473980309423347</v>
      </c>
      <c r="S34" s="46">
        <f t="shared" si="16"/>
        <v>11260.689170182841</v>
      </c>
      <c r="T34" t="str">
        <f t="shared" si="17"/>
        <v xml:space="preserve">5 Descuentos (Transbordo) </v>
      </c>
      <c r="U34">
        <f t="shared" si="18"/>
        <v>30</v>
      </c>
      <c r="Y34" t="str">
        <f>TRIM(Tabla2[[#This Row],[CONDUCTOR]])</f>
        <v>LAYOS JIMENEZ JOHAN CAMILO</v>
      </c>
    </row>
    <row r="35" spans="2:25" x14ac:dyDescent="0.2">
      <c r="B35" s="136" t="s">
        <v>123</v>
      </c>
      <c r="C35" s="166">
        <v>33</v>
      </c>
      <c r="D35" s="151" t="s">
        <v>168</v>
      </c>
      <c r="E35" s="150">
        <v>10</v>
      </c>
      <c r="F35" s="150">
        <v>0</v>
      </c>
      <c r="G35" s="165">
        <v>230</v>
      </c>
      <c r="H35" s="226">
        <f t="shared" si="8"/>
        <v>23</v>
      </c>
      <c r="I35" s="364">
        <f t="shared" si="9"/>
        <v>214.73980309423348</v>
      </c>
      <c r="J35" s="363">
        <f>+Tabla2[[#This Row],[PROM DE USUARIOS]]-Tabla2[[#This Row],[USUARIOS]]</f>
        <v>-15.26019690576652</v>
      </c>
      <c r="K35" s="151" t="s">
        <v>197</v>
      </c>
      <c r="L35" s="163">
        <f t="shared" si="10"/>
        <v>119772.78481012658</v>
      </c>
      <c r="M35" s="162" t="str">
        <f>+VLOOKUP(C35,Lista!B:D,3,0)</f>
        <v>MICRO</v>
      </c>
      <c r="N35" s="372">
        <f t="shared" si="11"/>
        <v>12117.948717948719</v>
      </c>
      <c r="O35" s="50">
        <f t="shared" si="12"/>
        <v>10</v>
      </c>
      <c r="P35" s="47">
        <f t="shared" si="13"/>
        <v>204.73980309423348</v>
      </c>
      <c r="Q35" s="49">
        <f t="shared" si="14"/>
        <v>220</v>
      </c>
      <c r="R35" s="51">
        <f t="shared" si="15"/>
        <v>204.73980309423348</v>
      </c>
      <c r="S35" s="46">
        <f t="shared" si="16"/>
        <v>112606.89170182841</v>
      </c>
      <c r="T35" t="str">
        <f t="shared" si="17"/>
        <v xml:space="preserve">1 Descuento (Transbordo) </v>
      </c>
      <c r="U35">
        <f t="shared" si="18"/>
        <v>30</v>
      </c>
      <c r="Y35" t="str">
        <f>TRIM(Tabla2[[#This Row],[CONDUCTOR]])</f>
        <v>HINCAPIE VILLA JUAN ESTIVEN</v>
      </c>
    </row>
    <row r="36" spans="2:25" x14ac:dyDescent="0.2">
      <c r="B36" s="136" t="s">
        <v>124</v>
      </c>
      <c r="C36" s="166">
        <v>34</v>
      </c>
      <c r="D36" s="151" t="s">
        <v>184</v>
      </c>
      <c r="E36" s="150">
        <v>13</v>
      </c>
      <c r="F36" s="150">
        <v>0</v>
      </c>
      <c r="G36" s="165">
        <v>266</v>
      </c>
      <c r="H36" s="226">
        <f t="shared" si="8"/>
        <v>20.46153846153846</v>
      </c>
      <c r="I36" s="364">
        <f t="shared" si="9"/>
        <v>279.16174402250351</v>
      </c>
      <c r="J36" s="363">
        <f>+Tabla2[[#This Row],[PROM DE USUARIOS]]-Tabla2[[#This Row],[USUARIOS]]</f>
        <v>13.161744022503512</v>
      </c>
      <c r="K36" s="151"/>
      <c r="L36" s="163">
        <f t="shared" si="10"/>
        <v>155704.62025316455</v>
      </c>
      <c r="M36" s="162" t="str">
        <f>+VLOOKUP(C36,Lista!B:D,3,0)</f>
        <v>MICRO</v>
      </c>
      <c r="N36" s="372">
        <f t="shared" si="11"/>
        <v>12117.948717948719</v>
      </c>
      <c r="O36" s="50">
        <f t="shared" si="12"/>
        <v>13</v>
      </c>
      <c r="P36" s="47">
        <f t="shared" si="13"/>
        <v>266.16174402250351</v>
      </c>
      <c r="Q36" s="49">
        <f t="shared" si="14"/>
        <v>253</v>
      </c>
      <c r="R36" s="51">
        <f t="shared" si="15"/>
        <v>266.16174402250351</v>
      </c>
      <c r="S36" s="46">
        <f t="shared" si="16"/>
        <v>146388.95921237694</v>
      </c>
      <c r="T36" t="str">
        <f t="shared" si="17"/>
        <v/>
      </c>
      <c r="U36">
        <f t="shared" si="18"/>
        <v>14</v>
      </c>
      <c r="Y36" t="str">
        <f>TRIM(Tabla2[[#This Row],[CONDUCTOR]])</f>
        <v>MONTOYA OSPINA GILBERTO ANTONIO</v>
      </c>
    </row>
    <row r="37" spans="2:25" x14ac:dyDescent="0.2">
      <c r="B37" s="136" t="s">
        <v>123</v>
      </c>
      <c r="C37" s="166">
        <v>35</v>
      </c>
      <c r="D37" s="151" t="s">
        <v>149</v>
      </c>
      <c r="E37" s="150">
        <v>8</v>
      </c>
      <c r="F37" s="150">
        <v>0</v>
      </c>
      <c r="G37" s="165">
        <v>183</v>
      </c>
      <c r="H37" s="226">
        <f t="shared" si="8"/>
        <v>22.875</v>
      </c>
      <c r="I37" s="364">
        <f t="shared" si="9"/>
        <v>171.79184247538677</v>
      </c>
      <c r="J37" s="363">
        <f>+Tabla2[[#This Row],[PROM DE USUARIOS]]-Tabla2[[#This Row],[USUARIOS]]</f>
        <v>-11.208157524613227</v>
      </c>
      <c r="K37" s="151"/>
      <c r="L37" s="163">
        <f t="shared" si="10"/>
        <v>95818.227848101262</v>
      </c>
      <c r="M37" s="162">
        <f>+VLOOKUP(C37,Lista!B:D,3,0)</f>
        <v>0</v>
      </c>
      <c r="N37" s="372">
        <f t="shared" si="11"/>
        <v>12117.948717948719</v>
      </c>
      <c r="O37" s="50">
        <f t="shared" si="12"/>
        <v>8</v>
      </c>
      <c r="P37" s="47">
        <f t="shared" si="13"/>
        <v>163.79184247538677</v>
      </c>
      <c r="Q37" s="49">
        <f t="shared" si="14"/>
        <v>175</v>
      </c>
      <c r="R37" s="51">
        <f t="shared" si="15"/>
        <v>163.79184247538677</v>
      </c>
      <c r="S37" s="46">
        <f t="shared" si="16"/>
        <v>90085.513361462727</v>
      </c>
      <c r="T37" t="str">
        <f t="shared" si="17"/>
        <v/>
      </c>
      <c r="U37">
        <f t="shared" si="18"/>
        <v>29</v>
      </c>
      <c r="Y37" t="str">
        <f>TRIM(Tabla2[[#This Row],[CONDUCTOR]])</f>
        <v>ARAQUE ARROYAVE JOSE ALBEIRO</v>
      </c>
    </row>
    <row r="38" spans="2:25" x14ac:dyDescent="0.2">
      <c r="B38" s="136" t="s">
        <v>124</v>
      </c>
      <c r="C38" s="166">
        <v>36</v>
      </c>
      <c r="D38" s="151" t="s">
        <v>182</v>
      </c>
      <c r="E38" s="150">
        <v>10</v>
      </c>
      <c r="F38" s="150">
        <v>0</v>
      </c>
      <c r="G38" s="165">
        <v>241</v>
      </c>
      <c r="H38" s="226">
        <f t="shared" si="8"/>
        <v>24.1</v>
      </c>
      <c r="I38" s="364">
        <f t="shared" si="9"/>
        <v>214.73980309423348</v>
      </c>
      <c r="J38" s="363">
        <f>+Tabla2[[#This Row],[PROM DE USUARIOS]]-Tabla2[[#This Row],[USUARIOS]]</f>
        <v>-26.26019690576652</v>
      </c>
      <c r="K38" s="151" t="s">
        <v>197</v>
      </c>
      <c r="L38" s="163">
        <f t="shared" si="10"/>
        <v>119772.78481012658</v>
      </c>
      <c r="M38" s="162" t="str">
        <f>+VLOOKUP(C38,Lista!B:D,3,0)</f>
        <v>MICRO</v>
      </c>
      <c r="N38" s="372">
        <f t="shared" si="11"/>
        <v>12117.948717948719</v>
      </c>
      <c r="O38" s="50">
        <f t="shared" si="12"/>
        <v>10</v>
      </c>
      <c r="P38" s="47">
        <f t="shared" si="13"/>
        <v>204.73980309423348</v>
      </c>
      <c r="Q38" s="49">
        <f t="shared" si="14"/>
        <v>231</v>
      </c>
      <c r="R38" s="51">
        <f t="shared" si="15"/>
        <v>204.73980309423348</v>
      </c>
      <c r="S38" s="46">
        <f t="shared" si="16"/>
        <v>112606.89170182841</v>
      </c>
      <c r="T38" t="str">
        <f t="shared" si="17"/>
        <v xml:space="preserve">1 Descuento (Transbordo) </v>
      </c>
      <c r="U38">
        <f t="shared" si="18"/>
        <v>34</v>
      </c>
      <c r="Y38" t="str">
        <f>TRIM(Tabla2[[#This Row],[CONDUCTOR]])</f>
        <v>MARTINEZ CHAVERRA LUIS NORBERTO</v>
      </c>
    </row>
    <row r="39" spans="2:25" x14ac:dyDescent="0.2">
      <c r="B39" s="136" t="s">
        <v>123</v>
      </c>
      <c r="C39" s="166">
        <v>37</v>
      </c>
      <c r="D39" s="151" t="s">
        <v>171</v>
      </c>
      <c r="E39" s="150">
        <v>10</v>
      </c>
      <c r="F39" s="150">
        <v>0</v>
      </c>
      <c r="G39" s="165">
        <v>212</v>
      </c>
      <c r="H39" s="226">
        <f t="shared" si="8"/>
        <v>21.2</v>
      </c>
      <c r="I39" s="364">
        <f t="shared" si="9"/>
        <v>214.73980309423348</v>
      </c>
      <c r="J39" s="363">
        <f>+Tabla2[[#This Row],[PROM DE USUARIOS]]-Tabla2[[#This Row],[USUARIOS]]</f>
        <v>2.7398030942334799</v>
      </c>
      <c r="K39" s="151"/>
      <c r="L39" s="163">
        <f t="shared" si="10"/>
        <v>119772.78481012658</v>
      </c>
      <c r="M39" s="162">
        <f>+VLOOKUP(C39,Lista!B:D,3,0)</f>
        <v>0</v>
      </c>
      <c r="N39" s="372">
        <f t="shared" si="11"/>
        <v>12117.948717948719</v>
      </c>
      <c r="O39" s="50">
        <f t="shared" si="12"/>
        <v>10</v>
      </c>
      <c r="P39" s="47">
        <f t="shared" si="13"/>
        <v>204.73980309423348</v>
      </c>
      <c r="Q39" s="49">
        <f t="shared" si="14"/>
        <v>202</v>
      </c>
      <c r="R39" s="51">
        <f t="shared" si="15"/>
        <v>204.73980309423348</v>
      </c>
      <c r="S39" s="46">
        <f t="shared" si="16"/>
        <v>112606.89170182841</v>
      </c>
      <c r="T39" t="str">
        <f t="shared" si="17"/>
        <v/>
      </c>
      <c r="U39">
        <f t="shared" si="18"/>
        <v>18</v>
      </c>
      <c r="Y39" t="str">
        <f>TRIM(Tabla2[[#This Row],[CONDUCTOR]])</f>
        <v>TABORDA ROJAS DIEGO ALEJANDRO</v>
      </c>
    </row>
    <row r="40" spans="2:25" x14ac:dyDescent="0.2">
      <c r="B40" s="136" t="s">
        <v>124</v>
      </c>
      <c r="C40" s="166">
        <v>38</v>
      </c>
      <c r="D40" s="151" t="s">
        <v>185</v>
      </c>
      <c r="E40" s="150">
        <v>8</v>
      </c>
      <c r="F40" s="150">
        <v>0</v>
      </c>
      <c r="G40" s="165">
        <v>162</v>
      </c>
      <c r="H40" s="226">
        <f t="shared" si="8"/>
        <v>20.25</v>
      </c>
      <c r="I40" s="364">
        <f t="shared" si="9"/>
        <v>171.79184247538677</v>
      </c>
      <c r="J40" s="363">
        <f>+Tabla2[[#This Row],[PROM DE USUARIOS]]-Tabla2[[#This Row],[USUARIOS]]</f>
        <v>9.7918424753867725</v>
      </c>
      <c r="K40" s="151" t="s">
        <v>189</v>
      </c>
      <c r="L40" s="163">
        <f t="shared" si="10"/>
        <v>95818.227848101262</v>
      </c>
      <c r="M40" s="162" t="str">
        <f>+VLOOKUP(C40,Lista!B:D,3,0)</f>
        <v>MICRO</v>
      </c>
      <c r="N40" s="372">
        <f t="shared" si="11"/>
        <v>12117.948717948719</v>
      </c>
      <c r="O40" s="50">
        <f t="shared" si="12"/>
        <v>8</v>
      </c>
      <c r="P40" s="47">
        <f t="shared" si="13"/>
        <v>163.79184247538677</v>
      </c>
      <c r="Q40" s="49">
        <f t="shared" si="14"/>
        <v>154</v>
      </c>
      <c r="R40" s="51">
        <f t="shared" si="15"/>
        <v>163.79184247538677</v>
      </c>
      <c r="S40" s="46">
        <f t="shared" si="16"/>
        <v>90085.513361462727</v>
      </c>
      <c r="T40" t="str">
        <f t="shared" si="17"/>
        <v xml:space="preserve">2 Descuentos (Transbordo) </v>
      </c>
      <c r="U40">
        <f t="shared" si="18"/>
        <v>12</v>
      </c>
      <c r="Y40" t="str">
        <f>TRIM(Tabla2[[#This Row],[CONDUCTOR]])</f>
        <v>PARRA VILLA YUBER ALONSO</v>
      </c>
    </row>
    <row r="41" spans="2:25" x14ac:dyDescent="0.2">
      <c r="B41" s="136" t="s">
        <v>123</v>
      </c>
      <c r="C41" s="166">
        <v>39</v>
      </c>
      <c r="D41" s="151" t="s">
        <v>156</v>
      </c>
      <c r="E41" s="150">
        <v>12</v>
      </c>
      <c r="F41" s="150">
        <v>0</v>
      </c>
      <c r="G41" s="146">
        <v>261</v>
      </c>
      <c r="H41" s="226">
        <f t="shared" si="8"/>
        <v>21.75</v>
      </c>
      <c r="I41" s="364">
        <f t="shared" si="9"/>
        <v>257.68776371308013</v>
      </c>
      <c r="J41" s="363">
        <f>+Tabla2[[#This Row],[PROM DE USUARIOS]]-Tabla2[[#This Row],[USUARIOS]]</f>
        <v>-3.3122362869198696</v>
      </c>
      <c r="K41" s="151" t="s">
        <v>197</v>
      </c>
      <c r="L41" s="163">
        <f t="shared" si="10"/>
        <v>143727.34177215188</v>
      </c>
      <c r="M41" s="162" t="str">
        <f>+VLOOKUP(C41,Lista!B:D,3,0)</f>
        <v>MICRO</v>
      </c>
      <c r="N41" s="372">
        <f t="shared" si="11"/>
        <v>12117.948717948719</v>
      </c>
      <c r="O41" s="50">
        <f t="shared" si="12"/>
        <v>12</v>
      </c>
      <c r="P41" s="47">
        <f t="shared" si="13"/>
        <v>245.68776371308013</v>
      </c>
      <c r="Q41" s="49">
        <f t="shared" si="14"/>
        <v>249</v>
      </c>
      <c r="R41" s="51">
        <f t="shared" si="15"/>
        <v>245.68776371308016</v>
      </c>
      <c r="S41" s="46">
        <f t="shared" si="16"/>
        <v>135128.27004219408</v>
      </c>
      <c r="T41" t="str">
        <f t="shared" si="17"/>
        <v xml:space="preserve">1 Descuento (Transbordo) </v>
      </c>
      <c r="U41">
        <f t="shared" si="18"/>
        <v>23</v>
      </c>
      <c r="Y41" t="str">
        <f>TRIM(Tabla2[[#This Row],[CONDUCTOR]])</f>
        <v>PALMAR PANA EDIXON JOSUE</v>
      </c>
    </row>
    <row r="42" spans="2:25" x14ac:dyDescent="0.2">
      <c r="B42" s="136" t="s">
        <v>124</v>
      </c>
      <c r="C42" s="166">
        <v>40</v>
      </c>
      <c r="D42" s="151" t="s">
        <v>160</v>
      </c>
      <c r="E42" s="150">
        <v>10</v>
      </c>
      <c r="F42" s="150">
        <v>0</v>
      </c>
      <c r="G42" s="146">
        <v>205</v>
      </c>
      <c r="H42" s="226">
        <f t="shared" si="8"/>
        <v>20.5</v>
      </c>
      <c r="I42" s="364">
        <f t="shared" si="9"/>
        <v>214.73980309423348</v>
      </c>
      <c r="J42" s="363">
        <f>+Tabla2[[#This Row],[PROM DE USUARIOS]]-Tabla2[[#This Row],[USUARIOS]]</f>
        <v>9.7398030942334799</v>
      </c>
      <c r="K42" s="151" t="s">
        <v>198</v>
      </c>
      <c r="L42" s="163">
        <f t="shared" si="10"/>
        <v>119772.78481012658</v>
      </c>
      <c r="M42" s="162" t="str">
        <f>+VLOOKUP(C42,Lista!B:D,3,0)</f>
        <v>MICRO</v>
      </c>
      <c r="N42" s="372">
        <f t="shared" si="11"/>
        <v>12117.948717948719</v>
      </c>
      <c r="O42" s="50">
        <f t="shared" si="12"/>
        <v>10</v>
      </c>
      <c r="P42" s="47">
        <f t="shared" si="13"/>
        <v>204.73980309423348</v>
      </c>
      <c r="Q42" s="49">
        <f t="shared" si="14"/>
        <v>195</v>
      </c>
      <c r="R42" s="51">
        <f t="shared" si="15"/>
        <v>204.73980309423348</v>
      </c>
      <c r="S42" s="46">
        <f t="shared" si="16"/>
        <v>112606.89170182841</v>
      </c>
      <c r="T42" t="str">
        <f t="shared" si="17"/>
        <v xml:space="preserve">10 Descuentos (Transbordo y usuario desubicado) </v>
      </c>
      <c r="U42">
        <f t="shared" si="18"/>
        <v>15</v>
      </c>
      <c r="Y42" t="str">
        <f>TRIM(Tabla2[[#This Row],[CONDUCTOR]])</f>
        <v>OCAMPO OCAMPO ANTONIO JOSE</v>
      </c>
    </row>
    <row r="43" spans="2:25" x14ac:dyDescent="0.2">
      <c r="B43" s="136" t="s">
        <v>123</v>
      </c>
      <c r="C43" s="166">
        <v>41</v>
      </c>
      <c r="D43" s="151" t="s">
        <v>176</v>
      </c>
      <c r="E43" s="150">
        <v>10</v>
      </c>
      <c r="F43" s="150">
        <v>0</v>
      </c>
      <c r="G43" s="165">
        <v>238</v>
      </c>
      <c r="H43" s="226">
        <f t="shared" si="8"/>
        <v>23.8</v>
      </c>
      <c r="I43" s="364">
        <f t="shared" si="9"/>
        <v>214.73980309423348</v>
      </c>
      <c r="J43" s="363">
        <f>+Tabla2[[#This Row],[PROM DE USUARIOS]]-Tabla2[[#This Row],[USUARIOS]]</f>
        <v>-23.26019690576652</v>
      </c>
      <c r="K43" s="151" t="s">
        <v>189</v>
      </c>
      <c r="L43" s="163">
        <f t="shared" si="10"/>
        <v>119772.78481012658</v>
      </c>
      <c r="M43" s="162">
        <f>+VLOOKUP(C43,Lista!B:D,3,0)</f>
        <v>0</v>
      </c>
      <c r="N43" s="372">
        <f t="shared" si="11"/>
        <v>12117.948717948719</v>
      </c>
      <c r="O43" s="50">
        <f t="shared" si="12"/>
        <v>10</v>
      </c>
      <c r="P43" s="47">
        <f t="shared" si="13"/>
        <v>204.73980309423348</v>
      </c>
      <c r="Q43" s="49">
        <f t="shared" si="14"/>
        <v>228</v>
      </c>
      <c r="R43" s="51">
        <f t="shared" si="15"/>
        <v>204.73980309423348</v>
      </c>
      <c r="S43" s="46">
        <f t="shared" si="16"/>
        <v>112606.89170182841</v>
      </c>
      <c r="T43" t="str">
        <f t="shared" si="17"/>
        <v xml:space="preserve">2 Descuentos (Transbordo) </v>
      </c>
      <c r="U43">
        <f t="shared" si="18"/>
        <v>32</v>
      </c>
      <c r="Y43" t="str">
        <f>TRIM(Tabla2[[#This Row],[CONDUCTOR]])</f>
        <v>GARCIA DAVID WILSON ALBERTO</v>
      </c>
    </row>
    <row r="44" spans="2:25" x14ac:dyDescent="0.2">
      <c r="B44" s="136" t="s">
        <v>124</v>
      </c>
      <c r="C44" s="166">
        <v>42</v>
      </c>
      <c r="D44" s="151" t="s">
        <v>155</v>
      </c>
      <c r="E44" s="150">
        <v>9</v>
      </c>
      <c r="F44" s="150"/>
      <c r="G44" s="165">
        <v>180</v>
      </c>
      <c r="H44" s="226">
        <f t="shared" si="8"/>
        <v>20</v>
      </c>
      <c r="I44" s="364">
        <f t="shared" si="9"/>
        <v>193.26582278481013</v>
      </c>
      <c r="J44" s="363">
        <f>+Tabla2[[#This Row],[PROM DE USUARIOS]]-Tabla2[[#This Row],[USUARIOS]]</f>
        <v>13.265822784810126</v>
      </c>
      <c r="K44" s="151" t="s">
        <v>189</v>
      </c>
      <c r="L44" s="163">
        <f t="shared" si="10"/>
        <v>107795.50632911392</v>
      </c>
      <c r="M44" s="162">
        <f>+VLOOKUP(C44,Lista!B:D,3,0)</f>
        <v>0</v>
      </c>
      <c r="N44" s="372">
        <f t="shared" si="11"/>
        <v>12117.948717948719</v>
      </c>
      <c r="O44" s="50">
        <f t="shared" si="12"/>
        <v>9</v>
      </c>
      <c r="P44" s="47">
        <f t="shared" si="13"/>
        <v>184.26582278481013</v>
      </c>
      <c r="Q44" s="49">
        <f t="shared" si="14"/>
        <v>171</v>
      </c>
      <c r="R44" s="51">
        <f t="shared" si="15"/>
        <v>184.26582278481013</v>
      </c>
      <c r="S44" s="46">
        <f t="shared" si="16"/>
        <v>101346.20253164557</v>
      </c>
      <c r="T44" t="str">
        <f t="shared" si="17"/>
        <v xml:space="preserve">2 Descuentos (Transbordo) </v>
      </c>
      <c r="U44">
        <f t="shared" si="18"/>
        <v>9</v>
      </c>
      <c r="Y44" t="str">
        <f>TRIM(Tabla2[[#This Row],[CONDUCTOR]])</f>
        <v>AGUDELO GARCIA DENIN ANGELO</v>
      </c>
    </row>
    <row r="45" spans="2:25" x14ac:dyDescent="0.2">
      <c r="B45" s="136" t="s">
        <v>123</v>
      </c>
      <c r="C45" s="166">
        <v>43</v>
      </c>
      <c r="D45" s="151" t="s">
        <v>177</v>
      </c>
      <c r="E45" s="150">
        <v>9</v>
      </c>
      <c r="F45" s="150">
        <v>0</v>
      </c>
      <c r="G45" s="165">
        <v>193</v>
      </c>
      <c r="H45" s="226">
        <f t="shared" si="8"/>
        <v>21.444444444444443</v>
      </c>
      <c r="I45" s="364">
        <f t="shared" si="9"/>
        <v>193.26582278481013</v>
      </c>
      <c r="J45" s="363">
        <f>+Tabla2[[#This Row],[PROM DE USUARIOS]]-Tabla2[[#This Row],[USUARIOS]]</f>
        <v>0.26582278481012622</v>
      </c>
      <c r="K45" s="151"/>
      <c r="L45" s="163">
        <f t="shared" si="10"/>
        <v>107795.50632911392</v>
      </c>
      <c r="M45" s="162">
        <f>+VLOOKUP(C45,Lista!B:D,3,0)</f>
        <v>0</v>
      </c>
      <c r="N45" s="372">
        <f t="shared" si="11"/>
        <v>12117.948717948719</v>
      </c>
      <c r="O45" s="50">
        <f t="shared" si="12"/>
        <v>9</v>
      </c>
      <c r="P45" s="47">
        <f t="shared" si="13"/>
        <v>184.26582278481013</v>
      </c>
      <c r="Q45" s="49">
        <f t="shared" si="14"/>
        <v>184</v>
      </c>
      <c r="R45" s="51">
        <f t="shared" si="15"/>
        <v>184.26582278481013</v>
      </c>
      <c r="S45" s="46">
        <f t="shared" si="16"/>
        <v>101346.20253164557</v>
      </c>
      <c r="T45" t="str">
        <f t="shared" si="17"/>
        <v/>
      </c>
      <c r="U45">
        <f t="shared" si="18"/>
        <v>21</v>
      </c>
      <c r="Y45" t="str">
        <f>TRIM(Tabla2[[#This Row],[CONDUCTOR]])</f>
        <v>CALLE BOTERO ANDRES CAMILO</v>
      </c>
    </row>
    <row r="46" spans="2:25" x14ac:dyDescent="0.2">
      <c r="B46" s="232"/>
      <c r="C46" s="239">
        <f>SUBTOTAL(102,Tabla2[VEH])</f>
        <v>39</v>
      </c>
      <c r="D46" s="233" t="s">
        <v>129</v>
      </c>
      <c r="E46" s="234">
        <f>SUBTOTAL(109,Tabla2[VIAJES])</f>
        <v>355.5</v>
      </c>
      <c r="F46" s="234">
        <f>SUBTOTAL(109,Tabla2[VIAJES PERD.])</f>
        <v>1.5</v>
      </c>
      <c r="G46" s="240">
        <f>SUBTOTAL(109,Tabla2[USUARIOS])</f>
        <v>7634</v>
      </c>
      <c r="H46" s="374">
        <f>+Tabla2[[#Totals],[USUARIOS]]/Tabla2[[#Totals],[VIAJES]]</f>
        <v>21.473980309423347</v>
      </c>
      <c r="I46" s="240">
        <f>SUBTOTAL(109,Tabla2[PROM DE USUARIOS])</f>
        <v>7633.9999999999982</v>
      </c>
      <c r="J46" s="373">
        <f>SUBTOTAL(109,Tabla2[RECIBE / ENTREGA])</f>
        <v>-1.3500311979441904E-13</v>
      </c>
      <c r="K46" s="235" t="s">
        <v>200</v>
      </c>
      <c r="L46" s="236"/>
      <c r="M46" s="237"/>
      <c r="N46" s="238">
        <f>SUBTOTAL(109,Tabla2[DIFER. MICRO - BUS ])</f>
        <v>472600.00000000047</v>
      </c>
      <c r="O46" s="50" t="e">
        <f>+(#REF!*1)-V46</f>
        <v>#REF!</v>
      </c>
      <c r="P46" s="47" t="e">
        <f>+#REF!-O46-W46</f>
        <v>#REF!</v>
      </c>
      <c r="Q46" s="49" t="e">
        <f>+#REF!-O46</f>
        <v>#REF!</v>
      </c>
      <c r="R46" s="51" t="e">
        <f>+#REF!*$T$3</f>
        <v>#REF!</v>
      </c>
      <c r="S46" s="46" t="e">
        <f t="shared" ref="S42:S46" si="19">+R46*550</f>
        <v>#REF!</v>
      </c>
      <c r="T46" t="e">
        <f>+IF(#REF!&lt;&gt;"",#REF!,"")</f>
        <v>#REF!</v>
      </c>
      <c r="U46" t="e">
        <f>+RANK(#REF!,$H$6:$H$1048576,1)</f>
        <v>#REF!</v>
      </c>
      <c r="Y46" t="e">
        <f>TRIM(Tabla2[[#This Row],[CONDUCTOR]])</f>
        <v>#VALUE!</v>
      </c>
    </row>
    <row r="47" spans="2:25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20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21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22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+(E109*1)-V50</f>
        <v>0</v>
      </c>
      <c r="P50" s="134">
        <f>+I109-O50-W50</f>
        <v>0</v>
      </c>
      <c r="Q50" s="11">
        <f>+G109-O50</f>
        <v>0</v>
      </c>
      <c r="R50">
        <f>+E109*$T$3</f>
        <v>0</v>
      </c>
      <c r="S50">
        <f t="shared" ref="S50:S55" si="23">+R50*550</f>
        <v>0</v>
      </c>
      <c r="T50" t="str">
        <f>+IF(K109&lt;&gt;"",K109,"")</f>
        <v/>
      </c>
      <c r="U50" t="e">
        <f>+RANK(H109,$H$6:$H$1048576,1)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+(E110*1)-V51</f>
        <v>0</v>
      </c>
      <c r="P51" s="134">
        <f>+I110-O51-W51</f>
        <v>0</v>
      </c>
      <c r="Q51" s="11">
        <f>+G110-O51</f>
        <v>0</v>
      </c>
      <c r="R51">
        <f>+E110*$T$3</f>
        <v>0</v>
      </c>
      <c r="S51">
        <f t="shared" si="23"/>
        <v>0</v>
      </c>
      <c r="T51" t="str">
        <f>+IF(K110&lt;&gt;"",K110,"")</f>
        <v/>
      </c>
      <c r="U51" t="e">
        <f>+RANK(H110,$H$6:$H$1048576,1)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+(E111*1)-V52</f>
        <v>0</v>
      </c>
      <c r="P52" s="134">
        <f>+I111-O52-W52</f>
        <v>0</v>
      </c>
      <c r="Q52" s="11">
        <f>+G111-O52</f>
        <v>0</v>
      </c>
      <c r="R52">
        <f>+E111*$T$3</f>
        <v>0</v>
      </c>
      <c r="S52">
        <f t="shared" si="23"/>
        <v>0</v>
      </c>
      <c r="T52" t="str">
        <f>+IF(K111&lt;&gt;"",K111,"")</f>
        <v/>
      </c>
      <c r="U52" t="e">
        <f>+RANK(H111,$H$6:$H$1048576,1)</f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+(E112*1)-V53</f>
        <v>0</v>
      </c>
      <c r="P53" s="134">
        <f>+I112-O53-W53</f>
        <v>0</v>
      </c>
      <c r="Q53" s="11">
        <f>+G112-O53</f>
        <v>0</v>
      </c>
      <c r="R53">
        <f>+E112*$T$3</f>
        <v>0</v>
      </c>
      <c r="S53">
        <f t="shared" si="23"/>
        <v>0</v>
      </c>
      <c r="T53" t="str">
        <f>+IF(K112&lt;&gt;"",K112,"")</f>
        <v/>
      </c>
      <c r="U53" t="e">
        <f>+RANK(H112,$H$6:$H$1048576,1)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>+(E113*1)-V54</f>
        <v>0</v>
      </c>
      <c r="P54" s="134">
        <f>+I113-O54-W54</f>
        <v>0</v>
      </c>
      <c r="Q54" s="11">
        <f>+G113-O54</f>
        <v>0</v>
      </c>
      <c r="R54">
        <f>+E113*$T$3</f>
        <v>0</v>
      </c>
      <c r="S54">
        <f t="shared" si="23"/>
        <v>0</v>
      </c>
      <c r="T54" t="str">
        <f>+IF(K113&lt;&gt;"",K113,"")</f>
        <v/>
      </c>
      <c r="U54" t="e">
        <f>+RANK(H113,$H$6:$H$1048576,1)</f>
        <v>#N/A</v>
      </c>
    </row>
    <row r="55" spans="2:21" x14ac:dyDescent="0.2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>+(E114*1)-V55</f>
        <v>0</v>
      </c>
      <c r="P55" s="134">
        <f>+I114-O55-W55</f>
        <v>0</v>
      </c>
      <c r="Q55" s="11">
        <f>+G114-O55</f>
        <v>0</v>
      </c>
      <c r="R55">
        <f>+E114*$T$3</f>
        <v>0</v>
      </c>
      <c r="S55">
        <f t="shared" si="23"/>
        <v>0</v>
      </c>
      <c r="T55" t="str">
        <f>+IF(K114&lt;&gt;"",K114,"")</f>
        <v/>
      </c>
      <c r="U55" t="e">
        <f>+RANK(H114,$H$6:$H$1048576,1)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4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4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4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4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+(E78*1)-V65</f>
        <v>0</v>
      </c>
      <c r="P65" s="134">
        <f>+I78-O65-W65</f>
        <v>0</v>
      </c>
      <c r="Q65" s="11">
        <f>+G78-O65</f>
        <v>0</v>
      </c>
      <c r="R65">
        <f>+E78*$T$3</f>
        <v>0</v>
      </c>
      <c r="S65">
        <f t="shared" si="24"/>
        <v>0</v>
      </c>
      <c r="T65" t="str">
        <f>+IF(K78&lt;&gt;"",K78,"")</f>
        <v/>
      </c>
      <c r="U65" t="e">
        <f>+RANK(H78,$H$6:$H$1048576,1)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+(E79*1)-V66</f>
        <v>0</v>
      </c>
      <c r="P66" s="134">
        <f>+I79-O66-W66</f>
        <v>0</v>
      </c>
      <c r="Q66" s="11">
        <f>+G79-O66</f>
        <v>0</v>
      </c>
      <c r="R66">
        <f>+E79*$T$3</f>
        <v>0</v>
      </c>
      <c r="S66">
        <f t="shared" si="24"/>
        <v>0</v>
      </c>
      <c r="T66" t="str">
        <f>+IF(K79&lt;&gt;"",K79,"")</f>
        <v/>
      </c>
      <c r="U66" t="e">
        <f>+RANK(H79,$H$6:$H$1048576,1)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+(E80*1)-V67</f>
        <v>0</v>
      </c>
      <c r="P67" s="134">
        <f>+I80-O67-W67</f>
        <v>0</v>
      </c>
      <c r="Q67" s="11">
        <f>+G80-O67</f>
        <v>0</v>
      </c>
      <c r="R67">
        <f>+E80*$T$3</f>
        <v>0</v>
      </c>
      <c r="S67">
        <f t="shared" si="24"/>
        <v>0</v>
      </c>
      <c r="T67" t="str">
        <f>+IF(K80&lt;&gt;"",K80,"")</f>
        <v/>
      </c>
      <c r="U67" t="e">
        <f>+RANK(H80,$H$6:$H$1048576,1)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+(E81*1)-V68</f>
        <v>0</v>
      </c>
      <c r="P68" s="134">
        <f>+I81-O68-W68</f>
        <v>0</v>
      </c>
      <c r="Q68" s="11">
        <f>+G81-O68</f>
        <v>0</v>
      </c>
      <c r="R68">
        <f>+E81*$T$3</f>
        <v>0</v>
      </c>
      <c r="S68">
        <f t="shared" si="24"/>
        <v>0</v>
      </c>
      <c r="T68" t="str">
        <f>+IF(K81&lt;&gt;"",K81,"")</f>
        <v/>
      </c>
      <c r="U68" t="e">
        <f>+RANK(H81,$H$6:$H$1048576,1)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+(E82*1)-V69</f>
        <v>0</v>
      </c>
      <c r="P69" s="134">
        <f>+I82-O69-W69</f>
        <v>0</v>
      </c>
      <c r="Q69" s="11">
        <f>+G82-O69</f>
        <v>0</v>
      </c>
      <c r="R69">
        <f>+E82*$T$3</f>
        <v>0</v>
      </c>
      <c r="S69">
        <f t="shared" si="24"/>
        <v>0</v>
      </c>
      <c r="T69" t="str">
        <f>+IF(K82&lt;&gt;"",K82,"")</f>
        <v/>
      </c>
      <c r="U69" t="e">
        <f>+RANK(H82,$H$6:$H$1048576,1)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55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55"/>
      <c r="D76" s="247"/>
      <c r="E76" s="248"/>
      <c r="F76" s="248"/>
      <c r="G76" s="199"/>
      <c r="H76" s="257"/>
      <c r="I76" s="222"/>
      <c r="J76" s="343"/>
      <c r="K76" s="247"/>
      <c r="L76" s="252"/>
      <c r="M76" s="253"/>
      <c r="N76" s="203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2">
      <c r="B78" s="245"/>
      <c r="C78" s="255"/>
      <c r="D78" s="247"/>
      <c r="E78" s="248"/>
      <c r="F78" s="248"/>
      <c r="G78" s="199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55"/>
      <c r="D79" s="247"/>
      <c r="E79" s="248"/>
      <c r="F79" s="248"/>
      <c r="G79" s="254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55"/>
      <c r="D83" s="247"/>
      <c r="E83" s="248"/>
      <c r="F83" s="248"/>
      <c r="G83" s="199"/>
      <c r="H83" s="257"/>
      <c r="I83" s="222"/>
      <c r="J83" s="343"/>
      <c r="K83" s="247"/>
      <c r="L83" s="203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6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6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03"/>
      <c r="M91" s="253"/>
      <c r="N91" s="258"/>
    </row>
    <row r="92" spans="2:14" x14ac:dyDescent="0.2">
      <c r="B92" s="245"/>
      <c r="C92" s="255"/>
      <c r="D92" s="247"/>
      <c r="E92" s="248"/>
      <c r="F92" s="248"/>
      <c r="G92" s="199"/>
      <c r="H92" s="257"/>
      <c r="I92" s="222"/>
      <c r="J92" s="343"/>
      <c r="K92" s="247"/>
      <c r="L92" s="203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55"/>
      <c r="D97" s="247"/>
      <c r="E97" s="248"/>
      <c r="F97" s="248"/>
      <c r="G97" s="254"/>
      <c r="H97" s="259"/>
      <c r="I97" s="260"/>
      <c r="J97" s="344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6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55"/>
      <c r="D102" s="247"/>
      <c r="E102" s="248"/>
      <c r="F102" s="248"/>
      <c r="G102" s="199"/>
      <c r="H102" s="257"/>
      <c r="I102" s="222"/>
      <c r="J102" s="343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6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6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6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55"/>
      <c r="D116" s="247"/>
      <c r="E116" s="248"/>
      <c r="F116" s="248"/>
      <c r="G116" s="199"/>
      <c r="H116" s="257"/>
      <c r="I116" s="222"/>
      <c r="J116" s="343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03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6"/>
      <c r="H118" s="250"/>
      <c r="I118" s="221"/>
      <c r="J118" s="342"/>
      <c r="K118" s="247"/>
      <c r="L118" s="252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5"/>
      <c r="E122" s="248"/>
      <c r="F122" s="248"/>
      <c r="G122" s="261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55"/>
      <c r="D127" s="247"/>
      <c r="E127" s="248"/>
      <c r="F127" s="248"/>
      <c r="G127" s="199"/>
      <c r="H127" s="257"/>
      <c r="I127" s="222"/>
      <c r="J127" s="343"/>
      <c r="K127" s="262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55"/>
      <c r="D129" s="247"/>
      <c r="E129" s="248"/>
      <c r="F129" s="248"/>
      <c r="G129" s="199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0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55"/>
      <c r="D136" s="247"/>
      <c r="E136" s="248"/>
      <c r="F136" s="248"/>
      <c r="G136" s="199"/>
      <c r="H136" s="200"/>
      <c r="I136" s="221"/>
      <c r="J136" s="342"/>
      <c r="K136" s="247"/>
      <c r="L136" s="203"/>
      <c r="M136" s="253"/>
      <c r="N136" s="258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58"/>
    </row>
    <row r="138" spans="2:14" x14ac:dyDescent="0.2">
      <c r="B138" s="245"/>
      <c r="C138" s="255"/>
      <c r="D138" s="247"/>
      <c r="E138" s="248"/>
      <c r="F138" s="248"/>
      <c r="G138" s="199"/>
      <c r="H138" s="200"/>
      <c r="I138" s="221"/>
      <c r="J138" s="342"/>
      <c r="K138" s="247"/>
      <c r="L138" s="203"/>
      <c r="M138" s="253"/>
      <c r="N138" s="258"/>
    </row>
    <row r="139" spans="2:14" x14ac:dyDescent="0.2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5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5"/>
      <c r="E142" s="248"/>
      <c r="F142" s="248"/>
      <c r="G142" s="201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55"/>
      <c r="D150" s="247"/>
      <c r="E150" s="248"/>
      <c r="F150" s="248"/>
      <c r="G150" s="199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5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51"/>
      <c r="J156" s="341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5"/>
      <c r="E161" s="248"/>
      <c r="F161" s="248"/>
      <c r="G161" s="201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7"/>
      <c r="E162" s="248"/>
      <c r="F162" s="248"/>
      <c r="G162" s="199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50"/>
      <c r="I163" s="221"/>
      <c r="J163" s="342"/>
      <c r="K163" s="247"/>
      <c r="L163" s="252"/>
      <c r="M163" s="253"/>
      <c r="N163" s="258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55"/>
      <c r="D168" s="247"/>
      <c r="E168" s="248"/>
      <c r="F168" s="248"/>
      <c r="G168" s="199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55"/>
      <c r="D173" s="247"/>
      <c r="E173" s="248"/>
      <c r="F173" s="248"/>
      <c r="G173" s="199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55"/>
      <c r="D177" s="247"/>
      <c r="E177" s="248"/>
      <c r="F177" s="248"/>
      <c r="G177" s="199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55"/>
      <c r="D182" s="247"/>
      <c r="E182" s="248"/>
      <c r="F182" s="248"/>
      <c r="G182" s="199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55"/>
      <c r="D190" s="247"/>
      <c r="E190" s="248"/>
      <c r="F190" s="248"/>
      <c r="G190" s="199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55"/>
      <c r="D192" s="247"/>
      <c r="E192" s="248"/>
      <c r="F192" s="248"/>
      <c r="G192" s="199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03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50"/>
      <c r="I194" s="221"/>
      <c r="J194" s="342"/>
      <c r="K194" s="247"/>
      <c r="L194" s="252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52"/>
      <c r="M195" s="253"/>
      <c r="N195" s="203"/>
    </row>
    <row r="196" spans="2:14" x14ac:dyDescent="0.2">
      <c r="B196" s="245"/>
      <c r="C196" s="255"/>
      <c r="D196" s="247"/>
      <c r="E196" s="248"/>
      <c r="F196" s="248"/>
      <c r="G196" s="199"/>
      <c r="H196" s="244"/>
      <c r="I196" s="222"/>
      <c r="J196" s="343"/>
      <c r="K196" s="247"/>
      <c r="L196" s="252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03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03"/>
      <c r="M201" s="253"/>
      <c r="N201" s="203"/>
    </row>
    <row r="202" spans="2:14" x14ac:dyDescent="0.2">
      <c r="B202" s="245"/>
      <c r="C202" s="255"/>
      <c r="D202" s="247"/>
      <c r="E202" s="248"/>
      <c r="F202" s="248"/>
      <c r="G202" s="199"/>
      <c r="H202" s="244"/>
      <c r="I202" s="222"/>
      <c r="J202" s="343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52"/>
      <c r="M204" s="253"/>
      <c r="N204" s="203"/>
    </row>
    <row r="205" spans="2:14" x14ac:dyDescent="0.2">
      <c r="B205" s="245"/>
      <c r="C205" s="255"/>
      <c r="D205" s="247"/>
      <c r="E205" s="248"/>
      <c r="F205" s="248"/>
      <c r="G205" s="199"/>
      <c r="H205" s="244"/>
      <c r="I205" s="222"/>
      <c r="J205" s="343"/>
      <c r="K205" s="247"/>
      <c r="L205" s="252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03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03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55"/>
      <c r="D211" s="247"/>
      <c r="E211" s="248"/>
      <c r="F211" s="248"/>
      <c r="G211" s="199"/>
      <c r="H211" s="244"/>
      <c r="I211" s="222"/>
      <c r="J211" s="343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55"/>
      <c r="D216" s="247"/>
      <c r="E216" s="248"/>
      <c r="F216" s="248"/>
      <c r="G216" s="199"/>
      <c r="H216" s="244"/>
      <c r="I216" s="222"/>
      <c r="J216" s="343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03"/>
      <c r="M217" s="253"/>
      <c r="N217" s="203"/>
    </row>
    <row r="218" spans="2:14" x14ac:dyDescent="0.2">
      <c r="B218" s="245"/>
      <c r="C218" s="246"/>
      <c r="D218" s="245"/>
      <c r="E218" s="248"/>
      <c r="F218" s="248"/>
      <c r="G218" s="261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5"/>
      <c r="E222" s="248"/>
      <c r="F222" s="248"/>
      <c r="G222" s="261"/>
      <c r="H222" s="200"/>
      <c r="I222" s="221"/>
      <c r="J222" s="342"/>
      <c r="K222" s="247"/>
      <c r="L222" s="203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5"/>
      <c r="E224" s="248"/>
      <c r="F224" s="248"/>
      <c r="G224" s="261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55"/>
      <c r="D227" s="247"/>
      <c r="E227" s="248"/>
      <c r="F227" s="248"/>
      <c r="G227" s="261"/>
      <c r="H227" s="263"/>
      <c r="I227" s="260"/>
      <c r="J227" s="344"/>
      <c r="K227" s="247"/>
      <c r="L227" s="252"/>
      <c r="M227" s="253"/>
      <c r="N227" s="203"/>
    </row>
    <row r="228" spans="2:14" x14ac:dyDescent="0.2">
      <c r="B228" s="245"/>
      <c r="C228" s="246"/>
      <c r="D228" s="245"/>
      <c r="E228" s="248"/>
      <c r="F228" s="248"/>
      <c r="G228" s="261"/>
      <c r="H228" s="200"/>
      <c r="I228" s="221"/>
      <c r="J228" s="342"/>
      <c r="K228" s="245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44"/>
      <c r="I237" s="222"/>
      <c r="J237" s="343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03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55"/>
      <c r="D261" s="247"/>
      <c r="E261" s="248"/>
      <c r="F261" s="248"/>
      <c r="G261" s="261"/>
      <c r="H261" s="200"/>
      <c r="I261" s="221"/>
      <c r="J261" s="342"/>
      <c r="K261" s="245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55"/>
      <c r="D263" s="245"/>
      <c r="E263" s="248"/>
      <c r="F263" s="248"/>
      <c r="G263" s="201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5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5"/>
      <c r="E267" s="248"/>
      <c r="F267" s="248"/>
      <c r="G267" s="261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55"/>
      <c r="D268" s="247"/>
      <c r="E268" s="248"/>
      <c r="F268" s="248"/>
      <c r="G268" s="199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0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6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55"/>
      <c r="D278" s="247"/>
      <c r="E278" s="248"/>
      <c r="F278" s="248"/>
      <c r="G278" s="199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5"/>
      <c r="E279" s="248"/>
      <c r="F279" s="248"/>
      <c r="G279" s="261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7"/>
      <c r="E280" s="248"/>
      <c r="F280" s="248"/>
      <c r="G280" s="254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5"/>
      <c r="E281" s="248"/>
      <c r="F281" s="248"/>
      <c r="G281" s="201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7"/>
      <c r="E282" s="248"/>
      <c r="F282" s="248"/>
      <c r="G282" s="199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7"/>
      <c r="E283" s="248"/>
      <c r="F283" s="248"/>
      <c r="G283" s="254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5"/>
      <c r="E284" s="248"/>
      <c r="F284" s="248"/>
      <c r="G284" s="261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55"/>
      <c r="D285" s="247"/>
      <c r="E285" s="248"/>
      <c r="F285" s="248"/>
      <c r="G285" s="199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4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5"/>
      <c r="E302" s="248"/>
      <c r="F302" s="248"/>
      <c r="G302" s="261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55"/>
      <c r="D386" s="247"/>
      <c r="E386" s="248"/>
      <c r="F386" s="248"/>
      <c r="G386" s="199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55"/>
      <c r="D415" s="247"/>
      <c r="E415" s="248"/>
      <c r="F415" s="248"/>
      <c r="G415" s="199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55"/>
      <c r="D417" s="247"/>
      <c r="E417" s="248"/>
      <c r="F417" s="248"/>
      <c r="G417" s="199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5"/>
      <c r="E422" s="248"/>
      <c r="F422" s="248"/>
      <c r="G422" s="261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4"/>
      <c r="L428" s="252"/>
      <c r="M428" s="253"/>
      <c r="N428" s="265"/>
    </row>
    <row r="429" spans="2:14" x14ac:dyDescent="0.2">
      <c r="B429" s="245"/>
      <c r="C429" s="246"/>
      <c r="D429" s="245"/>
      <c r="E429" s="248"/>
      <c r="F429" s="248"/>
      <c r="G429" s="261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4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5"/>
      <c r="E437" s="248"/>
      <c r="F437" s="248"/>
      <c r="G437" s="261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55"/>
      <c r="D443" s="247"/>
      <c r="E443" s="248"/>
      <c r="F443" s="248"/>
      <c r="G443" s="199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55"/>
      <c r="D446" s="247"/>
      <c r="E446" s="248"/>
      <c r="F446" s="248"/>
      <c r="G446" s="199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68"/>
      <c r="F450" s="268"/>
      <c r="G450" s="269"/>
      <c r="H450" s="270"/>
      <c r="I450" s="271"/>
      <c r="J450" s="346"/>
      <c r="K450" s="266"/>
      <c r="L450" s="252"/>
      <c r="M450" s="253"/>
      <c r="N450" s="265"/>
    </row>
    <row r="451" spans="2:14" x14ac:dyDescent="0.2">
      <c r="B451" s="245"/>
      <c r="C451" s="255"/>
      <c r="D451" s="247"/>
      <c r="E451" s="248"/>
      <c r="F451" s="248"/>
      <c r="G451" s="261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55"/>
      <c r="D453" s="247"/>
      <c r="E453" s="248"/>
      <c r="F453" s="248"/>
      <c r="G453" s="199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5"/>
      <c r="E454" s="248"/>
      <c r="F454" s="248"/>
      <c r="G454" s="261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4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55"/>
      <c r="D466" s="247"/>
      <c r="E466" s="248"/>
      <c r="F466" s="248"/>
      <c r="G466" s="199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5"/>
      <c r="E489" s="248"/>
      <c r="F489" s="248"/>
      <c r="G489" s="261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55"/>
      <c r="D502" s="247"/>
      <c r="E502" s="248"/>
      <c r="F502" s="248"/>
      <c r="G502" s="199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4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7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5"/>
      <c r="E522" s="248"/>
      <c r="F522" s="272"/>
      <c r="G522" s="261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55"/>
      <c r="D526" s="247"/>
      <c r="E526" s="248"/>
      <c r="F526" s="248"/>
      <c r="G526" s="199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5"/>
      <c r="E539" s="248"/>
      <c r="F539" s="248"/>
      <c r="G539" s="261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55"/>
      <c r="D542" s="247"/>
      <c r="E542" s="248"/>
      <c r="F542" s="248"/>
      <c r="G542" s="199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5"/>
      <c r="E545" s="248"/>
      <c r="F545" s="248"/>
      <c r="G545" s="261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55"/>
      <c r="D548" s="247"/>
      <c r="E548" s="248"/>
      <c r="F548" s="248"/>
      <c r="G548" s="199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5"/>
      <c r="E557" s="248"/>
      <c r="F557" s="248"/>
      <c r="G557" s="261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55"/>
      <c r="D565" s="245"/>
      <c r="E565" s="248"/>
      <c r="F565" s="248"/>
      <c r="G565" s="201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55"/>
      <c r="D571" s="245"/>
      <c r="E571" s="248"/>
      <c r="F571" s="248"/>
      <c r="G571" s="201"/>
      <c r="H571" s="202"/>
      <c r="I571" s="223"/>
      <c r="J571" s="345"/>
      <c r="K571" s="264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55"/>
      <c r="D573" s="247"/>
      <c r="E573" s="248"/>
      <c r="F573" s="248"/>
      <c r="G573" s="199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55"/>
      <c r="D581" s="247"/>
      <c r="E581" s="248"/>
      <c r="F581" s="248"/>
      <c r="G581" s="199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55"/>
      <c r="D584" s="247"/>
      <c r="E584" s="248"/>
      <c r="F584" s="248"/>
      <c r="G584" s="199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5"/>
      <c r="E593" s="248"/>
      <c r="F593" s="248"/>
      <c r="G593" s="261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55"/>
      <c r="D598" s="247"/>
      <c r="E598" s="248"/>
      <c r="F598" s="248"/>
      <c r="G598" s="199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55"/>
      <c r="D603" s="245"/>
      <c r="E603" s="248"/>
      <c r="F603" s="248"/>
      <c r="G603" s="201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4"/>
      <c r="L613" s="252"/>
      <c r="M613" s="253"/>
      <c r="N613" s="265"/>
    </row>
    <row r="614" spans="2:14" x14ac:dyDescent="0.2">
      <c r="B614" s="245"/>
      <c r="C614" s="255"/>
      <c r="D614" s="247"/>
      <c r="E614" s="248"/>
      <c r="F614" s="248"/>
      <c r="G614" s="199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5"/>
      <c r="E615" s="248"/>
      <c r="F615" s="248"/>
      <c r="G615" s="261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4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55"/>
      <c r="D622" s="245"/>
      <c r="E622" s="248"/>
      <c r="F622" s="248"/>
      <c r="G622" s="201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55"/>
      <c r="D633" s="247"/>
      <c r="E633" s="248"/>
      <c r="F633" s="248"/>
      <c r="G633" s="199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4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55"/>
      <c r="D656" s="247"/>
      <c r="E656" s="248"/>
      <c r="F656" s="248"/>
      <c r="G656" s="199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55"/>
      <c r="D672" s="247"/>
      <c r="E672" s="248"/>
      <c r="F672" s="248"/>
      <c r="G672" s="199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5"/>
      <c r="E676" s="248"/>
      <c r="F676" s="248"/>
      <c r="G676" s="261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55"/>
      <c r="D681" s="247"/>
      <c r="E681" s="248"/>
      <c r="F681" s="248"/>
      <c r="G681" s="199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5"/>
      <c r="E684" s="248"/>
      <c r="F684" s="248"/>
      <c r="G684" s="261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55"/>
      <c r="D700" s="245"/>
      <c r="E700" s="248"/>
      <c r="F700" s="248"/>
      <c r="G700" s="201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4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4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55"/>
      <c r="D725" s="247"/>
      <c r="E725" s="248"/>
      <c r="F725" s="248"/>
      <c r="G725" s="199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55"/>
      <c r="D739" s="247"/>
      <c r="E739" s="248"/>
      <c r="F739" s="248"/>
      <c r="G739" s="199"/>
      <c r="H739" s="202"/>
      <c r="I739" s="223"/>
      <c r="J739" s="345"/>
      <c r="K739" s="266"/>
      <c r="L739" s="252"/>
      <c r="M739" s="253"/>
      <c r="N739" s="273"/>
    </row>
    <row r="740" spans="2:14" x14ac:dyDescent="0.2">
      <c r="B740" s="245"/>
      <c r="C740" s="255"/>
      <c r="D740" s="245"/>
      <c r="E740" s="248"/>
      <c r="F740" s="248"/>
      <c r="G740" s="201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55"/>
      <c r="D744" s="247"/>
      <c r="E744" s="248"/>
      <c r="F744" s="248"/>
      <c r="G744" s="199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4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5"/>
      <c r="E759" s="248"/>
      <c r="F759" s="248"/>
      <c r="G759" s="261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5"/>
      <c r="E764" s="248"/>
      <c r="F764" s="248"/>
      <c r="G764" s="26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55"/>
      <c r="D765" s="245"/>
      <c r="E765" s="248"/>
      <c r="F765" s="248"/>
      <c r="G765" s="20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55"/>
      <c r="D777" s="247"/>
      <c r="E777" s="248"/>
      <c r="F777" s="248"/>
      <c r="G777" s="254"/>
      <c r="H777" s="202"/>
      <c r="I777" s="223"/>
      <c r="J777" s="345"/>
      <c r="K777" s="264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4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5"/>
      <c r="E801" s="248"/>
      <c r="F801" s="248"/>
      <c r="G801" s="261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4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5"/>
      <c r="E804" s="248"/>
      <c r="F804" s="248"/>
      <c r="G804" s="261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55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5"/>
      <c r="E807" s="248"/>
      <c r="F807" s="248"/>
      <c r="G807" s="261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55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55"/>
      <c r="D825" s="247"/>
      <c r="E825" s="248"/>
      <c r="F825" s="248"/>
      <c r="G825" s="199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5"/>
      <c r="E836" s="248"/>
      <c r="F836" s="248"/>
      <c r="G836" s="261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4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5"/>
      <c r="E845" s="248"/>
      <c r="F845" s="248"/>
      <c r="G845" s="261"/>
      <c r="H845" s="202"/>
      <c r="I845" s="223"/>
      <c r="J845" s="345"/>
      <c r="K845" s="264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55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55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55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199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74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5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199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46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7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199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46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199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46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199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199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199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199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199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199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199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199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199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0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4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01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01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5"/>
      <c r="E1047" s="248"/>
      <c r="F1047" s="248"/>
      <c r="G1047" s="261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5"/>
      <c r="E1060" s="248"/>
      <c r="F1060" s="248"/>
      <c r="G1060" s="261"/>
      <c r="H1060" s="202"/>
      <c r="I1060" s="223"/>
      <c r="J1060" s="345"/>
      <c r="K1060" s="264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03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199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5"/>
      <c r="E1088" s="275"/>
      <c r="F1088" s="275"/>
      <c r="G1088" s="205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199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5"/>
      <c r="E1096" s="248"/>
      <c r="F1096" s="248"/>
      <c r="G1096" s="205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199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199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199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199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03"/>
      <c r="M1117" s="253"/>
      <c r="N1117" s="203"/>
    </row>
    <row r="1118" spans="2:14" x14ac:dyDescent="0.2">
      <c r="B1118" s="245"/>
      <c r="C1118" s="255"/>
      <c r="D1118" s="245"/>
      <c r="E1118" s="248"/>
      <c r="F1118" s="248"/>
      <c r="G1118" s="205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199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199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5"/>
      <c r="E1127" s="248"/>
      <c r="F1127" s="248"/>
      <c r="G1127" s="206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76"/>
      <c r="D1138" s="276"/>
      <c r="E1138" s="248"/>
      <c r="F1138" s="277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5"/>
      <c r="E1140" s="248"/>
      <c r="F1140" s="248"/>
      <c r="G1140" s="201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4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74"/>
      <c r="L1146" s="252"/>
      <c r="M1146" s="253"/>
      <c r="N1146" s="203"/>
    </row>
    <row r="1147" spans="2:14" x14ac:dyDescent="0.2">
      <c r="B1147" s="245"/>
      <c r="C1147" s="255"/>
      <c r="D1147" s="245"/>
      <c r="E1147" s="248"/>
      <c r="F1147" s="248"/>
      <c r="G1147" s="261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74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199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61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199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5"/>
      <c r="E1162" s="275"/>
      <c r="F1162" s="275"/>
      <c r="G1162" s="205"/>
      <c r="H1162" s="202"/>
      <c r="I1162" s="223"/>
      <c r="J1162" s="345"/>
      <c r="K1162" s="274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74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199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5"/>
      <c r="E1189" s="248"/>
      <c r="F1189" s="248"/>
      <c r="G1189" s="261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199"/>
      <c r="H1190" s="202"/>
      <c r="I1190" s="223"/>
      <c r="J1190" s="345"/>
      <c r="K1190" s="274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199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5"/>
      <c r="E1201" s="275"/>
      <c r="F1201" s="275"/>
      <c r="G1201" s="205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5"/>
      <c r="E1209" s="248"/>
      <c r="F1209" s="248"/>
      <c r="G1209" s="205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01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5"/>
      <c r="E1215" s="248"/>
      <c r="F1215" s="248"/>
      <c r="G1215" s="206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5"/>
      <c r="E1217" s="275"/>
      <c r="F1217" s="275"/>
      <c r="G1217" s="205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03"/>
      <c r="M1231" s="253"/>
      <c r="N1231" s="204"/>
    </row>
    <row r="1232" spans="2:14" x14ac:dyDescent="0.2">
      <c r="B1232" s="245"/>
      <c r="C1232" s="280"/>
      <c r="D1232" s="281"/>
      <c r="E1232" s="275"/>
      <c r="F1232" s="275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199"/>
      <c r="H1234" s="202"/>
      <c r="I1234" s="223"/>
      <c r="J1234" s="345"/>
      <c r="K1234" s="279"/>
      <c r="L1234" s="203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199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46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76"/>
      <c r="D1242" s="276"/>
      <c r="E1242" s="277"/>
      <c r="F1242" s="277"/>
      <c r="G1242" s="209"/>
      <c r="H1242" s="207"/>
      <c r="I1242" s="221"/>
      <c r="J1242" s="342"/>
      <c r="K1242" s="282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5"/>
      <c r="E1246" s="248"/>
      <c r="F1246" s="248"/>
      <c r="G1246" s="261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46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05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46"/>
      <c r="D1252" s="247"/>
      <c r="E1252" s="248"/>
      <c r="F1252" s="248"/>
      <c r="G1252" s="261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10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46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55"/>
      <c r="D1257" s="247"/>
      <c r="E1257" s="248"/>
      <c r="F1257" s="248"/>
      <c r="G1257" s="254"/>
      <c r="H1257" s="207"/>
      <c r="I1257" s="221"/>
      <c r="J1257" s="342"/>
      <c r="K1257" s="279"/>
      <c r="L1257" s="252"/>
      <c r="M1257" s="253"/>
      <c r="N1257" s="208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78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283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x14ac:dyDescent="0.2">
      <c r="B1265" s="37"/>
      <c r="C1265" s="286"/>
      <c r="D1265" s="37"/>
      <c r="E1265" s="60"/>
      <c r="F1265" s="60"/>
      <c r="G1265" s="213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78"/>
      <c r="D1266" s="109"/>
      <c r="E1266" s="68"/>
      <c r="F1266" s="68"/>
      <c r="G1266" s="21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66"/>
      <c r="D1269" s="287"/>
      <c r="E1269" s="68"/>
      <c r="F1269" s="68"/>
      <c r="G1269" s="21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8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30"/>
      <c r="C1275" s="78"/>
      <c r="D1275" s="109"/>
      <c r="E1275" s="68"/>
      <c r="F1275" s="68"/>
      <c r="G1275" s="21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30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16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78"/>
      <c r="D1288" s="109"/>
      <c r="E1288" s="68"/>
      <c r="F1288" s="68"/>
      <c r="G1288" s="21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16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16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1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16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283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289"/>
      <c r="D1303" s="290"/>
      <c r="E1303" s="291"/>
      <c r="F1303" s="291"/>
      <c r="G1303" s="284"/>
      <c r="H1303" s="215"/>
      <c r="I1303" s="224"/>
      <c r="J1303" s="347"/>
      <c r="K1303" s="69"/>
      <c r="L1303" s="216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283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x14ac:dyDescent="0.2">
      <c r="B1307" s="30"/>
      <c r="C1307" s="78"/>
      <c r="D1307" s="109"/>
      <c r="E1307" s="68"/>
      <c r="F1307" s="68"/>
      <c r="G1307" s="288"/>
      <c r="H1307" s="211"/>
      <c r="I1307" s="224"/>
      <c r="J1307" s="347"/>
      <c r="K1307" s="80"/>
      <c r="L1307" s="285"/>
      <c r="M1307" s="116"/>
      <c r="N1307" s="212"/>
    </row>
    <row r="1308" spans="2:14" ht="15" x14ac:dyDescent="0.25">
      <c r="B1308" s="30"/>
      <c r="C1308" s="283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16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14"/>
      <c r="H1314" s="215"/>
      <c r="I1314" s="224"/>
      <c r="J1314" s="347"/>
      <c r="K1314" s="69"/>
      <c r="L1314" s="216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16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1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292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1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1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8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8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13"/>
      <c r="H1352" s="215"/>
      <c r="I1352" s="293"/>
      <c r="J1352" s="348"/>
      <c r="K1352" s="69"/>
      <c r="L1352" s="285"/>
      <c r="M1352" s="116"/>
      <c r="N1352" s="212"/>
    </row>
    <row r="1353" spans="2:14" x14ac:dyDescent="0.2">
      <c r="B1353" s="292"/>
      <c r="C1353" s="78"/>
      <c r="D1353" s="109"/>
      <c r="E1353" s="68"/>
      <c r="F1353" s="68"/>
      <c r="G1353" s="288"/>
      <c r="H1353" s="211"/>
      <c r="I1353" s="224"/>
      <c r="J1353" s="347"/>
      <c r="K1353" s="80"/>
      <c r="L1353" s="216"/>
      <c r="M1353" s="116"/>
      <c r="N1353" s="212"/>
    </row>
    <row r="1354" spans="2:14" ht="15" x14ac:dyDescent="0.25">
      <c r="B1354" s="292"/>
      <c r="C1354" s="78"/>
      <c r="D1354" s="109"/>
      <c r="E1354" s="68"/>
      <c r="F1354" s="68"/>
      <c r="G1354" s="288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289"/>
      <c r="D1355" s="290"/>
      <c r="E1355" s="294"/>
      <c r="F1355" s="295"/>
      <c r="G1355" s="296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297"/>
      <c r="F1358" s="298"/>
      <c r="G1358" s="299"/>
      <c r="H1358" s="300"/>
      <c r="I1358" s="301"/>
      <c r="J1358" s="349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14"/>
      <c r="H1361" s="215"/>
      <c r="I1361" s="293"/>
      <c r="J1361" s="348"/>
      <c r="K1361" s="69"/>
      <c r="L1361" s="216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289"/>
      <c r="D1364" s="290"/>
      <c r="E1364" s="291"/>
      <c r="F1364" s="284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66"/>
      <c r="D1365" s="109"/>
      <c r="E1365" s="68"/>
      <c r="F1365" s="77"/>
      <c r="G1365" s="296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66"/>
      <c r="D1373" s="109"/>
      <c r="E1373" s="68"/>
      <c r="F1373" s="77"/>
      <c r="G1373" s="296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1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1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8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1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77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68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78"/>
      <c r="D1386" s="109"/>
      <c r="E1386" s="68"/>
      <c r="F1386" s="77"/>
      <c r="G1386" s="214"/>
      <c r="H1386" s="215"/>
      <c r="I1386" s="293"/>
      <c r="J1386" s="348"/>
      <c r="K1386" s="69"/>
      <c r="L1386" s="285"/>
      <c r="M1386" s="116"/>
      <c r="N1386" s="212"/>
    </row>
    <row r="1387" spans="2:14" x14ac:dyDescent="0.2">
      <c r="B1387" s="65"/>
      <c r="C1387" s="78"/>
      <c r="D1387" s="109"/>
      <c r="E1387" s="68"/>
      <c r="F1387" s="77"/>
      <c r="G1387" s="302"/>
      <c r="H1387" s="211"/>
      <c r="I1387" s="224"/>
      <c r="J1387" s="347"/>
      <c r="K1387" s="80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84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66"/>
      <c r="D1389" s="109"/>
      <c r="E1389" s="68"/>
      <c r="F1389" s="77"/>
      <c r="G1389" s="296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289"/>
      <c r="D1394" s="290"/>
      <c r="E1394" s="291"/>
      <c r="F1394" s="304"/>
      <c r="G1394" s="284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78"/>
      <c r="D1400" s="109"/>
      <c r="E1400" s="68"/>
      <c r="F1400" s="68"/>
      <c r="G1400" s="214"/>
      <c r="H1400" s="215"/>
      <c r="I1400" s="293"/>
      <c r="J1400" s="348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289"/>
      <c r="D1411" s="290"/>
      <c r="E1411" s="291"/>
      <c r="F1411" s="304"/>
      <c r="G1411" s="284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23"/>
      <c r="D1432" s="37"/>
      <c r="E1432" s="60"/>
      <c r="F1432" s="26"/>
      <c r="G1432" s="2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78"/>
      <c r="D1434" s="109"/>
      <c r="E1434" s="68"/>
      <c r="F1434" s="77"/>
      <c r="G1434" s="305"/>
      <c r="H1434" s="215"/>
      <c r="I1434" s="293"/>
      <c r="J1434" s="348"/>
      <c r="K1434" s="69"/>
      <c r="L1434" s="216"/>
      <c r="M1434" s="116"/>
      <c r="N1434" s="212"/>
    </row>
    <row r="1435" spans="2:14" ht="15" x14ac:dyDescent="0.25">
      <c r="B1435" s="91"/>
      <c r="C1435" s="78"/>
      <c r="D1435" s="109"/>
      <c r="E1435" s="68"/>
      <c r="F1435" s="77"/>
      <c r="G1435" s="302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23"/>
      <c r="D1442" s="37"/>
      <c r="E1442" s="60"/>
      <c r="F1442" s="26"/>
      <c r="G1442" s="104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23"/>
      <c r="D1445" s="290"/>
      <c r="E1445" s="291"/>
      <c r="F1445" s="304"/>
      <c r="G1445" s="284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80"/>
      <c r="L1448" s="285"/>
      <c r="M1448" s="116"/>
      <c r="N1448" s="212"/>
    </row>
    <row r="1449" spans="2:14" ht="15" x14ac:dyDescent="0.25">
      <c r="B1449" s="91"/>
      <c r="C1449" s="23"/>
      <c r="D1449" s="37"/>
      <c r="E1449" s="60"/>
      <c r="F1449" s="26"/>
      <c r="G1449" s="104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27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78"/>
      <c r="D1452" s="109"/>
      <c r="E1452" s="68"/>
      <c r="F1452" s="77"/>
      <c r="G1452" s="214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78"/>
      <c r="D1455" s="109"/>
      <c r="E1455" s="68"/>
      <c r="F1455" s="77"/>
      <c r="G1455" s="214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290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104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296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286"/>
      <c r="D1460" s="286"/>
      <c r="E1460" s="306"/>
      <c r="F1460" s="307"/>
      <c r="G1460" s="307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78"/>
      <c r="D1461" s="109"/>
      <c r="E1461" s="68"/>
      <c r="F1461" s="77"/>
      <c r="G1461" s="214"/>
      <c r="H1461" s="215"/>
      <c r="I1461" s="293"/>
      <c r="J1461" s="348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78"/>
      <c r="D1470" s="109"/>
      <c r="E1470" s="68"/>
      <c r="F1470" s="77"/>
      <c r="G1470" s="308"/>
      <c r="H1470" s="215"/>
      <c r="I1470" s="293"/>
      <c r="J1470" s="348"/>
      <c r="K1470" s="69"/>
      <c r="L1470" s="216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310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296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296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78"/>
      <c r="D1479" s="109"/>
      <c r="E1479" s="68"/>
      <c r="F1479" s="77"/>
      <c r="G1479" s="311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77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68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296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65"/>
      <c r="C1486" s="78"/>
      <c r="D1486" s="109"/>
      <c r="E1486" s="68"/>
      <c r="F1486" s="77"/>
      <c r="G1486" s="311"/>
      <c r="H1486" s="312"/>
      <c r="I1486" s="313"/>
      <c r="J1486" s="352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78"/>
      <c r="D1492" s="109"/>
      <c r="E1492" s="68"/>
      <c r="F1492" s="77"/>
      <c r="G1492" s="311"/>
      <c r="H1492" s="312"/>
      <c r="I1492" s="313"/>
      <c r="J1492" s="352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78"/>
      <c r="D1495" s="109"/>
      <c r="E1495" s="68"/>
      <c r="F1495" s="77"/>
      <c r="G1495" s="311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78"/>
      <c r="D1497" s="109"/>
      <c r="E1497" s="68"/>
      <c r="F1497" s="77"/>
      <c r="G1497" s="311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65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4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5"/>
      <c r="C1500" s="66"/>
      <c r="D1500" s="109"/>
      <c r="E1500" s="68"/>
      <c r="F1500" s="77"/>
      <c r="G1500" s="104"/>
      <c r="H1500" s="121"/>
      <c r="I1500" s="107"/>
      <c r="J1500" s="351"/>
      <c r="K1500" s="69"/>
      <c r="L1500" s="126"/>
      <c r="M1500" s="116"/>
      <c r="N1500" s="217"/>
    </row>
    <row r="1501" spans="2:14" ht="15.75" x14ac:dyDescent="0.25">
      <c r="B1501" s="31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126"/>
      <c r="M1501" s="116"/>
      <c r="N1501" s="217"/>
    </row>
    <row r="1502" spans="2:14" ht="15.75" x14ac:dyDescent="0.25">
      <c r="B1502" s="314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316"/>
      <c r="D1504" s="65"/>
      <c r="E1504" s="68"/>
      <c r="F1504" s="117"/>
      <c r="G1504" s="117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313"/>
      <c r="J1511" s="352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216"/>
      <c r="M1514" s="116"/>
      <c r="N1514" s="212"/>
    </row>
    <row r="1515" spans="2:14" ht="15" x14ac:dyDescent="0.25">
      <c r="B1515" s="65"/>
      <c r="C1515" s="78"/>
      <c r="D1515" s="109"/>
      <c r="E1515" s="68"/>
      <c r="F1515" s="77"/>
      <c r="G1515" s="311"/>
      <c r="H1515" s="312"/>
      <c r="I1515" s="313"/>
      <c r="J1515" s="352"/>
      <c r="K1515" s="69"/>
      <c r="L1515" s="21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107"/>
      <c r="J1517" s="351"/>
      <c r="K1517" s="69"/>
      <c r="L1517" s="285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3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1"/>
      <c r="K1526" s="80"/>
      <c r="L1526" s="126"/>
      <c r="M1526" s="117"/>
      <c r="N1526" s="217"/>
    </row>
    <row r="1527" spans="2:14" ht="15" x14ac:dyDescent="0.25">
      <c r="B1527" s="37"/>
      <c r="C1527" s="66"/>
      <c r="D1527" s="109"/>
      <c r="E1527" s="68"/>
      <c r="F1527" s="77"/>
      <c r="G1527" s="104"/>
      <c r="H1527" s="123"/>
      <c r="I1527" s="107"/>
      <c r="J1527" s="351"/>
      <c r="K1527" s="80"/>
      <c r="L1527" s="126"/>
      <c r="M1527" s="116"/>
      <c r="N1527" s="217"/>
    </row>
    <row r="1528" spans="2:14" ht="15" x14ac:dyDescent="0.25">
      <c r="B1528" s="37"/>
      <c r="C1528" s="66"/>
      <c r="D1528" s="109"/>
      <c r="E1528" s="68"/>
      <c r="F1528" s="68"/>
      <c r="G1528" s="104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316"/>
      <c r="D1529" s="65"/>
      <c r="E1529" s="68"/>
      <c r="F1529" s="117"/>
      <c r="G1529" s="117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78"/>
      <c r="D1536" s="109"/>
      <c r="E1536" s="68"/>
      <c r="F1536" s="77"/>
      <c r="G1536" s="311"/>
      <c r="H1536" s="312"/>
      <c r="I1536" s="313"/>
      <c r="J1536" s="352"/>
      <c r="K1536" s="69"/>
      <c r="L1536" s="216"/>
      <c r="M1536" s="116"/>
      <c r="N1536" s="212"/>
    </row>
    <row r="1537" spans="2:14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78"/>
      <c r="D1538" s="109"/>
      <c r="E1538" s="68"/>
      <c r="F1538" s="77"/>
      <c r="G1538" s="311"/>
      <c r="H1538" s="312"/>
      <c r="I1538" s="313"/>
      <c r="J1538" s="352"/>
      <c r="K1538" s="69"/>
      <c r="L1538" s="216"/>
      <c r="M1538" s="116"/>
      <c r="N1538" s="212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78"/>
      <c r="D1541" s="109"/>
      <c r="E1541" s="68"/>
      <c r="F1541" s="77"/>
      <c r="G1541" s="311"/>
      <c r="H1541" s="312"/>
      <c r="I1541" s="107"/>
      <c r="J1541" s="351"/>
      <c r="K1541" s="69"/>
      <c r="L1541" s="126"/>
      <c r="M1541" s="116"/>
      <c r="N1541" s="217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78"/>
      <c r="D1551" s="109"/>
      <c r="E1551" s="68"/>
      <c r="F1551" s="77"/>
      <c r="G1551" s="311"/>
      <c r="H1551" s="312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68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123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312"/>
      <c r="I1560" s="313"/>
      <c r="J1560" s="352"/>
      <c r="K1560" s="69"/>
      <c r="L1560" s="216"/>
      <c r="M1560" s="116"/>
      <c r="N1560" s="212"/>
    </row>
    <row r="1561" spans="2:14" x14ac:dyDescent="0.2">
      <c r="B1561" s="91"/>
      <c r="C1561" s="66"/>
      <c r="D1561" s="109"/>
      <c r="E1561" s="68"/>
      <c r="F1561" s="77"/>
      <c r="G1561" s="104"/>
      <c r="H1561" s="121"/>
      <c r="I1561" s="129"/>
      <c r="J1561" s="353"/>
      <c r="K1561" s="80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212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317"/>
    </row>
    <row r="1564" spans="2:14" ht="15" x14ac:dyDescent="0.25">
      <c r="B1564" s="65"/>
      <c r="C1564" s="78"/>
      <c r="D1564" s="109"/>
      <c r="E1564" s="68"/>
      <c r="F1564" s="77"/>
      <c r="G1564" s="311"/>
      <c r="H1564" s="312"/>
      <c r="I1564" s="313"/>
      <c r="J1564" s="352"/>
      <c r="K1564" s="69"/>
      <c r="L1564" s="216"/>
      <c r="M1564" s="116"/>
      <c r="N1564" s="317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6"/>
      <c r="M1573" s="116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79"/>
      <c r="L1574" s="126"/>
      <c r="M1574" s="115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79"/>
      <c r="L1577" s="126"/>
      <c r="M1577" s="115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78"/>
      <c r="D1583" s="109"/>
      <c r="E1583" s="68"/>
      <c r="F1583" s="77"/>
      <c r="G1583" s="311"/>
      <c r="H1583" s="312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3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313"/>
      <c r="J1589" s="352"/>
      <c r="K1589" s="69"/>
      <c r="L1589" s="216"/>
      <c r="M1589" s="116"/>
      <c r="N1589" s="212"/>
    </row>
    <row r="1590" spans="2:14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313"/>
      <c r="J1591" s="352"/>
      <c r="K1591" s="69"/>
      <c r="L1591" s="216"/>
      <c r="M1591" s="116"/>
      <c r="N1591" s="21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68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1"/>
      <c r="K1596" s="69"/>
      <c r="L1596" s="120"/>
      <c r="M1596" s="116"/>
      <c r="N1596" s="218"/>
    </row>
    <row r="1597" spans="2:14" ht="15" x14ac:dyDescent="0.25">
      <c r="B1597" s="65"/>
      <c r="C1597" s="78"/>
      <c r="D1597" s="109"/>
      <c r="E1597" s="68"/>
      <c r="F1597" s="77"/>
      <c r="G1597" s="311"/>
      <c r="H1597" s="312"/>
      <c r="I1597" s="313"/>
      <c r="J1597" s="352"/>
      <c r="K1597" s="69"/>
      <c r="L1597" s="318"/>
      <c r="M1597" s="116"/>
      <c r="N1597" s="318"/>
    </row>
    <row r="1598" spans="2:14" ht="15" x14ac:dyDescent="0.25">
      <c r="B1598" s="91"/>
      <c r="C1598" s="66"/>
      <c r="D1598" s="109"/>
      <c r="E1598" s="68"/>
      <c r="F1598" s="77"/>
      <c r="G1598" s="104"/>
      <c r="H1598" s="121"/>
      <c r="I1598" s="107"/>
      <c r="J1598" s="351"/>
      <c r="K1598" s="69"/>
      <c r="L1598" s="120"/>
      <c r="M1598" s="116"/>
      <c r="N1598" s="2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318"/>
      <c r="M1599" s="116"/>
      <c r="N1599" s="3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118"/>
      <c r="M1600" s="116"/>
      <c r="N1600" s="318"/>
    </row>
    <row r="1601" spans="2:14" ht="15" x14ac:dyDescent="0.25">
      <c r="B1601" s="65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66"/>
      <c r="D1605" s="109"/>
      <c r="E1605" s="68"/>
      <c r="F1605" s="68"/>
      <c r="G1605" s="104"/>
      <c r="H1605" s="121"/>
      <c r="I1605" s="107"/>
      <c r="J1605" s="351"/>
      <c r="K1605" s="69"/>
      <c r="L1605" s="120"/>
      <c r="M1605" s="116"/>
      <c r="N1605" s="2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311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78"/>
      <c r="D1614" s="109"/>
      <c r="E1614" s="68"/>
      <c r="F1614" s="77"/>
      <c r="G1614" s="311"/>
      <c r="H1614" s="312"/>
      <c r="I1614" s="313"/>
      <c r="J1614" s="352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318"/>
      <c r="M1621" s="116"/>
      <c r="N1621" s="318"/>
    </row>
    <row r="1622" spans="2:14" ht="15" x14ac:dyDescent="0.25">
      <c r="B1622" s="91"/>
      <c r="C1622" s="66"/>
      <c r="D1622" s="109"/>
      <c r="E1622" s="68"/>
      <c r="F1622" s="68"/>
      <c r="G1622" s="104"/>
      <c r="H1622" s="121"/>
      <c r="I1622" s="107"/>
      <c r="J1622" s="351"/>
      <c r="K1622" s="69"/>
      <c r="L1622" s="1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1"/>
      <c r="I1625" s="107"/>
      <c r="J1625" s="351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9"/>
    </row>
    <row r="1630" spans="2:14" ht="15" x14ac:dyDescent="0.25">
      <c r="B1630" s="91"/>
      <c r="C1630" s="66"/>
      <c r="D1630" s="109"/>
      <c r="E1630" s="68"/>
      <c r="F1630" s="68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66"/>
      <c r="D1631" s="109"/>
      <c r="E1631" s="68"/>
      <c r="F1631" s="77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78"/>
      <c r="D1632" s="109"/>
      <c r="E1632" s="68"/>
      <c r="F1632" s="77"/>
      <c r="G1632" s="311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311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311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68"/>
      <c r="G1650" s="311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3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123"/>
      <c r="I1653" s="107"/>
      <c r="J1653" s="351"/>
      <c r="K1653" s="69"/>
      <c r="L1653" s="1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312"/>
      <c r="I1654" s="313"/>
      <c r="J1654" s="352"/>
      <c r="K1654" s="69"/>
      <c r="L1654" s="318"/>
      <c r="M1654" s="116"/>
      <c r="N1654" s="319"/>
    </row>
    <row r="1655" spans="2:14" ht="15" x14ac:dyDescent="0.25">
      <c r="B1655" s="37"/>
      <c r="C1655" s="66"/>
      <c r="D1655" s="109"/>
      <c r="E1655" s="68"/>
      <c r="F1655" s="77"/>
      <c r="G1655" s="104"/>
      <c r="H1655" s="123"/>
      <c r="I1655" s="107"/>
      <c r="J1655" s="351"/>
      <c r="K1655" s="69"/>
      <c r="L1655" s="1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91"/>
      <c r="C1659" s="66"/>
      <c r="D1659" s="109"/>
      <c r="E1659" s="68"/>
      <c r="F1659" s="77"/>
      <c r="G1659" s="104"/>
      <c r="H1659" s="123"/>
      <c r="I1659" s="107"/>
      <c r="J1659" s="351"/>
      <c r="K1659" s="69"/>
      <c r="L1659" s="120"/>
      <c r="M1659" s="116"/>
      <c r="N1659" s="219"/>
    </row>
    <row r="1660" spans="2:14" ht="15" x14ac:dyDescent="0.25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68"/>
      <c r="G1663" s="104"/>
      <c r="H1663" s="121"/>
      <c r="I1663" s="107"/>
      <c r="J1663" s="351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79"/>
      <c r="L1670" s="120"/>
      <c r="M1670" s="115"/>
      <c r="N1670" s="2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114"/>
      <c r="L1673" s="118"/>
      <c r="M1673" s="117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19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20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66"/>
      <c r="D1684" s="109"/>
      <c r="E1684" s="68"/>
      <c r="F1684" s="68"/>
      <c r="G1684" s="104"/>
      <c r="H1684" s="121"/>
      <c r="I1684" s="107"/>
      <c r="J1684" s="351"/>
      <c r="K1684" s="69"/>
      <c r="L1684" s="118"/>
      <c r="M1684" s="116"/>
      <c r="N1684" s="320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78"/>
      <c r="D1696" s="100"/>
      <c r="E1696" s="101"/>
      <c r="F1696" s="77"/>
      <c r="G1696" s="311"/>
      <c r="H1696" s="321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78"/>
      <c r="D1700" s="100"/>
      <c r="E1700" s="101"/>
      <c r="F1700" s="77"/>
      <c r="G1700" s="311"/>
      <c r="H1700" s="321"/>
      <c r="I1700" s="313"/>
      <c r="J1700" s="352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78"/>
      <c r="D1703" s="100"/>
      <c r="E1703" s="101"/>
      <c r="F1703" s="77"/>
      <c r="G1703" s="311"/>
      <c r="H1703" s="321"/>
      <c r="I1703" s="313"/>
      <c r="J1703" s="352"/>
      <c r="K1703" s="69"/>
      <c r="L1703" s="84"/>
      <c r="M1703" s="82"/>
      <c r="N1703" s="319"/>
    </row>
    <row r="1704" spans="2:14" ht="15" x14ac:dyDescent="0.25">
      <c r="B1704" s="65"/>
      <c r="C1704" s="66"/>
      <c r="D1704" s="109"/>
      <c r="E1704" s="101"/>
      <c r="F1704" s="77"/>
      <c r="G1704" s="104"/>
      <c r="H1704" s="106"/>
      <c r="I1704" s="107"/>
      <c r="J1704" s="351"/>
      <c r="K1704" s="69"/>
      <c r="L1704" s="322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84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68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78"/>
      <c r="D1718" s="100"/>
      <c r="E1718" s="101"/>
      <c r="F1718" s="77"/>
      <c r="G1718" s="311"/>
      <c r="H1718" s="321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70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78"/>
      <c r="D1722" s="100"/>
      <c r="E1722" s="101"/>
      <c r="F1722" s="68"/>
      <c r="G1722" s="311"/>
      <c r="H1722" s="321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69"/>
      <c r="L1723" s="322"/>
      <c r="M1723" s="82"/>
      <c r="N1723" s="323"/>
    </row>
    <row r="1724" spans="2:14" ht="15" x14ac:dyDescent="0.25">
      <c r="B1724" s="65"/>
      <c r="C1724" s="78"/>
      <c r="D1724" s="100"/>
      <c r="E1724" s="101"/>
      <c r="F1724" s="77"/>
      <c r="G1724" s="311"/>
      <c r="H1724" s="321"/>
      <c r="I1724" s="313"/>
      <c r="J1724" s="352"/>
      <c r="K1724" s="69"/>
      <c r="L1724" s="322"/>
      <c r="M1724" s="82"/>
      <c r="N1724" s="323"/>
    </row>
    <row r="1725" spans="2:14" ht="15" x14ac:dyDescent="0.25">
      <c r="B1725" s="65"/>
      <c r="C1725" s="66"/>
      <c r="D1725" s="100"/>
      <c r="E1725" s="101"/>
      <c r="F1725" s="68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ht="15" x14ac:dyDescent="0.25">
      <c r="B1731" s="65"/>
      <c r="C1731" s="78"/>
      <c r="D1731" s="100"/>
      <c r="E1731" s="101"/>
      <c r="F1731" s="77"/>
      <c r="G1731" s="311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100"/>
      <c r="E1732" s="102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x14ac:dyDescent="0.2">
      <c r="B1737" s="65"/>
      <c r="C1737" s="66"/>
      <c r="D1737" s="90"/>
      <c r="E1737" s="67"/>
      <c r="F1737" s="77"/>
      <c r="G1737" s="77"/>
      <c r="H1737" s="106"/>
      <c r="I1737" s="94"/>
      <c r="J1737" s="356"/>
      <c r="K1737" s="80"/>
      <c r="L1737" s="84"/>
      <c r="M1737" s="82"/>
      <c r="N1737" s="327"/>
    </row>
    <row r="1738" spans="2:14" ht="15" x14ac:dyDescent="0.25">
      <c r="B1738" s="65"/>
      <c r="C1738" s="78"/>
      <c r="D1738" s="90"/>
      <c r="E1738" s="67"/>
      <c r="F1738" s="77"/>
      <c r="G1738" s="328"/>
      <c r="H1738" s="321"/>
      <c r="I1738" s="326"/>
      <c r="J1738" s="355"/>
      <c r="K1738" s="69"/>
      <c r="L1738" s="322"/>
      <c r="M1738" s="82"/>
      <c r="N1738" s="327"/>
    </row>
    <row r="1739" spans="2:14" ht="15" x14ac:dyDescent="0.25">
      <c r="B1739" s="65"/>
      <c r="C1739" s="66"/>
      <c r="D1739" s="90"/>
      <c r="E1739" s="67"/>
      <c r="F1739" s="77"/>
      <c r="G1739" s="77"/>
      <c r="H1739" s="106"/>
      <c r="I1739" s="95"/>
      <c r="J1739" s="357"/>
      <c r="K1739" s="80"/>
      <c r="L1739" s="84"/>
      <c r="M1739" s="82"/>
      <c r="N1739" s="327"/>
    </row>
    <row r="1740" spans="2:14" ht="15" x14ac:dyDescent="0.25">
      <c r="B1740" s="91"/>
      <c r="C1740" s="66"/>
      <c r="D1740" s="90"/>
      <c r="E1740" s="67"/>
      <c r="F1740" s="77"/>
      <c r="G1740" s="77"/>
      <c r="H1740" s="106"/>
      <c r="I1740" s="95"/>
      <c r="J1740" s="357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80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69"/>
      <c r="L1744" s="84"/>
      <c r="M1744" s="82"/>
      <c r="N1744" s="327"/>
    </row>
    <row r="1745" spans="2:14" ht="15" x14ac:dyDescent="0.25">
      <c r="B1745" s="91"/>
      <c r="C1745" s="78"/>
      <c r="D1745" s="90"/>
      <c r="E1745" s="67"/>
      <c r="F1745" s="77"/>
      <c r="G1745" s="328"/>
      <c r="H1745" s="321"/>
      <c r="I1745" s="326"/>
      <c r="J1745" s="355"/>
      <c r="K1745" s="69"/>
      <c r="L1745" s="84"/>
      <c r="M1745" s="82"/>
      <c r="N1745" s="327"/>
    </row>
    <row r="1746" spans="2:14" x14ac:dyDescent="0.2">
      <c r="B1746" s="91"/>
      <c r="C1746" s="66"/>
      <c r="D1746" s="90"/>
      <c r="E1746" s="67"/>
      <c r="F1746" s="77"/>
      <c r="G1746" s="77"/>
      <c r="H1746" s="106"/>
      <c r="I1746" s="94"/>
      <c r="J1746" s="356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80"/>
      <c r="L1748" s="84"/>
      <c r="M1748" s="82"/>
      <c r="N1748" s="327"/>
    </row>
    <row r="1749" spans="2:14" x14ac:dyDescent="0.2">
      <c r="B1749" s="91"/>
      <c r="C1749" s="66"/>
      <c r="D1749" s="90"/>
      <c r="E1749" s="67"/>
      <c r="F1749" s="77"/>
      <c r="G1749" s="77"/>
      <c r="H1749" s="106"/>
      <c r="I1749" s="94"/>
      <c r="J1749" s="356"/>
      <c r="K1749" s="69"/>
      <c r="L1749" s="84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322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84"/>
      <c r="M1751" s="82"/>
      <c r="N1751" s="323"/>
    </row>
    <row r="1752" spans="2:14" ht="15" x14ac:dyDescent="0.25">
      <c r="B1752" s="65"/>
      <c r="C1752" s="78"/>
      <c r="D1752" s="90"/>
      <c r="E1752" s="67"/>
      <c r="F1752" s="77"/>
      <c r="G1752" s="328"/>
      <c r="H1752" s="321"/>
      <c r="I1752" s="326"/>
      <c r="J1752" s="355"/>
      <c r="K1752" s="69"/>
      <c r="L1752" s="322"/>
      <c r="M1752" s="82"/>
      <c r="N1752" s="323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0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0"/>
      <c r="C1758" s="52"/>
      <c r="D1758" s="24"/>
      <c r="E1758" s="25"/>
      <c r="F1758" s="26"/>
      <c r="G1758" s="26"/>
      <c r="H1758" s="329"/>
      <c r="I1758" s="41"/>
      <c r="J1758" s="358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2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60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0"/>
      <c r="M1772" s="34"/>
      <c r="N1772" s="35"/>
    </row>
    <row r="1773" spans="2:14" x14ac:dyDescent="0.2">
      <c r="B1773" s="37"/>
      <c r="C1773" s="23"/>
      <c r="D1773" s="24"/>
      <c r="E1773" s="25"/>
      <c r="F1773" s="60"/>
      <c r="G1773" s="26"/>
      <c r="H1773" s="329"/>
      <c r="I1773" s="42"/>
      <c r="J1773" s="360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60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5"/>
      <c r="H1776" s="332"/>
      <c r="I1776" s="333"/>
      <c r="J1776" s="359"/>
      <c r="K1776" s="27"/>
      <c r="L1776" s="330"/>
      <c r="M1776" s="34"/>
      <c r="N1776" s="35"/>
    </row>
    <row r="1777" spans="2:14" ht="15" x14ac:dyDescent="0.25">
      <c r="B1777" s="30"/>
      <c r="C1777" s="52"/>
      <c r="D1777" s="24"/>
      <c r="E1777" s="25"/>
      <c r="F1777" s="26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0"/>
      <c r="C1787" s="52"/>
      <c r="D1787" s="24"/>
      <c r="E1787" s="25"/>
      <c r="F1787" s="26"/>
      <c r="G1787" s="26"/>
      <c r="H1787" s="329"/>
      <c r="I1787" s="41"/>
      <c r="J1787" s="358"/>
      <c r="K1787" s="27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26"/>
      <c r="H1788" s="329"/>
      <c r="I1788" s="41"/>
      <c r="J1788" s="358"/>
      <c r="K1788" s="36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325"/>
      <c r="H1789" s="332"/>
      <c r="I1789" s="333"/>
      <c r="J1789" s="359"/>
      <c r="K1789" s="27"/>
      <c r="L1789" s="33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29"/>
      <c r="I1790" s="41"/>
      <c r="J1790" s="358"/>
      <c r="K1790" s="27"/>
      <c r="L1790" s="33"/>
      <c r="M1790" s="34"/>
      <c r="N1790" s="35"/>
    </row>
    <row r="1791" spans="2:14" x14ac:dyDescent="0.2">
      <c r="B1791" s="37"/>
      <c r="C1791" s="52"/>
      <c r="D1791" s="24"/>
      <c r="E1791" s="25"/>
      <c r="F1791" s="26"/>
      <c r="G1791" s="26"/>
      <c r="H1791" s="329"/>
      <c r="I1791" s="42"/>
      <c r="J1791" s="360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60"/>
      <c r="G1792" s="26"/>
      <c r="H1792" s="329"/>
      <c r="I1792" s="41"/>
      <c r="J1792" s="358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26"/>
      <c r="G1793" s="26"/>
      <c r="H1793" s="329"/>
      <c r="I1793" s="41"/>
      <c r="J1793" s="358"/>
      <c r="K1793" s="27"/>
      <c r="L1793" s="33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29"/>
      <c r="I1794" s="42"/>
      <c r="J1794" s="360"/>
      <c r="K1794" s="27"/>
      <c r="L1794" s="33"/>
      <c r="M1794" s="34"/>
      <c r="N1794" s="35"/>
    </row>
    <row r="1795" spans="2:14" ht="15" x14ac:dyDescent="0.25">
      <c r="B1795" s="37"/>
      <c r="C1795" s="53"/>
      <c r="D1795" s="24"/>
      <c r="E1795" s="25"/>
      <c r="F1795" s="26"/>
      <c r="G1795" s="325"/>
      <c r="H1795" s="332"/>
      <c r="I1795" s="333"/>
      <c r="J1795" s="359"/>
      <c r="K1795" s="27"/>
      <c r="L1795" s="330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27"/>
      <c r="L1796" s="33"/>
      <c r="M1796" s="34"/>
      <c r="N1796" s="35"/>
    </row>
    <row r="1797" spans="2:14" x14ac:dyDescent="0.2">
      <c r="B1797" s="37"/>
      <c r="C1797" s="23"/>
      <c r="D1797" s="24"/>
      <c r="E1797" s="25"/>
      <c r="F1797" s="26"/>
      <c r="G1797" s="325"/>
      <c r="H1797" s="332"/>
      <c r="I1797" s="334"/>
      <c r="J1797" s="361"/>
      <c r="K1797" s="27"/>
      <c r="L1797" s="33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29"/>
      <c r="I1798" s="42"/>
      <c r="J1798" s="360"/>
      <c r="K1798" s="36"/>
      <c r="L1798" s="33"/>
      <c r="M1798" s="34"/>
      <c r="N1798" s="35"/>
    </row>
    <row r="1799" spans="2:14" x14ac:dyDescent="0.2">
      <c r="B1799" s="37"/>
      <c r="C1799" s="53"/>
      <c r="D1799" s="24"/>
      <c r="E1799" s="25"/>
      <c r="F1799" s="26"/>
      <c r="G1799" s="26"/>
      <c r="H1799" s="329"/>
      <c r="I1799" s="334"/>
      <c r="J1799" s="361"/>
      <c r="K1799" s="36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26"/>
      <c r="H1802" s="329"/>
      <c r="I1802" s="333"/>
      <c r="J1802" s="359"/>
      <c r="K1802" s="36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0"/>
      <c r="C1806" s="52"/>
      <c r="D1806" s="24"/>
      <c r="E1806" s="25"/>
      <c r="F1806" s="26"/>
      <c r="G1806" s="26"/>
      <c r="H1806" s="329"/>
      <c r="I1806" s="41"/>
      <c r="J1806" s="358"/>
      <c r="K1806" s="27"/>
      <c r="L1806" s="33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3"/>
      <c r="D1818" s="24"/>
      <c r="E1818" s="25"/>
      <c r="F1818" s="26"/>
      <c r="G1818" s="325"/>
      <c r="H1818" s="332"/>
      <c r="I1818" s="333"/>
      <c r="J1818" s="359"/>
      <c r="K1818" s="36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36"/>
      <c r="L1820" s="33"/>
      <c r="M1820" s="34"/>
      <c r="N1820" s="35"/>
    </row>
    <row r="1821" spans="2:14" ht="15" x14ac:dyDescent="0.25">
      <c r="B1821" s="37"/>
      <c r="C1821" s="52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ht="15" x14ac:dyDescent="0.25">
      <c r="B1824" s="37"/>
      <c r="C1824" s="23"/>
      <c r="D1824" s="24"/>
      <c r="E1824" s="25"/>
      <c r="F1824" s="26"/>
      <c r="G1824" s="26"/>
      <c r="H1824" s="329"/>
      <c r="I1824" s="41"/>
      <c r="J1824" s="358"/>
      <c r="K1824" s="27"/>
      <c r="L1824" s="33"/>
      <c r="M1824" s="34"/>
      <c r="N1824" s="35"/>
    </row>
    <row r="1825" spans="2:14" x14ac:dyDescent="0.2">
      <c r="B1825" s="37"/>
      <c r="C1825" s="52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ht="15" x14ac:dyDescent="0.25">
      <c r="B1826" s="37"/>
      <c r="C1826" s="52"/>
      <c r="D1826" s="24"/>
      <c r="E1826" s="25"/>
      <c r="F1826" s="26"/>
      <c r="G1826" s="26"/>
      <c r="H1826" s="329"/>
      <c r="I1826" s="41"/>
      <c r="J1826" s="358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29"/>
      <c r="I1827" s="42"/>
      <c r="J1827" s="360"/>
      <c r="K1827" s="36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x14ac:dyDescent="0.2">
      <c r="B1830" s="37"/>
      <c r="C1830" s="23"/>
      <c r="D1830" s="24"/>
      <c r="E1830" s="25"/>
      <c r="F1830" s="26"/>
      <c r="G1830" s="325"/>
      <c r="H1830" s="332"/>
      <c r="I1830" s="334"/>
      <c r="J1830" s="361"/>
      <c r="K1830" s="27"/>
      <c r="L1830" s="33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2"/>
      <c r="D1833" s="24"/>
      <c r="E1833" s="25"/>
      <c r="F1833" s="26"/>
      <c r="G1833" s="26"/>
      <c r="H1833" s="329"/>
      <c r="I1833" s="41"/>
      <c r="J1833" s="358"/>
      <c r="K1833" s="27"/>
      <c r="L1833" s="33"/>
      <c r="M1833" s="34"/>
      <c r="N1833" s="35"/>
    </row>
    <row r="1834" spans="2:14" x14ac:dyDescent="0.2">
      <c r="B1834" s="37"/>
      <c r="C1834" s="23"/>
      <c r="D1834" s="24"/>
      <c r="E1834" s="25"/>
      <c r="F1834" s="26"/>
      <c r="G1834" s="325"/>
      <c r="H1834" s="332"/>
      <c r="I1834" s="334"/>
      <c r="J1834" s="361"/>
      <c r="K1834" s="27"/>
      <c r="L1834" s="33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27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36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"/>
      <c r="M1842" s="34"/>
      <c r="N1842" s="35"/>
    </row>
    <row r="1843" spans="2:14" x14ac:dyDescent="0.2">
      <c r="B1843" s="30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36"/>
      <c r="L1845" s="33"/>
      <c r="M1845" s="34"/>
      <c r="N1845" s="35"/>
    </row>
    <row r="1846" spans="2:14" ht="15" x14ac:dyDescent="0.25">
      <c r="B1846" s="30"/>
      <c r="C1846" s="23"/>
      <c r="D1846" s="24"/>
      <c r="E1846" s="25"/>
      <c r="F1846" s="26"/>
      <c r="G1846" s="26"/>
      <c r="H1846" s="329"/>
      <c r="I1846" s="41"/>
      <c r="J1846" s="358"/>
      <c r="K1846" s="27"/>
      <c r="L1846" s="33"/>
      <c r="M1846" s="34"/>
      <c r="N1846" s="35"/>
    </row>
    <row r="1847" spans="2:14" x14ac:dyDescent="0.2">
      <c r="B1847" s="30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325"/>
      <c r="H1848" s="332"/>
      <c r="I1848" s="333"/>
      <c r="J1848" s="359"/>
      <c r="K1848" s="27"/>
      <c r="L1848" s="33"/>
      <c r="M1848" s="34"/>
      <c r="N1848" s="35"/>
    </row>
    <row r="1849" spans="2:14" ht="15" x14ac:dyDescent="0.25">
      <c r="B1849" s="37"/>
      <c r="C1849" s="23"/>
      <c r="D1849" s="24"/>
      <c r="E1849" s="25"/>
      <c r="F1849" s="26"/>
      <c r="G1849" s="26"/>
      <c r="H1849" s="329"/>
      <c r="I1849" s="41"/>
      <c r="J1849" s="358"/>
      <c r="K1849" s="27"/>
      <c r="L1849" s="33"/>
      <c r="M1849" s="34"/>
      <c r="N1849" s="35"/>
    </row>
    <row r="1850" spans="2:14" x14ac:dyDescent="0.2">
      <c r="B1850" s="37"/>
      <c r="C1850" s="23"/>
      <c r="D1850" s="24"/>
      <c r="E1850" s="25"/>
      <c r="F1850" s="26"/>
      <c r="G1850" s="26"/>
      <c r="H1850" s="329"/>
      <c r="I1850" s="334"/>
      <c r="J1850" s="361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x14ac:dyDescent="0.2">
      <c r="B1853" s="37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x14ac:dyDescent="0.2">
      <c r="B1854" s="30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x14ac:dyDescent="0.2">
      <c r="B1863" s="30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ht="15" x14ac:dyDescent="0.25">
      <c r="B1866" s="37"/>
      <c r="C1866" s="23"/>
      <c r="D1866" s="24"/>
      <c r="E1866" s="25"/>
      <c r="F1866" s="26"/>
      <c r="G1866" s="26"/>
      <c r="H1866" s="329"/>
      <c r="I1866" s="41"/>
      <c r="J1866" s="358"/>
      <c r="K1866" s="36"/>
      <c r="L1866" s="33"/>
      <c r="M1866" s="34"/>
      <c r="N1866" s="35"/>
    </row>
  </sheetData>
  <sortState xmlns:xlrd2="http://schemas.microsoft.com/office/spreadsheetml/2017/richdata2" ref="B7:I1048573">
    <sortCondition ref="C7:C45"/>
  </sortState>
  <mergeCells count="3">
    <mergeCell ref="D1:H1"/>
    <mergeCell ref="D2:K2"/>
    <mergeCell ref="B3:F4"/>
  </mergeCells>
  <phoneticPr fontId="19" type="noConversion"/>
  <conditionalFormatting sqref="H1839:H1862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9:H1861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9:H1860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9:E1866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9:E1866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9:E1866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9:E1866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9:E1866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9:E1866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9:E1866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9:E1866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9:H1866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9:H1866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9:H1866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9:E1866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9:H1866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9:E1866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9:H1866">
    <cfRule type="iconSet" priority="282941">
      <iconSet>
        <cfvo type="percent" val="0"/>
        <cfvo type="percent" val="23"/>
        <cfvo type="percent" val="70"/>
      </iconSet>
    </cfRule>
  </conditionalFormatting>
  <conditionalFormatting sqref="H1839:H1866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9:H1866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9:H1866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9:H1866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9:E1866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9:H1866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9:H1866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9:H1866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9:H1866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9:H1866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9:E1866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9:H1866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9:H1866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9:E1866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9:E1866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9:H1866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9:H1866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9:H1866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9:E1866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9:H1866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9:H1866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9:H1866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9:H1866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9:H1866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9:H1866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9:E1866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9:H1866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9:H1866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9:H1866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9:H1866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9:H1866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9:H1866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9:E1866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9:H1866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9:E1866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9:H1866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9:E1866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9:H1866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09">
      <iconSet>
        <cfvo type="percent" val="0"/>
        <cfvo type="num" val="22"/>
        <cfvo type="num" val="26"/>
      </iconSet>
    </cfRule>
  </conditionalFormatting>
  <conditionalFormatting sqref="H1839:H1866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15">
      <iconSet>
        <cfvo type="percent" val="0"/>
        <cfvo type="num" val="21"/>
        <cfvo type="num" val="25"/>
      </iconSet>
    </cfRule>
  </conditionalFormatting>
  <conditionalFormatting sqref="H1839:H1866">
    <cfRule type="iconSet" priority="283417">
      <iconSet>
        <cfvo type="percent" val="0"/>
        <cfvo type="num" val="19"/>
        <cfvo type="num" val="23"/>
      </iconSet>
    </cfRule>
  </conditionalFormatting>
  <conditionalFormatting sqref="H1839:H1866">
    <cfRule type="iconSet" priority="283419">
      <iconSet>
        <cfvo type="percent" val="0"/>
        <cfvo type="num" val="23"/>
        <cfvo type="num" val="27"/>
      </iconSet>
    </cfRule>
  </conditionalFormatting>
  <conditionalFormatting sqref="E1753:E1755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8">
    <cfRule type="containsText" dxfId="29" priority="175" operator="containsText" text="M">
      <formula>NOT(ISERROR(SEARCH("M",M7)))</formula>
    </cfRule>
  </conditionalFormatting>
  <conditionalFormatting sqref="U6">
    <cfRule type="cellIs" dxfId="32" priority="172" operator="between">
      <formula>1</formula>
      <formula>4</formula>
    </cfRule>
  </conditionalFormatting>
  <conditionalFormatting sqref="E47:E1176 E7:E45">
    <cfRule type="cellIs" dxfId="31" priority="170" operator="greaterThan">
      <formula>7</formula>
    </cfRule>
  </conditionalFormatting>
  <conditionalFormatting sqref="E1486:E4764">
    <cfRule type="cellIs" dxfId="30" priority="137" operator="greaterThan">
      <formula>7</formula>
    </cfRule>
  </conditionalFormatting>
  <conditionalFormatting sqref="I47:I1248 G47:G49 I7:I45">
    <cfRule type="cellIs" dxfId="28" priority="41" operator="lessThan">
      <formula>E7</formula>
    </cfRule>
  </conditionalFormatting>
  <conditionalFormatting sqref="I1839:I1866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9:I1866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9:I1866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9:I1866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9:I1866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9:I1866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9:I1866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9:I1866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9:I1866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9:I1866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9:I1866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9:I1866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9:I1866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9:I1866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5:H1472 H1259:H1433 H47:H1248 H7:H45">
    <cfRule type="cellIs" dxfId="27" priority="297711" operator="greaterThan">
      <formula>$H$46</formula>
    </cfRule>
  </conditionalFormatting>
  <conditionalFormatting sqref="L7:L1248">
    <cfRule type="top10" dxfId="26" priority="297775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3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E1753:E1755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E1733:E1752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$H$46</xm:f>
              </x14:cfvo>
              <x14:cfIcon iconSet="NoIcons" iconId="0"/>
              <x14:cfIcon iconSet="NoIcons" iconId="0"/>
              <x14:cfIcon iconSet="3Stars" iconId="2"/>
            </x14:iconSet>
          </x14:cfRule>
          <xm:sqref>H1259:H1269 H47:H1248 H7:H45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69" t="s">
        <v>112</v>
      </c>
      <c r="E1" s="369"/>
      <c r="F1" s="369"/>
      <c r="G1" s="369"/>
      <c r="H1" s="369"/>
      <c r="I1" s="19"/>
      <c r="J1" s="16"/>
      <c r="K1"/>
    </row>
    <row r="2" spans="2:75" ht="33.75" customHeight="1" thickBot="1" x14ac:dyDescent="0.35">
      <c r="D2" s="370" t="s">
        <v>113</v>
      </c>
      <c r="E2" s="370"/>
      <c r="F2" s="370"/>
      <c r="G2" s="370"/>
      <c r="H2" s="370"/>
      <c r="I2" s="370"/>
      <c r="J2" s="370"/>
      <c r="K2" s="64"/>
      <c r="P2" s="57" t="s">
        <v>110</v>
      </c>
      <c r="Q2" s="57" t="s">
        <v>1</v>
      </c>
      <c r="R2" s="57" t="s">
        <v>111</v>
      </c>
      <c r="S2" s="58" t="s">
        <v>106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1" t="s">
        <v>117</v>
      </c>
      <c r="E3" s="371"/>
      <c r="F3" s="371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1"/>
      <c r="E4" s="371"/>
      <c r="F4" s="371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121</v>
      </c>
      <c r="D6" s="140" t="s">
        <v>3</v>
      </c>
      <c r="E6" s="141" t="s">
        <v>1</v>
      </c>
      <c r="F6" s="141" t="s">
        <v>53</v>
      </c>
      <c r="G6" s="141" t="s">
        <v>2</v>
      </c>
      <c r="H6" s="142" t="s">
        <v>114</v>
      </c>
      <c r="I6" s="143" t="s">
        <v>115</v>
      </c>
      <c r="J6" s="138" t="s">
        <v>4</v>
      </c>
      <c r="K6" s="144" t="s">
        <v>6</v>
      </c>
      <c r="L6" s="145" t="s">
        <v>52</v>
      </c>
      <c r="M6" s="144" t="s">
        <v>103</v>
      </c>
      <c r="N6" s="86" t="s">
        <v>101</v>
      </c>
      <c r="O6" s="86" t="s">
        <v>102</v>
      </c>
      <c r="P6" s="87" t="s">
        <v>105</v>
      </c>
      <c r="Q6" s="88" t="s">
        <v>107</v>
      </c>
      <c r="R6" s="88" t="s">
        <v>108</v>
      </c>
      <c r="S6" s="89" t="s">
        <v>109</v>
      </c>
      <c r="BT6" s="130" t="s">
        <v>116</v>
      </c>
    </row>
    <row r="7" spans="2:75" ht="15" x14ac:dyDescent="0.25">
      <c r="B7" s="136" t="s">
        <v>124</v>
      </c>
      <c r="C7" s="137">
        <v>31</v>
      </c>
      <c r="D7" s="151" t="s">
        <v>122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49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118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123</v>
      </c>
      <c r="C8" s="137">
        <v>32</v>
      </c>
      <c r="D8" s="136" t="s">
        <v>128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130</v>
      </c>
      <c r="K8" s="176">
        <v>57825</v>
      </c>
      <c r="L8" s="162" t="s">
        <v>49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118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123</v>
      </c>
      <c r="C9" s="137">
        <v>33</v>
      </c>
      <c r="D9" s="136" t="s">
        <v>127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49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118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124</v>
      </c>
      <c r="C10" s="137">
        <v>38</v>
      </c>
      <c r="D10" s="136" t="s">
        <v>126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131</v>
      </c>
      <c r="K10" s="183">
        <v>68400</v>
      </c>
      <c r="L10" s="184" t="s">
        <v>49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118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125</v>
      </c>
      <c r="D11" s="29" t="s">
        <v>129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31" workbookViewId="0">
      <selection activeCell="C47" sqref="C47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76</v>
      </c>
    </row>
    <row r="4" spans="2:9" x14ac:dyDescent="0.2">
      <c r="B4" s="6">
        <v>1</v>
      </c>
      <c r="C4" s="7" t="s">
        <v>9</v>
      </c>
      <c r="D4" s="8" t="s">
        <v>49</v>
      </c>
      <c r="F4" t="s">
        <v>75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49</v>
      </c>
    </row>
    <row r="7" spans="2:9" x14ac:dyDescent="0.2">
      <c r="B7" s="9">
        <v>4</v>
      </c>
      <c r="C7" s="10" t="s">
        <v>12</v>
      </c>
      <c r="D7" s="10" t="s">
        <v>49</v>
      </c>
      <c r="F7" t="s">
        <v>74</v>
      </c>
      <c r="I7" t="s">
        <v>93</v>
      </c>
    </row>
    <row r="8" spans="2:9" x14ac:dyDescent="0.2">
      <c r="B8" s="6">
        <v>5</v>
      </c>
      <c r="C8" s="8" t="s">
        <v>13</v>
      </c>
      <c r="D8" s="8"/>
      <c r="F8" t="s">
        <v>73</v>
      </c>
      <c r="I8" t="s">
        <v>94</v>
      </c>
    </row>
    <row r="9" spans="2:9" x14ac:dyDescent="0.2">
      <c r="B9" s="9">
        <v>6</v>
      </c>
      <c r="C9" s="10" t="s">
        <v>14</v>
      </c>
      <c r="D9" s="10" t="s">
        <v>49</v>
      </c>
    </row>
    <row r="10" spans="2:9" x14ac:dyDescent="0.2">
      <c r="B10" s="6">
        <v>7</v>
      </c>
      <c r="C10" s="8" t="s">
        <v>15</v>
      </c>
      <c r="D10" s="8"/>
      <c r="I10" t="s">
        <v>95</v>
      </c>
    </row>
    <row r="11" spans="2:9" x14ac:dyDescent="0.2">
      <c r="B11" s="9">
        <v>8</v>
      </c>
      <c r="C11" s="10" t="s">
        <v>16</v>
      </c>
      <c r="D11" s="10"/>
      <c r="F11" t="s">
        <v>71</v>
      </c>
      <c r="I11" t="s">
        <v>96</v>
      </c>
    </row>
    <row r="12" spans="2:9" x14ac:dyDescent="0.2">
      <c r="B12" s="6">
        <v>9</v>
      </c>
      <c r="C12" s="8" t="s">
        <v>17</v>
      </c>
      <c r="D12" s="8" t="s">
        <v>49</v>
      </c>
      <c r="F12" t="s">
        <v>72</v>
      </c>
    </row>
    <row r="13" spans="2:9" x14ac:dyDescent="0.2">
      <c r="B13" s="9">
        <v>10</v>
      </c>
      <c r="C13" s="10" t="s">
        <v>18</v>
      </c>
      <c r="D13" s="10" t="s">
        <v>49</v>
      </c>
      <c r="F13" t="s">
        <v>51</v>
      </c>
      <c r="I13" t="s">
        <v>97</v>
      </c>
    </row>
    <row r="14" spans="2:9" x14ac:dyDescent="0.2">
      <c r="B14" s="6">
        <v>11</v>
      </c>
      <c r="C14" s="8" t="s">
        <v>19</v>
      </c>
      <c r="D14" s="8" t="s">
        <v>49</v>
      </c>
      <c r="F14" t="s">
        <v>50</v>
      </c>
      <c r="I14" t="s">
        <v>98</v>
      </c>
    </row>
    <row r="15" spans="2:9" x14ac:dyDescent="0.2">
      <c r="B15" s="9">
        <v>12</v>
      </c>
      <c r="C15" s="10" t="s">
        <v>20</v>
      </c>
      <c r="D15" s="10" t="s">
        <v>49</v>
      </c>
    </row>
    <row r="16" spans="2:9" x14ac:dyDescent="0.2">
      <c r="B16" s="6">
        <v>13</v>
      </c>
      <c r="C16" s="8" t="s">
        <v>21</v>
      </c>
      <c r="D16" s="10" t="s">
        <v>49</v>
      </c>
      <c r="F16" t="s">
        <v>55</v>
      </c>
      <c r="I16" t="s">
        <v>99</v>
      </c>
    </row>
    <row r="17" spans="2:9" x14ac:dyDescent="0.2">
      <c r="B17" s="9">
        <v>14</v>
      </c>
      <c r="C17" s="10" t="s">
        <v>22</v>
      </c>
      <c r="D17" s="10"/>
      <c r="F17" t="s">
        <v>56</v>
      </c>
      <c r="I17" t="s">
        <v>100</v>
      </c>
    </row>
    <row r="18" spans="2:9" x14ac:dyDescent="0.2">
      <c r="B18" s="6">
        <v>15</v>
      </c>
      <c r="C18" s="8" t="s">
        <v>23</v>
      </c>
      <c r="D18" s="8"/>
    </row>
    <row r="19" spans="2:9" x14ac:dyDescent="0.2">
      <c r="B19" s="9">
        <v>16</v>
      </c>
      <c r="C19" s="10" t="s">
        <v>24</v>
      </c>
      <c r="D19" s="10" t="s">
        <v>49</v>
      </c>
      <c r="F19" t="s">
        <v>57</v>
      </c>
    </row>
    <row r="20" spans="2:9" x14ac:dyDescent="0.2">
      <c r="B20" s="6">
        <v>17</v>
      </c>
      <c r="C20" s="8" t="s">
        <v>25</v>
      </c>
      <c r="D20" s="8" t="s">
        <v>49</v>
      </c>
      <c r="F20" t="s">
        <v>58</v>
      </c>
    </row>
    <row r="21" spans="2:9" x14ac:dyDescent="0.2">
      <c r="B21" s="9">
        <v>18</v>
      </c>
      <c r="C21" s="10" t="s">
        <v>26</v>
      </c>
      <c r="D21" s="10" t="s">
        <v>49</v>
      </c>
      <c r="F21" t="s">
        <v>60</v>
      </c>
    </row>
    <row r="22" spans="2:9" x14ac:dyDescent="0.2">
      <c r="B22" s="6">
        <v>19</v>
      </c>
      <c r="C22" s="8" t="s">
        <v>27</v>
      </c>
      <c r="D22" s="8" t="s">
        <v>49</v>
      </c>
      <c r="F22" t="s">
        <v>59</v>
      </c>
    </row>
    <row r="23" spans="2:9" x14ac:dyDescent="0.2">
      <c r="B23" s="9">
        <v>20</v>
      </c>
      <c r="C23" s="10" t="s">
        <v>28</v>
      </c>
      <c r="D23" s="10" t="s">
        <v>49</v>
      </c>
    </row>
    <row r="24" spans="2:9" x14ac:dyDescent="0.2">
      <c r="B24" s="6">
        <v>21</v>
      </c>
      <c r="C24" s="8" t="s">
        <v>29</v>
      </c>
      <c r="D24" s="8" t="s">
        <v>49</v>
      </c>
      <c r="F24" t="s">
        <v>61</v>
      </c>
    </row>
    <row r="25" spans="2:9" x14ac:dyDescent="0.2">
      <c r="B25" s="9">
        <v>22</v>
      </c>
      <c r="C25" s="10" t="s">
        <v>30</v>
      </c>
      <c r="D25" s="10"/>
      <c r="F25" t="s">
        <v>62</v>
      </c>
    </row>
    <row r="26" spans="2:9" x14ac:dyDescent="0.2">
      <c r="B26" s="6">
        <v>23</v>
      </c>
      <c r="C26" s="8" t="s">
        <v>31</v>
      </c>
      <c r="D26" s="8" t="s">
        <v>54</v>
      </c>
    </row>
    <row r="27" spans="2:9" x14ac:dyDescent="0.2">
      <c r="B27" s="9">
        <v>24</v>
      </c>
      <c r="C27" s="10" t="s">
        <v>32</v>
      </c>
      <c r="D27" s="10" t="s">
        <v>49</v>
      </c>
      <c r="F27" t="s">
        <v>63</v>
      </c>
    </row>
    <row r="28" spans="2:9" x14ac:dyDescent="0.2">
      <c r="B28" s="6">
        <v>25</v>
      </c>
      <c r="C28" s="8" t="s">
        <v>33</v>
      </c>
      <c r="D28" s="8"/>
      <c r="F28" t="s">
        <v>64</v>
      </c>
    </row>
    <row r="29" spans="2:9" x14ac:dyDescent="0.2">
      <c r="B29" s="9">
        <v>26</v>
      </c>
      <c r="C29" s="10" t="s">
        <v>34</v>
      </c>
      <c r="D29" s="10" t="s">
        <v>49</v>
      </c>
    </row>
    <row r="30" spans="2:9" x14ac:dyDescent="0.2">
      <c r="B30" s="6">
        <v>27</v>
      </c>
      <c r="C30" s="8" t="s">
        <v>35</v>
      </c>
      <c r="D30" s="8" t="s">
        <v>49</v>
      </c>
      <c r="F30" t="s">
        <v>65</v>
      </c>
    </row>
    <row r="31" spans="2:9" x14ac:dyDescent="0.2">
      <c r="B31" s="9">
        <v>28</v>
      </c>
      <c r="C31" s="10" t="s">
        <v>36</v>
      </c>
      <c r="D31" s="10" t="s">
        <v>49</v>
      </c>
      <c r="F31" t="s">
        <v>66</v>
      </c>
    </row>
    <row r="32" spans="2:9" x14ac:dyDescent="0.2">
      <c r="B32" s="6">
        <v>29</v>
      </c>
      <c r="C32" s="8" t="s">
        <v>37</v>
      </c>
      <c r="D32" s="8" t="s">
        <v>49</v>
      </c>
    </row>
    <row r="33" spans="2:16" x14ac:dyDescent="0.2">
      <c r="B33" s="9">
        <v>30</v>
      </c>
      <c r="C33" s="10" t="s">
        <v>38</v>
      </c>
      <c r="D33" s="10" t="s">
        <v>49</v>
      </c>
      <c r="F33" t="s">
        <v>77</v>
      </c>
    </row>
    <row r="34" spans="2:16" x14ac:dyDescent="0.2">
      <c r="B34" s="6">
        <v>31</v>
      </c>
      <c r="C34" s="8" t="s">
        <v>39</v>
      </c>
      <c r="D34" s="10" t="s">
        <v>49</v>
      </c>
      <c r="F34" t="s">
        <v>80</v>
      </c>
    </row>
    <row r="35" spans="2:16" x14ac:dyDescent="0.2">
      <c r="B35" s="9">
        <v>32</v>
      </c>
      <c r="C35" s="10" t="s">
        <v>40</v>
      </c>
      <c r="D35" s="10" t="s">
        <v>49</v>
      </c>
      <c r="F35" t="s">
        <v>67</v>
      </c>
    </row>
    <row r="36" spans="2:16" x14ac:dyDescent="0.2">
      <c r="B36" s="6">
        <v>33</v>
      </c>
      <c r="C36" s="8" t="s">
        <v>41</v>
      </c>
      <c r="D36" s="8" t="s">
        <v>49</v>
      </c>
      <c r="F36" t="s">
        <v>68</v>
      </c>
    </row>
    <row r="37" spans="2:16" x14ac:dyDescent="0.2">
      <c r="B37" s="9">
        <v>34</v>
      </c>
      <c r="C37" s="10" t="s">
        <v>42</v>
      </c>
      <c r="D37" s="10" t="s">
        <v>49</v>
      </c>
    </row>
    <row r="38" spans="2:16" x14ac:dyDescent="0.2">
      <c r="B38" s="6">
        <v>35</v>
      </c>
      <c r="C38" s="8" t="s">
        <v>43</v>
      </c>
      <c r="D38" s="8"/>
    </row>
    <row r="39" spans="2:16" x14ac:dyDescent="0.2">
      <c r="B39" s="9">
        <v>36</v>
      </c>
      <c r="C39" s="10" t="s">
        <v>44</v>
      </c>
      <c r="D39" s="10" t="s">
        <v>49</v>
      </c>
      <c r="F39" t="s">
        <v>69</v>
      </c>
    </row>
    <row r="40" spans="2:16" x14ac:dyDescent="0.2">
      <c r="B40" s="6">
        <v>37</v>
      </c>
      <c r="C40" s="8" t="s">
        <v>45</v>
      </c>
      <c r="D40" s="8"/>
      <c r="F40" t="s">
        <v>70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46</v>
      </c>
      <c r="D41" s="10" t="s">
        <v>49</v>
      </c>
    </row>
    <row r="42" spans="2:16" x14ac:dyDescent="0.2">
      <c r="B42" s="6">
        <v>39</v>
      </c>
      <c r="C42" s="8" t="s">
        <v>47</v>
      </c>
      <c r="D42" s="8" t="s">
        <v>49</v>
      </c>
      <c r="F42" t="s">
        <v>78</v>
      </c>
    </row>
    <row r="43" spans="2:16" x14ac:dyDescent="0.2">
      <c r="B43" s="9">
        <v>40</v>
      </c>
      <c r="C43" s="10" t="s">
        <v>48</v>
      </c>
      <c r="D43" s="10" t="s">
        <v>49</v>
      </c>
      <c r="F43" t="s">
        <v>79</v>
      </c>
    </row>
    <row r="44" spans="2:16" x14ac:dyDescent="0.2">
      <c r="B44" s="9">
        <v>41</v>
      </c>
      <c r="C44" t="s">
        <v>120</v>
      </c>
      <c r="D44" s="10"/>
    </row>
    <row r="45" spans="2:16" x14ac:dyDescent="0.2">
      <c r="B45" s="9">
        <v>42</v>
      </c>
      <c r="C45" s="18" t="s">
        <v>104</v>
      </c>
      <c r="D45" s="10"/>
      <c r="F45" t="s">
        <v>81</v>
      </c>
    </row>
    <row r="46" spans="2:16" x14ac:dyDescent="0.2">
      <c r="B46" s="365">
        <v>43</v>
      </c>
      <c r="C46" t="s">
        <v>147</v>
      </c>
      <c r="F46" t="s">
        <v>82</v>
      </c>
    </row>
    <row r="48" spans="2:16" x14ac:dyDescent="0.2">
      <c r="F48" t="s">
        <v>83</v>
      </c>
    </row>
    <row r="49" spans="6:6" x14ac:dyDescent="0.2">
      <c r="F49" t="s">
        <v>84</v>
      </c>
    </row>
    <row r="51" spans="6:6" x14ac:dyDescent="0.2">
      <c r="F51" t="s">
        <v>85</v>
      </c>
    </row>
    <row r="52" spans="6:6" x14ac:dyDescent="0.2">
      <c r="F52" t="s">
        <v>86</v>
      </c>
    </row>
    <row r="54" spans="6:6" x14ac:dyDescent="0.2">
      <c r="F54" t="s">
        <v>87</v>
      </c>
    </row>
    <row r="55" spans="6:6" x14ac:dyDescent="0.2">
      <c r="F55" t="s">
        <v>88</v>
      </c>
    </row>
    <row r="57" spans="6:6" x14ac:dyDescent="0.2">
      <c r="F57" t="s">
        <v>89</v>
      </c>
    </row>
    <row r="58" spans="6:6" x14ac:dyDescent="0.2">
      <c r="F58" t="s">
        <v>90</v>
      </c>
    </row>
    <row r="60" spans="6:6" x14ac:dyDescent="0.2">
      <c r="F60" t="s">
        <v>91</v>
      </c>
    </row>
    <row r="61" spans="6:6" x14ac:dyDescent="0.2">
      <c r="F61" t="s">
        <v>92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146</v>
      </c>
      <c r="D6" t="s">
        <v>141</v>
      </c>
      <c r="E6" t="s">
        <v>142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123</v>
      </c>
      <c r="D7">
        <v>168</v>
      </c>
      <c r="E7">
        <v>3492</v>
      </c>
      <c r="AN7" t="s">
        <v>139</v>
      </c>
      <c r="AO7" s="228" t="e">
        <f>#REF!/12</f>
        <v>#REF!</v>
      </c>
    </row>
    <row r="8" spans="3:42" x14ac:dyDescent="0.2">
      <c r="C8" s="153" t="s">
        <v>124</v>
      </c>
      <c r="D8">
        <v>180</v>
      </c>
      <c r="E8">
        <v>3931</v>
      </c>
    </row>
    <row r="9" spans="3:42" x14ac:dyDescent="0.2">
      <c r="C9" s="153" t="s">
        <v>119</v>
      </c>
      <c r="D9">
        <v>348</v>
      </c>
      <c r="E9">
        <v>7423</v>
      </c>
      <c r="I9" t="s">
        <v>140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135</v>
      </c>
      <c r="C14" t="s">
        <v>132</v>
      </c>
      <c r="D14" t="s">
        <v>133</v>
      </c>
      <c r="E14" t="s">
        <v>134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119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135</v>
      </c>
      <c r="C27" t="s">
        <v>132</v>
      </c>
      <c r="D27" t="s">
        <v>133</v>
      </c>
      <c r="E27" t="s">
        <v>134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119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2025-05-02T15:17:51Z</cp:lastPrinted>
  <dcterms:created xsi:type="dcterms:W3CDTF">2021-05-05T13:25:05Z</dcterms:created>
  <dcterms:modified xsi:type="dcterms:W3CDTF">2025-11-14T06:10:39Z</dcterms:modified>
</cp:coreProperties>
</file>