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7E7442AD-8CA5-44B7-9417-8219F3F01FA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C48" i="1"/>
  <c r="G48" i="1"/>
  <c r="I16" i="1" s="1"/>
  <c r="F48" i="1"/>
  <c r="E48" i="1"/>
  <c r="G11" i="6"/>
  <c r="P3" i="6" s="1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Q7" i="1"/>
  <c r="O7" i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O47" i="1"/>
  <c r="Q47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H42" i="1"/>
  <c r="H12" i="1"/>
  <c r="H16" i="1"/>
  <c r="H19" i="1"/>
  <c r="H23" i="1"/>
  <c r="H18" i="1"/>
  <c r="H20" i="1"/>
  <c r="H46" i="1"/>
  <c r="H38" i="1"/>
  <c r="H24" i="1"/>
  <c r="H43" i="1"/>
  <c r="H15" i="1"/>
  <c r="H37" i="1"/>
  <c r="H41" i="1"/>
  <c r="H47" i="1"/>
  <c r="H25" i="1"/>
  <c r="H21" i="1"/>
  <c r="H13" i="1"/>
  <c r="H17" i="1"/>
  <c r="H33" i="1"/>
  <c r="H34" i="1"/>
  <c r="H40" i="1"/>
  <c r="H32" i="1"/>
  <c r="H35" i="1"/>
  <c r="H39" i="1"/>
  <c r="H31" i="1"/>
  <c r="H45" i="1"/>
  <c r="H22" i="1"/>
  <c r="H11" i="1"/>
  <c r="H28" i="1"/>
  <c r="H7" i="1"/>
  <c r="H26" i="1"/>
  <c r="H9" i="1"/>
  <c r="H8" i="1"/>
  <c r="H44" i="1"/>
  <c r="H27" i="1"/>
  <c r="H29" i="1"/>
  <c r="H36" i="1"/>
  <c r="H10" i="1"/>
  <c r="H30" i="1"/>
  <c r="H14" i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D13" i="3"/>
  <c r="E12" i="3"/>
  <c r="I10" i="1" l="1"/>
  <c r="I30" i="1"/>
  <c r="I20" i="1"/>
  <c r="J20" i="1" s="1"/>
  <c r="I7" i="1"/>
  <c r="J7" i="1" s="1"/>
  <c r="I35" i="1"/>
  <c r="I32" i="1"/>
  <c r="J32" i="1" s="1"/>
  <c r="I26" i="1"/>
  <c r="P26" i="1" s="1"/>
  <c r="L26" i="1" s="1"/>
  <c r="I25" i="1"/>
  <c r="P25" i="1" s="1"/>
  <c r="L25" i="1" s="1"/>
  <c r="I47" i="1"/>
  <c r="P47" i="1" s="1"/>
  <c r="L47" i="1" s="1"/>
  <c r="I46" i="1"/>
  <c r="J46" i="1" s="1"/>
  <c r="I27" i="1"/>
  <c r="J27" i="1" s="1"/>
  <c r="I22" i="1"/>
  <c r="P22" i="1" s="1"/>
  <c r="L22" i="1" s="1"/>
  <c r="I33" i="1"/>
  <c r="J33" i="1" s="1"/>
  <c r="I15" i="1"/>
  <c r="J15" i="1" s="1"/>
  <c r="I19" i="1"/>
  <c r="J19" i="1" s="1"/>
  <c r="I44" i="1"/>
  <c r="P44" i="1" s="1"/>
  <c r="L44" i="1" s="1"/>
  <c r="I45" i="1"/>
  <c r="P45" i="1" s="1"/>
  <c r="L45" i="1" s="1"/>
  <c r="I17" i="1"/>
  <c r="J17" i="1" s="1"/>
  <c r="I43" i="1"/>
  <c r="P43" i="1" s="1"/>
  <c r="L43" i="1" s="1"/>
  <c r="I42" i="1"/>
  <c r="P42" i="1" s="1"/>
  <c r="L42" i="1" s="1"/>
  <c r="J10" i="1"/>
  <c r="I36" i="1"/>
  <c r="J36" i="1" s="1"/>
  <c r="I8" i="1"/>
  <c r="I28" i="1"/>
  <c r="P28" i="1" s="1"/>
  <c r="L28" i="1" s="1"/>
  <c r="I31" i="1"/>
  <c r="P31" i="1" s="1"/>
  <c r="L31" i="1" s="1"/>
  <c r="I40" i="1"/>
  <c r="J40" i="1" s="1"/>
  <c r="I13" i="1"/>
  <c r="P13" i="1" s="1"/>
  <c r="L13" i="1" s="1"/>
  <c r="I41" i="1"/>
  <c r="P20" i="1" s="1"/>
  <c r="L20" i="1" s="1"/>
  <c r="I24" i="1"/>
  <c r="P16" i="1" s="1"/>
  <c r="L16" i="1" s="1"/>
  <c r="I18" i="1"/>
  <c r="I12" i="1"/>
  <c r="J12" i="1" s="1"/>
  <c r="J42" i="1"/>
  <c r="I14" i="1"/>
  <c r="J47" i="1" s="1"/>
  <c r="I29" i="1"/>
  <c r="I9" i="1"/>
  <c r="P9" i="1" s="1"/>
  <c r="L9" i="1" s="1"/>
  <c r="I11" i="1"/>
  <c r="J11" i="1" s="1"/>
  <c r="I39" i="1"/>
  <c r="J31" i="1" s="1"/>
  <c r="I34" i="1"/>
  <c r="J34" i="1" s="1"/>
  <c r="I21" i="1"/>
  <c r="P21" i="1" s="1"/>
  <c r="L21" i="1" s="1"/>
  <c r="I37" i="1"/>
  <c r="P37" i="1" s="1"/>
  <c r="L37" i="1" s="1"/>
  <c r="I38" i="1"/>
  <c r="P38" i="1" s="1"/>
  <c r="L38" i="1" s="1"/>
  <c r="I23" i="1"/>
  <c r="P23" i="1" s="1"/>
  <c r="L23" i="1" s="1"/>
  <c r="J26" i="1"/>
  <c r="J35" i="1"/>
  <c r="J30" i="1"/>
  <c r="P33" i="1"/>
  <c r="L33" i="1" s="1"/>
  <c r="P17" i="1"/>
  <c r="L17" i="1" s="1"/>
  <c r="H48" i="1"/>
  <c r="U8" i="1" s="1"/>
  <c r="P39" i="1"/>
  <c r="L39" i="1" s="1"/>
  <c r="P35" i="1"/>
  <c r="L35" i="1" s="1"/>
  <c r="P15" i="1"/>
  <c r="L15" i="1" s="1"/>
  <c r="P46" i="1"/>
  <c r="L46" i="1" s="1"/>
  <c r="P30" i="1"/>
  <c r="L30" i="1" s="1"/>
  <c r="P14" i="1"/>
  <c r="L14" i="1" s="1"/>
  <c r="P10" i="1"/>
  <c r="L10" i="1" s="1"/>
  <c r="J16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7" i="1" l="1"/>
  <c r="L7" i="1" s="1"/>
  <c r="P27" i="1"/>
  <c r="L27" i="1" s="1"/>
  <c r="P32" i="1"/>
  <c r="L32" i="1" s="1"/>
  <c r="J25" i="1"/>
  <c r="P36" i="1"/>
  <c r="L36" i="1" s="1"/>
  <c r="U11" i="1"/>
  <c r="J45" i="1"/>
  <c r="U29" i="1"/>
  <c r="J44" i="1"/>
  <c r="U34" i="1"/>
  <c r="U9" i="1"/>
  <c r="I48" i="1"/>
  <c r="J9" i="1"/>
  <c r="U43" i="1"/>
  <c r="U22" i="1"/>
  <c r="U36" i="1"/>
  <c r="P8" i="1"/>
  <c r="L8" i="1" s="1"/>
  <c r="J13" i="1"/>
  <c r="U23" i="1"/>
  <c r="U41" i="1"/>
  <c r="U16" i="1"/>
  <c r="J22" i="1"/>
  <c r="J8" i="1"/>
  <c r="J28" i="1"/>
  <c r="J37" i="1"/>
  <c r="N48" i="1"/>
  <c r="J43" i="1"/>
  <c r="P12" i="1"/>
  <c r="L12" i="1" s="1"/>
  <c r="P11" i="1"/>
  <c r="L11" i="1" s="1"/>
  <c r="J21" i="1"/>
  <c r="P19" i="1"/>
  <c r="L19" i="1" s="1"/>
  <c r="J41" i="1"/>
  <c r="U7" i="1"/>
  <c r="U25" i="1"/>
  <c r="U39" i="1"/>
  <c r="U18" i="1"/>
  <c r="U32" i="1"/>
  <c r="U27" i="1"/>
  <c r="U38" i="1"/>
  <c r="U45" i="1"/>
  <c r="U13" i="1"/>
  <c r="U20" i="1"/>
  <c r="J18" i="1"/>
  <c r="J14" i="1"/>
  <c r="P18" i="1"/>
  <c r="L18" i="1" s="1"/>
  <c r="P34" i="1"/>
  <c r="L34" i="1" s="1"/>
  <c r="J38" i="1"/>
  <c r="P29" i="1"/>
  <c r="L29" i="1" s="1"/>
  <c r="J24" i="1"/>
  <c r="J29" i="1"/>
  <c r="J23" i="1"/>
  <c r="J39" i="1"/>
  <c r="P24" i="1"/>
  <c r="L24" i="1" s="1"/>
  <c r="P40" i="1"/>
  <c r="L40" i="1" s="1"/>
  <c r="P41" i="1"/>
  <c r="L41" i="1" s="1"/>
  <c r="U35" i="1"/>
  <c r="U19" i="1"/>
  <c r="U46" i="1"/>
  <c r="U30" i="1"/>
  <c r="U14" i="1"/>
  <c r="U37" i="1"/>
  <c r="U21" i="1"/>
  <c r="U44" i="1"/>
  <c r="U28" i="1"/>
  <c r="U12" i="1"/>
  <c r="U48" i="1"/>
  <c r="U47" i="1"/>
  <c r="U31" i="1"/>
  <c r="U15" i="1"/>
  <c r="U42" i="1"/>
  <c r="U26" i="1"/>
  <c r="U10" i="1"/>
  <c r="U33" i="1"/>
  <c r="U17" i="1"/>
  <c r="U40" i="1"/>
  <c r="U24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8" i="1" l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47" i="1"/>
  <c r="S4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<sst xmlns="http://schemas.openxmlformats.org/spreadsheetml/2006/main" count="309" uniqueCount="197">
  <si>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</si>
  <si>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</si>
  <si>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</si>
  <si>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</si>
  <si>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</si>
  <si>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</si>
  <si>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</si>
  <si>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</si>
  <si>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</si>
  <si>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</si>
  <si>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</si>
  <si>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</si>
  <si>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</si>
  <si>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</si>
  <si>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</si>
  <si>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</si>
  <si>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</si>
  <si>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</si>
  <si>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</si>
  <si>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</si>
  <si>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</si>
  <si>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</si>
  <si>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</si>
  <si>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</si>
  <si>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</si>
  <si>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</si>
  <si>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</si>
  <si>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</si>
  <si>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</si>
  <si>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</si>
  <si>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</si>
  <si>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</si>
  <si>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</si>
  <si>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</si>
  <si>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</si>
  <si>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</si>
  <si>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</si>
  <si>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</si>
  <si>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</si>
  <si>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</si>
  <si>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</si>
  <si>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</si>
  <si>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</si>
  <si>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</si>
  <si>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</si>
  <si>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</si>
  <si>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</si>
  <si>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</si>
  <si>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</si>
  <si>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</si>
  <si>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</si>
  <si>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</si>
  <si>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</si>
  <si>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</si>
  <si>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</si>
  <si>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</si>
  <si>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</si>
  <si>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</si>
  <si>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</si>
  <si>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</si>
  <si>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</si>
  <si>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</si>
  <si>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</si>
  <si>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</si>
  <si>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</si>
  <si>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</si>
  <si>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</si>
  <si>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</si>
  <si>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</si>
  <si>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</si>
  <si>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</si>
  <si>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</si>
  <si>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</si>
  <si>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</si>
  <si>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</si>
  <si>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</si>
  <si>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</si>
  <si>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</si>
  <si>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</si>
  <si>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</si>
  <si>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</si>
  <si>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</si>
  <si>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</si>
  <si>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</si>
  <si>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</si>
  <si>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</si>
  <si>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</si>
  <si>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</si>
  <si>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</si>
  <si>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</si>
  <si>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</si>
  <si>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</si>
  <si>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</si>
  <si>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</si>
  <si>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</si>
  <si>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</si>
  <si>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</si>
  <si>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</si>
  <si>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</si>
  <si>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</si>
  <si>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</si>
  <si>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</si>
  <si>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</si>
  <si>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</si>
  <si>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</si>
  <si>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</si>
  <si>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</si>
  <si>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</si>
  <si>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</si>
  <si>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</si>
  <si>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</si>
  <si>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</si>
  <si>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</si>
  <si>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</si>
  <si>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</si>
  <si>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</si>
  <si>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</si>
  <si>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</si>
  <si>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</si>
  <si>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</si>
  <si>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</si>
  <si>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</si>
  <si>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</si>
  <si>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</si>
  <si>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</si>
  <si>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</si>
  <si>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</si>
  <si>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</si>
  <si>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</si>
  <si>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</si>
  <si>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</si>
  <si>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</si>
  <si>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</si>
  <si>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</si>
  <si>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</si>
  <si>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</si>
  <si>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</si>
  <si>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</si>
  <si>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</si>
  <si>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</si>
  <si>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</si>
  <si>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</si>
  <si>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</si>
  <si>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</si>
  <si>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</si>
  <si>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</si>
  <si>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</si>
  <si>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</si>
  <si>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</si>
  <si>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DURANGO DAVID JOSE</t>
  </si>
  <si>
    <t>PARRA VILLA YUBER ALONSO</t>
  </si>
  <si>
    <t>ARAQUE ARROYAVE JOSE ALBEIRO</t>
  </si>
  <si>
    <t>CALLE BOTERO ANDRES CAMILO</t>
  </si>
  <si>
    <t>SALDARRIAGA PARRA LUIS ALBERTO</t>
  </si>
  <si>
    <t>PALACIO ARIAS YORFAN ALEXIS</t>
  </si>
  <si>
    <t>GARCIA DAVID WILSON ALBERTO</t>
  </si>
  <si>
    <t>GONZALEZ IPUANA RENE</t>
  </si>
  <si>
    <t>SUAREZ ESCUDERO JONATAN</t>
  </si>
  <si>
    <t>FLORES RINCON JORGE ALBERTO</t>
  </si>
  <si>
    <t>IBARGUEN GARRIDO JUAN ESTEBAN</t>
  </si>
  <si>
    <t>MARULANDA JARAMILLO DAWER ANDRES</t>
  </si>
  <si>
    <t>CALLE BOTERO JUAN RICARDO</t>
  </si>
  <si>
    <t>LOPEZ PINEDA DANIEL ESTIVEN</t>
  </si>
  <si>
    <t>MARIN ALZATE KEVIN ANDRES</t>
  </si>
  <si>
    <t>PULGARIN GARCIA YONATHAN ANDRES</t>
  </si>
  <si>
    <t>ALBERTO ARISTIZABAL RAFAEL</t>
  </si>
  <si>
    <t>DAVID  HENRY GIOVANNY</t>
  </si>
  <si>
    <t>HERNANDEZ MACIAS GILBERTO</t>
  </si>
  <si>
    <t>AGUDELO GARCIA DENIN ANGELO</t>
  </si>
  <si>
    <t>MONTOYA OSPINA GILBERTO ANTONIO</t>
  </si>
  <si>
    <t>MACEA ARBELAEZ MATEO</t>
  </si>
  <si>
    <t>PALMAR PANA EDIXON JOSUE</t>
  </si>
  <si>
    <t>TABORDA ROJAS DIEGO ALEJANDRO</t>
  </si>
  <si>
    <t>VALENCIA MENDOZA JHON</t>
  </si>
  <si>
    <t>MURILLO  YORMAN ANDRES</t>
  </si>
  <si>
    <t>YEPES TORRES JHON ALEXANDER</t>
  </si>
  <si>
    <t>OSORIO URREGO SANTIAGO</t>
  </si>
  <si>
    <t>AGUDELO GARCIA LLORDIN ELIAS</t>
  </si>
  <si>
    <t>MARTINEZ CHAVERRA LUIS NORBERTO</t>
  </si>
  <si>
    <t>ESPINOZA CHAVARRIA GUILLERMO LEON</t>
  </si>
  <si>
    <t>LONDOÑO CADAVID DAVID SANTIAGO</t>
  </si>
  <si>
    <t>PARIAS MURIEL JHON FREDY</t>
  </si>
  <si>
    <t>OCAMPO OCAMPO ANTONIO JOSE</t>
  </si>
  <si>
    <t>QUIRAMA CASTAÑEDA JHON JADER</t>
  </si>
  <si>
    <t>JIMENEZ HERNANDEZ ESTEBAN CAMILO</t>
  </si>
  <si>
    <t>LAYOS JIMENEZ JOHAN CAMILO</t>
  </si>
  <si>
    <t>SANCHEZ BETANCOURT FRANSCISCO</t>
  </si>
  <si>
    <t>JIMENEZ HURTADO CARLOS ESTIVEN</t>
  </si>
  <si>
    <t>GONZALEZ PEREZ RAFAEL JOSE</t>
  </si>
  <si>
    <t xml:space="preserve">3 Descuentos (Recaudo) </t>
  </si>
  <si>
    <t xml:space="preserve">2 Descuentos (Transbordo y usuario desubicado) </t>
  </si>
  <si>
    <t xml:space="preserve">2 Descuentos (Usuarios desubicados) </t>
  </si>
  <si>
    <t xml:space="preserve">JULIAN MACIAS Realizó 6 viajes donde movilizó 118 usuarios. 1 Descuento (Transbordo) </t>
  </si>
  <si>
    <t xml:space="preserve">2 Descuentos (Transbordo) </t>
  </si>
  <si>
    <t xml:space="preserve">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</si>
  <si>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21.1 USUARIOS</t>
    </r>
  </si>
  <si>
    <t xml:space="preserve">16 Descuentos (Transbordo)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</si>
</sst>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 formatCode="General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 formatCode="General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 formatCode="General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 formatCode="General">
                  <c:v>27</c:v>
                </c:pt>
                <c:pt idx="26">
                  <c:v>28</c:v>
                </c:pt>
                <c:pt idx="27" formatCode="General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 formatCode="General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15.866666666666667</c:v>
                </c:pt>
                <c:pt idx="1">
                  <c:v>27.142857142857142</c:v>
                </c:pt>
                <c:pt idx="2">
                  <c:v>22</c:v>
                </c:pt>
                <c:pt idx="3">
                  <c:v>22.625</c:v>
                </c:pt>
                <c:pt idx="4">
                  <c:v>11.5</c:v>
                </c:pt>
                <c:pt idx="5">
                  <c:v>26.5</c:v>
                </c:pt>
                <c:pt idx="6">
                  <c:v>21.272727272727273</c:v>
                </c:pt>
                <c:pt idx="7">
                  <c:v>17.7</c:v>
                </c:pt>
                <c:pt idx="8">
                  <c:v>21.333333333333332</c:v>
                </c:pt>
                <c:pt idx="9">
                  <c:v>17</c:v>
                </c:pt>
                <c:pt idx="10">
                  <c:v>23.428571428571427</c:v>
                </c:pt>
                <c:pt idx="11">
                  <c:v>23.333333333333332</c:v>
                </c:pt>
                <c:pt idx="12">
                  <c:v>21.6</c:v>
                </c:pt>
                <c:pt idx="13">
                  <c:v>21.6</c:v>
                </c:pt>
                <c:pt idx="14">
                  <c:v>19.222222222222221</c:v>
                </c:pt>
                <c:pt idx="15">
                  <c:v>16</c:v>
                </c:pt>
                <c:pt idx="16">
                  <c:v>20.888888888888889</c:v>
                </c:pt>
                <c:pt idx="17">
                  <c:v>16.571428571428573</c:v>
                </c:pt>
                <c:pt idx="18">
                  <c:v>23.818181818181817</c:v>
                </c:pt>
                <c:pt idx="19">
                  <c:v>20.100000000000001</c:v>
                </c:pt>
                <c:pt idx="20">
                  <c:v>24.25</c:v>
                </c:pt>
                <c:pt idx="21">
                  <c:v>20.9</c:v>
                </c:pt>
                <c:pt idx="22">
                  <c:v>23.375</c:v>
                </c:pt>
                <c:pt idx="23">
                  <c:v>22</c:v>
                </c:pt>
                <c:pt idx="24">
                  <c:v>24.111111111111111</c:v>
                </c:pt>
                <c:pt idx="25">
                  <c:v>21.75</c:v>
                </c:pt>
                <c:pt idx="26">
                  <c:v>18.90909090909091</c:v>
                </c:pt>
                <c:pt idx="27">
                  <c:v>18.636363636363637</c:v>
                </c:pt>
                <c:pt idx="28">
                  <c:v>22.5</c:v>
                </c:pt>
                <c:pt idx="29">
                  <c:v>18.142857142857142</c:v>
                </c:pt>
                <c:pt idx="30">
                  <c:v>16.181818181818183</c:v>
                </c:pt>
                <c:pt idx="31">
                  <c:v>26</c:v>
                </c:pt>
                <c:pt idx="32">
                  <c:v>18.7</c:v>
                </c:pt>
                <c:pt idx="33">
                  <c:v>19.5</c:v>
                </c:pt>
                <c:pt idx="34">
                  <c:v>18</c:v>
                </c:pt>
                <c:pt idx="35">
                  <c:v>20.333333333333332</c:v>
                </c:pt>
                <c:pt idx="36">
                  <c:v>24</c:v>
                </c:pt>
                <c:pt idx="37">
                  <c:v>23.1</c:v>
                </c:pt>
                <c:pt idx="38">
                  <c:v>23.555555555555557</c:v>
                </c:pt>
                <c:pt idx="39">
                  <c:v>28.571428571428573</c:v>
                </c:pt>
                <c:pt idx="40">
                  <c:v>23.714285714285715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1.1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activeCell="K3" sqref="K3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customWidth="1"/>
    <col min="9" max="9" width="10.375" style="149" bestFit="1" customWidth="1"/>
    <col min="10" max="10" width="10.375" style="363" hidden="1" customWidth="1"/>
    <col min="11" max="11" width="53.875" bestFit="1" customWidth="1"/>
    <col min="12" max="12" width="10.5" style="338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7" t="s">
        <v>144</v>
      </c>
      <c r="E1" s="367"/>
      <c r="F1" s="367"/>
      <c r="G1" s="367"/>
      <c r="H1" s="367"/>
      <c r="I1" s="19"/>
      <c r="J1" s="339"/>
      <c r="K1" s="195"/>
      <c r="L1"/>
    </row>
    <row r="2" spans="1:32" ht="49.5" thickBot="1" x14ac:dyDescent="0.35">
      <c r="D2" s="368" t="s">
        <v>143</v>
      </c>
      <c r="E2" s="368"/>
      <c r="F2" s="368"/>
      <c r="G2" s="368"/>
      <c r="H2" s="368"/>
      <c r="I2" s="368"/>
      <c r="J2" s="368"/>
      <c r="K2" s="368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2"/>
      <c r="H3" s="244"/>
      <c r="I3" s="19"/>
      <c r="J3" s="339"/>
      <c r="K3" s="195"/>
      <c r="L3" s="197"/>
      <c r="Q3" s="55">
        <f>+SUM(G6:G1859)/2</f>
        <v>7566</v>
      </c>
      <c r="R3" s="55">
        <f>+SUM(E6:E1859)/2</f>
        <v>358</v>
      </c>
      <c r="S3" s="55">
        <f>+Q3-R3</f>
        <v>7208</v>
      </c>
      <c r="T3" s="56">
        <f>+S3/R3</f>
        <v>20.134078212290504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45971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1" t="s">
        <v>115</v>
      </c>
      <c r="J6" s="341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123</v>
      </c>
      <c r="C7" s="166">
        <v>1</v>
      </c>
      <c r="D7" s="151" t="s">
        <v>157</v>
      </c>
      <c r="E7" s="150">
        <v>7.5</v>
      </c>
      <c r="F7" s="150">
        <v>0.5</v>
      </c>
      <c r="G7" s="165">
        <v>119</v>
      </c>
      <c r="H7" s="227">
        <f t="shared" ref="H7:H47" si="0">+G7/E7</f>
        <v>15.866666666666667</v>
      </c>
      <c r="I7" s="228">
        <f>+(SUM($G$7:$G$1048576)/SUM($E$7:$E$1048576))*E7</f>
        <v>158.50558659217879</v>
      </c>
      <c r="J7" s="364">
        <f>+Tabla2[[#This Row],[PROM DE USUARIOS]]-Tabla2[[#This Row],[USUARIOS]]</f>
        <v>39.505586592178787</v>
      </c>
      <c r="K7" s="151"/>
      <c r="L7" s="163">
        <f t="shared" ref="L7:L47" si="1">P7*585</f>
        <v>88338.268156424587</v>
      </c>
      <c r="M7" s="162" t="str">
        <f>+VLOOKUP(C7,Lista!B:D,3,0)</f>
        <v>MICRO</v>
      </c>
      <c r="N7" s="375">
        <f t="shared" ref="N7:N47" si="2">+(SUMIFS(G:G,M:M,"MICRO",E:E,"&gt;0")*100)/COUNTIF($E$7:$E$47,"&gt;0")</f>
        <v>11953.658536585366</v>
      </c>
      <c r="O7" s="50">
        <f t="shared" ref="O7:O47" si="3">+(E7*1)-V7</f>
        <v>7.5</v>
      </c>
      <c r="P7" s="47">
        <f t="shared" ref="P7:P47" si="4">+I7-O7-W7</f>
        <v>151.00558659217879</v>
      </c>
      <c r="Q7" s="49">
        <f t="shared" ref="Q7:Q47" si="5">+G7-O7</f>
        <v>111.5</v>
      </c>
      <c r="R7" s="51">
        <f t="shared" ref="R7:R47" si="6">+E7*$T$3</f>
        <v>151.00558659217879</v>
      </c>
      <c r="S7" s="46">
        <f t="shared" ref="S7:S47" si="7">+R7*550</f>
        <v>83053.072625698333</v>
      </c>
      <c r="T7" t="str">
        <f t="shared" ref="T7:T47" si="8">+IF(K7&lt;&gt;"",K7,"")</f>
        <v/>
      </c>
      <c r="U7">
        <f>+RANK(H7,$H$6:$H$1048576,1)</f>
        <v>2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124</v>
      </c>
      <c r="C8" s="166">
        <v>2</v>
      </c>
      <c r="D8" s="151" t="s">
        <v>181</v>
      </c>
      <c r="E8" s="150">
        <v>7</v>
      </c>
      <c r="F8" s="150">
        <v>0</v>
      </c>
      <c r="G8" s="146">
        <v>190</v>
      </c>
      <c r="H8" s="227">
        <f t="shared" si="0"/>
        <v>27.142857142857142</v>
      </c>
      <c r="I8" s="365">
        <f>+(SUM($G$7:$G$1048576)/SUM($E$7:$E$1048576))*E8</f>
        <v>147.93854748603354</v>
      </c>
      <c r="J8" s="364">
        <f>+Tabla2[[#This Row],[PROM DE USUARIOS]]-Tabla2[[#This Row],[USUARIOS]]</f>
        <v>-42.061452513966458</v>
      </c>
      <c r="K8" s="151"/>
      <c r="L8" s="163">
        <f t="shared" si="1"/>
        <v>82449.050279329618</v>
      </c>
      <c r="M8" s="162">
        <f>+VLOOKUP(C8,Lista!B:D,3,0)</f>
        <v>0</v>
      </c>
      <c r="N8" s="375">
        <f t="shared" si="2"/>
        <v>11953.658536585366</v>
      </c>
      <c r="O8" s="50">
        <f t="shared" si="3"/>
        <v>7</v>
      </c>
      <c r="P8" s="47">
        <f t="shared" si="4"/>
        <v>140.93854748603354</v>
      </c>
      <c r="Q8" s="49">
        <f t="shared" si="5"/>
        <v>183</v>
      </c>
      <c r="R8" s="51">
        <f t="shared" si="6"/>
        <v>140.93854748603354</v>
      </c>
      <c r="S8" s="46">
        <f t="shared" si="7"/>
        <v>77516.201117318444</v>
      </c>
      <c r="T8" t="str">
        <f t="shared" si="8"/>
        <v/>
      </c>
      <c r="U8">
        <f>+RANK(H8,$H$6:$H$1048576,1)</f>
        <v>41</v>
      </c>
      <c r="Y8" t="str">
        <f>TRIM(Tabla2[[#This Row],[CONDUCTOR]])</f>
        <v>PARIAS MURIEL JHON FREDY</v>
      </c>
    </row>
    <row r="9" spans="1:32" x14ac:dyDescent="0.2">
      <c r="B9" s="136" t="s">
        <v>123</v>
      </c>
      <c r="C9" s="166">
        <v>3</v>
      </c>
      <c r="D9" s="151" t="s">
        <v>156</v>
      </c>
      <c r="E9" s="150">
        <v>9</v>
      </c>
      <c r="F9" s="150">
        <v>0</v>
      </c>
      <c r="G9" s="165">
        <v>198</v>
      </c>
      <c r="H9" s="227">
        <f t="shared" si="0"/>
        <v>22</v>
      </c>
      <c r="I9" s="228">
        <f>+(SUM($G$7:$G$1048576)/SUM($E$7:$E$1048576))*E9</f>
        <v>190.20670391061452</v>
      </c>
      <c r="J9" s="364">
        <f>+Tabla2[[#This Row],[PROM DE USUARIOS]]-Tabla2[[#This Row],[USUARIOS]]</f>
        <v>-7.7932960893854784</v>
      </c>
      <c r="K9" s="151"/>
      <c r="L9" s="163">
        <f t="shared" si="1"/>
        <v>106005.92178770949</v>
      </c>
      <c r="M9" s="162" t="str">
        <f>+VLOOKUP(C9,Lista!B:D,3,0)</f>
        <v>MICRO</v>
      </c>
      <c r="N9" s="375">
        <f t="shared" si="2"/>
        <v>11953.658536585366</v>
      </c>
      <c r="O9" s="50">
        <f t="shared" si="3"/>
        <v>9</v>
      </c>
      <c r="P9" s="47">
        <f t="shared" si="4"/>
        <v>181.20670391061452</v>
      </c>
      <c r="Q9" s="49">
        <f t="shared" si="5"/>
        <v>189</v>
      </c>
      <c r="R9" s="51">
        <f t="shared" si="6"/>
        <v>181.20670391061452</v>
      </c>
      <c r="S9" s="46">
        <f t="shared" si="7"/>
        <v>99663.687150837985</v>
      </c>
      <c r="T9" t="str">
        <f t="shared" si="8"/>
        <v/>
      </c>
      <c r="U9">
        <f>+RANK(H9,$H$6:$H$1048576,1)</f>
        <v>25</v>
      </c>
      <c r="Y9" t="str">
        <f>TRIM(Tabla2[[#This Row],[CONDUCTOR]])</f>
        <v>GONZALEZ IPUANA RENE</v>
      </c>
    </row>
    <row r="10" spans="1:32" x14ac:dyDescent="0.2">
      <c r="B10" s="136" t="s">
        <v>124</v>
      </c>
      <c r="C10" s="137">
        <v>4</v>
      </c>
      <c r="D10" s="151" t="s">
        <v>186</v>
      </c>
      <c r="E10" s="150">
        <v>8</v>
      </c>
      <c r="F10" s="150">
        <v>0</v>
      </c>
      <c r="G10" s="146">
        <v>181</v>
      </c>
      <c r="H10" s="227">
        <f t="shared" si="0"/>
        <v>22.625</v>
      </c>
      <c r="I10" s="228">
        <f>+(SUM($G$7:$G$1048576)/SUM($E$7:$E$1048576))*E10</f>
        <v>169.07262569832403</v>
      </c>
      <c r="J10" s="364">
        <f>+Tabla2[[#This Row],[PROM DE USUARIOS]]-Tabla2[[#This Row],[USUARIOS]]</f>
        <v>-11.927374301675968</v>
      </c>
      <c r="K10" s="151" t="s">
        <v>190</v>
      </c>
      <c r="L10" s="163">
        <f t="shared" si="1"/>
        <v>94227.486033519555</v>
      </c>
      <c r="M10" s="162" t="str">
        <f>+VLOOKUP(C10,Lista!B:D,3,0)</f>
        <v>MICRO</v>
      </c>
      <c r="N10" s="375">
        <f t="shared" si="2"/>
        <v>11953.658536585366</v>
      </c>
      <c r="O10" s="50">
        <f t="shared" si="3"/>
        <v>8</v>
      </c>
      <c r="P10" s="47">
        <f t="shared" si="4"/>
        <v>161.07262569832403</v>
      </c>
      <c r="Q10" s="49">
        <f t="shared" si="5"/>
        <v>173</v>
      </c>
      <c r="R10" s="51">
        <f t="shared" si="6"/>
        <v>161.07262569832403</v>
      </c>
      <c r="S10" s="46">
        <f t="shared" si="7"/>
        <v>88589.944134078221</v>
      </c>
      <c r="T10" t="str">
        <f t="shared" si="8"/>
        <v xml:space="preserve">2 Descuentos (Transbordo y usuario desubicado) </v>
      </c>
      <c r="U10">
        <f>+RANK(H10,$H$6:$H$1048576,1)</f>
        <v>28</v>
      </c>
      <c r="Y10" t="str">
        <f>TRIM(Tabla2[[#This Row],[CONDUCTOR]])</f>
        <v>SANCHEZ BETANCOURT FRANSCISCO</v>
      </c>
    </row>
    <row r="11" spans="1:32" x14ac:dyDescent="0.2">
      <c r="B11" s="136" t="s">
        <v>123</v>
      </c>
      <c r="C11" s="166">
        <v>5</v>
      </c>
      <c r="D11" s="151" t="s">
        <v>180</v>
      </c>
      <c r="E11" s="150">
        <v>4</v>
      </c>
      <c r="F11" s="150">
        <v>0</v>
      </c>
      <c r="G11" s="146">
        <v>46</v>
      </c>
      <c r="H11" s="227">
        <f t="shared" si="0"/>
        <v>11.5</v>
      </c>
      <c r="I11" s="365">
        <f>+(SUM($G$7:$G$1048576)/SUM($E$7:$E$1048576))*E11</f>
        <v>84.536312849162016</v>
      </c>
      <c r="J11" s="364">
        <f>+Tabla2[[#This Row],[PROM DE USUARIOS]]-Tabla2[[#This Row],[USUARIOS]]</f>
        <v>38.536312849162016</v>
      </c>
      <c r="K11" s="151"/>
      <c r="L11" s="163">
        <f t="shared" si="1"/>
        <v>47113.743016759778</v>
      </c>
      <c r="M11" s="162">
        <f>+VLOOKUP(C11,Lista!B:D,3,0)</f>
        <v>0</v>
      </c>
      <c r="N11" s="375">
        <f t="shared" si="2"/>
        <v>11953.658536585366</v>
      </c>
      <c r="O11" s="50">
        <f t="shared" si="3"/>
        <v>4</v>
      </c>
      <c r="P11" s="47">
        <f t="shared" si="4"/>
        <v>80.536312849162016</v>
      </c>
      <c r="Q11" s="49">
        <f t="shared" si="5"/>
        <v>42</v>
      </c>
      <c r="R11" s="51">
        <f t="shared" si="6"/>
        <v>80.536312849162016</v>
      </c>
      <c r="S11" s="46">
        <f t="shared" si="7"/>
        <v>44294.972067039111</v>
      </c>
      <c r="T11" t="str">
        <f t="shared" si="8"/>
        <v/>
      </c>
      <c r="U11">
        <f>+RANK(H11,$H$6:$H$1048576,1)</f>
        <v>1</v>
      </c>
      <c r="Y11" t="str">
        <f>TRIM(Tabla2[[#This Row],[CONDUCTOR]])</f>
        <v>LONDOÑO CADAVID DAVID SANTIAGO</v>
      </c>
    </row>
    <row r="12" spans="1:32" x14ac:dyDescent="0.2">
      <c r="B12" s="136" t="s">
        <v>124</v>
      </c>
      <c r="C12" s="166">
        <v>6</v>
      </c>
      <c r="D12" s="151" t="s">
        <v>162</v>
      </c>
      <c r="E12" s="150">
        <v>4</v>
      </c>
      <c r="F12" s="150">
        <v>0</v>
      </c>
      <c r="G12" s="165">
        <v>106</v>
      </c>
      <c r="H12" s="227">
        <f t="shared" si="0"/>
        <v>26.5</v>
      </c>
      <c r="I12" s="228">
        <f>+(SUM($G$7:$G$1048576)/SUM($E$7:$E$1048576))*E12</f>
        <v>84.536312849162016</v>
      </c>
      <c r="J12" s="364">
        <f>+Tabla2[[#This Row],[PROM DE USUARIOS]]-Tabla2[[#This Row],[USUARIOS]]</f>
        <v>-21.463687150837984</v>
      </c>
      <c r="K12" s="151"/>
      <c r="L12" s="163">
        <f t="shared" si="1"/>
        <v>47113.743016759778</v>
      </c>
      <c r="M12" s="162" t="str">
        <f>+VLOOKUP(C12,Lista!B:D,3,0)</f>
        <v>MICRO</v>
      </c>
      <c r="N12" s="375">
        <f t="shared" si="2"/>
        <v>11953.658536585366</v>
      </c>
      <c r="O12" s="50">
        <f t="shared" si="3"/>
        <v>4</v>
      </c>
      <c r="P12" s="47">
        <f t="shared" si="4"/>
        <v>80.536312849162016</v>
      </c>
      <c r="Q12" s="49">
        <f t="shared" si="5"/>
        <v>102</v>
      </c>
      <c r="R12" s="51">
        <f t="shared" si="6"/>
        <v>80.536312849162016</v>
      </c>
      <c r="S12" s="46">
        <f t="shared" si="7"/>
        <v>44294.972067039111</v>
      </c>
      <c r="T12" t="str">
        <f t="shared" si="8"/>
        <v/>
      </c>
      <c r="U12">
        <f>+RANK(H12,$H$6:$H$1048576,1)</f>
        <v>40</v>
      </c>
      <c r="Y12" t="str">
        <f>TRIM(Tabla2[[#This Row],[CONDUCTOR]])</f>
        <v>LOPEZ PINEDA DANIEL ESTIVEN</v>
      </c>
    </row>
    <row r="13" spans="1:32" x14ac:dyDescent="0.2">
      <c r="B13" s="136" t="s">
        <v>123</v>
      </c>
      <c r="C13" s="166">
        <v>7</v>
      </c>
      <c r="D13" s="151" t="s">
        <v>154</v>
      </c>
      <c r="E13" s="150">
        <v>11</v>
      </c>
      <c r="F13" s="150">
        <v>0</v>
      </c>
      <c r="G13" s="165">
        <v>234</v>
      </c>
      <c r="H13" s="227">
        <f t="shared" si="0"/>
        <v>21.272727272727273</v>
      </c>
      <c r="I13" s="228">
        <f>+(SUM($G$7:$G$1048576)/SUM($E$7:$E$1048576))*E13</f>
        <v>232.47486033519556</v>
      </c>
      <c r="J13" s="364">
        <f>+Tabla2[[#This Row],[PROM DE USUARIOS]]-Tabla2[[#This Row],[USUARIOS]]</f>
        <v>-1.525139664804442</v>
      </c>
      <c r="K13" s="151"/>
      <c r="L13" s="163">
        <f t="shared" si="1"/>
        <v>129562.7932960894</v>
      </c>
      <c r="M13" s="162">
        <f>+VLOOKUP(C13,Lista!B:D,3,0)</f>
        <v>0</v>
      </c>
      <c r="N13" s="375">
        <f t="shared" si="2"/>
        <v>11953.658536585366</v>
      </c>
      <c r="O13" s="50">
        <f t="shared" si="3"/>
        <v>11</v>
      </c>
      <c r="P13" s="47">
        <f t="shared" si="4"/>
        <v>221.47486033519556</v>
      </c>
      <c r="Q13" s="49">
        <f t="shared" si="5"/>
        <v>223</v>
      </c>
      <c r="R13" s="51">
        <f t="shared" si="6"/>
        <v>221.47486033519556</v>
      </c>
      <c r="S13" s="46">
        <f t="shared" si="7"/>
        <v>121811.17318435755</v>
      </c>
      <c r="T13" t="str">
        <f t="shared" si="8"/>
        <v/>
      </c>
      <c r="U13">
        <f>+RANK(H13,$H$6:$H$1048576,1)</f>
        <v>20</v>
      </c>
      <c r="Y13" t="str">
        <f>TRIM(Tabla2[[#This Row],[CONDUCTOR]])</f>
        <v>PALACIO ARIAS YORFAN ALEXIS</v>
      </c>
    </row>
    <row r="14" spans="1:32" x14ac:dyDescent="0.2">
      <c r="B14" s="136" t="s">
        <v>124</v>
      </c>
      <c r="C14" s="166">
        <v>8</v>
      </c>
      <c r="D14" s="151" t="s">
        <v>188</v>
      </c>
      <c r="E14" s="150">
        <v>10</v>
      </c>
      <c r="F14" s="150">
        <v>0</v>
      </c>
      <c r="G14" s="165">
        <v>177</v>
      </c>
      <c r="H14" s="227">
        <f t="shared" si="0"/>
        <v>17.7</v>
      </c>
      <c r="I14" s="228">
        <f>+(SUM($G$7:$G$1048576)/SUM($E$7:$E$1048576))*E14</f>
        <v>211.34078212290504</v>
      </c>
      <c r="J14" s="364">
        <f>+Tabla2[[#This Row],[PROM DE USUARIOS]]-Tabla2[[#This Row],[USUARIOS]]</f>
        <v>34.34078212290504</v>
      </c>
      <c r="K14" s="151"/>
      <c r="L14" s="163">
        <f t="shared" si="1"/>
        <v>117784.35754189944</v>
      </c>
      <c r="M14" s="162">
        <f>+VLOOKUP(C14,Lista!B:D,3,0)</f>
        <v>0</v>
      </c>
      <c r="N14" s="375">
        <f t="shared" si="2"/>
        <v>11953.658536585366</v>
      </c>
      <c r="O14" s="50">
        <f t="shared" si="3"/>
        <v>10</v>
      </c>
      <c r="P14" s="47">
        <f t="shared" si="4"/>
        <v>201.34078212290504</v>
      </c>
      <c r="Q14" s="49">
        <f t="shared" si="5"/>
        <v>167</v>
      </c>
      <c r="R14" s="51">
        <f t="shared" si="6"/>
        <v>201.34078212290504</v>
      </c>
      <c r="S14" s="46">
        <f t="shared" si="7"/>
        <v>110737.43016759778</v>
      </c>
      <c r="T14" t="str">
        <f t="shared" si="8"/>
        <v/>
      </c>
      <c r="U14">
        <f>+RANK(H14,$H$6:$H$1048576,1)</f>
        <v>7</v>
      </c>
      <c r="Y14" t="str">
        <f>TRIM(Tabla2[[#This Row],[CONDUCTOR]])</f>
        <v>GONZALEZ PEREZ RAFAEL JOSE</v>
      </c>
    </row>
    <row r="15" spans="1:32" x14ac:dyDescent="0.2">
      <c r="B15" s="136" t="s">
        <v>123</v>
      </c>
      <c r="C15" s="137">
        <v>9</v>
      </c>
      <c r="D15" s="151" t="s">
        <v>148</v>
      </c>
      <c r="E15" s="150">
        <v>6</v>
      </c>
      <c r="F15" s="150">
        <v>0</v>
      </c>
      <c r="G15" s="165">
        <v>128</v>
      </c>
      <c r="H15" s="227">
        <f t="shared" si="0"/>
        <v>21.333333333333332</v>
      </c>
      <c r="I15" s="228">
        <f>+(SUM($G$7:$G$1048576)/SUM($E$7:$E$1048576))*E15</f>
        <v>126.80446927374302</v>
      </c>
      <c r="J15" s="364">
        <f>+Tabla2[[#This Row],[PROM DE USUARIOS]]-Tabla2[[#This Row],[USUARIOS]]</f>
        <v>-1.1955307262569761</v>
      </c>
      <c r="K15" s="151"/>
      <c r="L15" s="163">
        <f t="shared" si="1"/>
        <v>70670.614525139667</v>
      </c>
      <c r="M15" s="162" t="str">
        <f>+VLOOKUP(C15,Lista!B:D,3,0)</f>
        <v>MICRO</v>
      </c>
      <c r="N15" s="375">
        <f t="shared" si="2"/>
        <v>11953.658536585366</v>
      </c>
      <c r="O15" s="50">
        <f t="shared" si="3"/>
        <v>6</v>
      </c>
      <c r="P15" s="47">
        <f t="shared" si="4"/>
        <v>120.80446927374302</v>
      </c>
      <c r="Q15" s="49">
        <f t="shared" si="5"/>
        <v>122</v>
      </c>
      <c r="R15" s="51">
        <f t="shared" si="6"/>
        <v>120.80446927374302</v>
      </c>
      <c r="S15" s="46">
        <f t="shared" si="7"/>
        <v>66442.458100558666</v>
      </c>
      <c r="T15" t="str">
        <f t="shared" si="8"/>
        <v/>
      </c>
      <c r="U15">
        <f>+RANK(H15,$H$6:$H$1048576,1)</f>
        <v>21</v>
      </c>
      <c r="Y15" t="str">
        <f>TRIM(Tabla2[[#This Row],[CONDUCTOR]])</f>
        <v>CARTAGENA RAMIREZ FREDY ALONSO</v>
      </c>
    </row>
    <row r="16" spans="1:32" x14ac:dyDescent="0.2">
      <c r="B16" s="136" t="s">
        <v>124</v>
      </c>
      <c r="C16" s="166">
        <v>10</v>
      </c>
      <c r="D16" s="151" t="s">
        <v>163</v>
      </c>
      <c r="E16" s="150">
        <v>8</v>
      </c>
      <c r="F16" s="150">
        <v>0</v>
      </c>
      <c r="G16" s="165">
        <v>136</v>
      </c>
      <c r="H16" s="227">
        <f t="shared" si="0"/>
        <v>17</v>
      </c>
      <c r="I16" s="228">
        <f>+(SUM($G$7:$G$1048576)/SUM($E$7:$E$1048576))*E16</f>
        <v>169.07262569832403</v>
      </c>
      <c r="J16" s="364">
        <f>+Tabla2[[#This Row],[PROM DE USUARIOS]]-Tabla2[[#This Row],[USUARIOS]]</f>
        <v>33.072625698324032</v>
      </c>
      <c r="K16" s="151"/>
      <c r="L16" s="163">
        <f t="shared" si="1"/>
        <v>94227.486033519555</v>
      </c>
      <c r="M16" s="162" t="str">
        <f>+VLOOKUP(C16,Lista!B:D,3,0)</f>
        <v>MICRO</v>
      </c>
      <c r="N16" s="375">
        <f t="shared" si="2"/>
        <v>11953.658536585366</v>
      </c>
      <c r="O16" s="50">
        <f t="shared" si="3"/>
        <v>8</v>
      </c>
      <c r="P16" s="47">
        <f t="shared" si="4"/>
        <v>161.07262569832403</v>
      </c>
      <c r="Q16" s="49">
        <f t="shared" si="5"/>
        <v>128</v>
      </c>
      <c r="R16" s="51">
        <f t="shared" si="6"/>
        <v>161.07262569832403</v>
      </c>
      <c r="S16" s="46">
        <f t="shared" si="7"/>
        <v>88589.944134078221</v>
      </c>
      <c r="T16" t="str">
        <f t="shared" si="8"/>
        <v/>
      </c>
      <c r="U16">
        <f>+RANK(H16,$H$6:$H$1048576,1)</f>
        <v>6</v>
      </c>
      <c r="Y16" t="str">
        <f>TRIM(Tabla2[[#This Row],[CONDUCTOR]])</f>
        <v>MARIN ALZATE KEVIN ANDRES</v>
      </c>
    </row>
    <row r="17" spans="2:25" x14ac:dyDescent="0.2">
      <c r="B17" s="136" t="s">
        <v>123</v>
      </c>
      <c r="C17" s="166">
        <v>11</v>
      </c>
      <c r="D17" s="151" t="s">
        <v>175</v>
      </c>
      <c r="E17" s="150">
        <v>3.5</v>
      </c>
      <c r="F17" s="150">
        <v>0.5</v>
      </c>
      <c r="G17" s="165">
        <v>82</v>
      </c>
      <c r="H17" s="227">
        <f t="shared" si="0"/>
        <v>23.428571428571427</v>
      </c>
      <c r="I17" s="228">
        <f>+(SUM($G$7:$G$1048576)/SUM($E$7:$E$1048576))*E17</f>
        <v>73.969273743016771</v>
      </c>
      <c r="J17" s="364">
        <f>+Tabla2[[#This Row],[PROM DE USUARIOS]]-Tabla2[[#This Row],[USUARIOS]]</f>
        <v>-8.030726256983229</v>
      </c>
      <c r="K17" s="151"/>
      <c r="L17" s="163">
        <f t="shared" si="1"/>
        <v>41224.525139664809</v>
      </c>
      <c r="M17" s="162" t="str">
        <f>+VLOOKUP(C17,Lista!B:D,3,0)</f>
        <v>MICRO</v>
      </c>
      <c r="N17" s="375">
        <f t="shared" si="2"/>
        <v>11953.658536585366</v>
      </c>
      <c r="O17" s="50">
        <f t="shared" si="3"/>
        <v>3.5</v>
      </c>
      <c r="P17" s="47">
        <f t="shared" si="4"/>
        <v>70.469273743016771</v>
      </c>
      <c r="Q17" s="49">
        <f t="shared" si="5"/>
        <v>78.5</v>
      </c>
      <c r="R17" s="51">
        <f t="shared" si="6"/>
        <v>70.469273743016771</v>
      </c>
      <c r="S17" s="46">
        <f t="shared" si="7"/>
        <v>38758.100558659222</v>
      </c>
      <c r="T17" t="str">
        <f t="shared" si="8"/>
        <v/>
      </c>
      <c r="U17">
        <f>+RANK(H17,$H$6:$H$1048576,1)</f>
        <v>32</v>
      </c>
      <c r="Y17" t="str">
        <f>TRIM(Tabla2[[#This Row],[CONDUCTOR]])</f>
        <v>YEPES TORRES JHON ALEXANDER</v>
      </c>
    </row>
    <row r="18" spans="2:25" x14ac:dyDescent="0.2">
      <c r="B18" s="136" t="s">
        <v>124</v>
      </c>
      <c r="C18" s="166">
        <v>13</v>
      </c>
      <c r="D18" s="151" t="s">
        <v>166</v>
      </c>
      <c r="E18" s="150">
        <v>9</v>
      </c>
      <c r="F18" s="150">
        <v>0</v>
      </c>
      <c r="G18" s="146">
        <v>210</v>
      </c>
      <c r="H18" s="227">
        <f t="shared" si="0"/>
        <v>23.333333333333332</v>
      </c>
      <c r="I18" s="365">
        <f>+(SUM($G$7:$G$1048576)/SUM($E$7:$E$1048576))*E18</f>
        <v>190.20670391061452</v>
      </c>
      <c r="J18" s="364">
        <f>+Tabla2[[#This Row],[PROM DE USUARIOS]]-Tabla2[[#This Row],[USUARIOS]]</f>
        <v>-19.793296089385478</v>
      </c>
      <c r="K18" s="151"/>
      <c r="L18" s="163">
        <f t="shared" si="1"/>
        <v>106005.92178770949</v>
      </c>
      <c r="M18" s="162" t="str">
        <f>+VLOOKUP(C18,Lista!B:D,3,0)</f>
        <v>MICRO</v>
      </c>
      <c r="N18" s="375">
        <f t="shared" si="2"/>
        <v>11953.658536585366</v>
      </c>
      <c r="O18" s="50">
        <f t="shared" si="3"/>
        <v>9</v>
      </c>
      <c r="P18" s="47">
        <f t="shared" si="4"/>
        <v>181.20670391061452</v>
      </c>
      <c r="Q18" s="49">
        <f t="shared" si="5"/>
        <v>201</v>
      </c>
      <c r="R18" s="51">
        <f t="shared" si="6"/>
        <v>181.20670391061452</v>
      </c>
      <c r="S18" s="46">
        <f t="shared" si="7"/>
        <v>99663.687150837985</v>
      </c>
      <c r="T18" t="str">
        <f t="shared" si="8"/>
        <v/>
      </c>
      <c r="U18">
        <f>+RANK(H18,$H$6:$H$1048576,1)</f>
        <v>30</v>
      </c>
      <c r="Y18" t="str">
        <f>TRIM(Tabla2[[#This Row],[CONDUCTOR]])</f>
        <v>DAVID HENRY GIOVANNY</v>
      </c>
    </row>
    <row r="19" spans="2:25" x14ac:dyDescent="0.2">
      <c r="B19" s="136" t="s">
        <v>123</v>
      </c>
      <c r="C19" s="166">
        <v>14</v>
      </c>
      <c r="D19" s="151" t="s">
        <v>164</v>
      </c>
      <c r="E19" s="150">
        <v>10</v>
      </c>
      <c r="F19" s="150">
        <v>0</v>
      </c>
      <c r="G19" s="165">
        <v>216</v>
      </c>
      <c r="H19" s="227">
        <f t="shared" si="0"/>
        <v>21.6</v>
      </c>
      <c r="I19" s="228">
        <f>+(SUM($G$7:$G$1048576)/SUM($E$7:$E$1048576))*E19</f>
        <v>211.34078212290504</v>
      </c>
      <c r="J19" s="364">
        <f>+Tabla2[[#This Row],[PROM DE USUARIOS]]-Tabla2[[#This Row],[USUARIOS]]</f>
        <v>-4.6592178770949602</v>
      </c>
      <c r="K19" s="151"/>
      <c r="L19" s="163">
        <f t="shared" si="1"/>
        <v>117784.35754189944</v>
      </c>
      <c r="M19" s="162">
        <f>+VLOOKUP(C19,Lista!B:D,3,0)</f>
        <v>0</v>
      </c>
      <c r="N19" s="375">
        <f t="shared" si="2"/>
        <v>11953.658536585366</v>
      </c>
      <c r="O19" s="50">
        <f t="shared" si="3"/>
        <v>10</v>
      </c>
      <c r="P19" s="47">
        <f t="shared" si="4"/>
        <v>201.34078212290504</v>
      </c>
      <c r="Q19" s="49">
        <f t="shared" si="5"/>
        <v>206</v>
      </c>
      <c r="R19" s="51">
        <f t="shared" si="6"/>
        <v>201.34078212290504</v>
      </c>
      <c r="S19" s="46">
        <f t="shared" si="7"/>
        <v>110737.43016759778</v>
      </c>
      <c r="T19" t="str">
        <f t="shared" si="8"/>
        <v/>
      </c>
      <c r="U19">
        <f>+RANK(H19,$H$6:$H$1048576,1)</f>
        <v>22</v>
      </c>
      <c r="Y19" t="str">
        <f>TRIM(Tabla2[[#This Row],[CONDUCTOR]])</f>
        <v>PULGARIN GARCIA YONATHAN ANDRES</v>
      </c>
    </row>
    <row r="20" spans="2:25" x14ac:dyDescent="0.2">
      <c r="B20" s="136" t="s">
        <v>124</v>
      </c>
      <c r="C20" s="166">
        <v>15</v>
      </c>
      <c r="D20" s="151" t="s">
        <v>167</v>
      </c>
      <c r="E20" s="150">
        <v>10</v>
      </c>
      <c r="F20" s="150">
        <v>0</v>
      </c>
      <c r="G20" s="165">
        <v>216</v>
      </c>
      <c r="H20" s="227">
        <f t="shared" si="0"/>
        <v>21.6</v>
      </c>
      <c r="I20" s="228">
        <f>+(SUM($G$7:$G$1048576)/SUM($E$7:$E$1048576))*E20</f>
        <v>211.34078212290504</v>
      </c>
      <c r="J20" s="364">
        <f>+Tabla2[[#This Row],[PROM DE USUARIOS]]-Tabla2[[#This Row],[USUARIOS]]</f>
        <v>-4.6592178770949602</v>
      </c>
      <c r="K20" s="151"/>
      <c r="L20" s="163">
        <f t="shared" si="1"/>
        <v>117784.35754189944</v>
      </c>
      <c r="M20" s="162">
        <f>+VLOOKUP(C20,Lista!B:D,3,0)</f>
        <v>0</v>
      </c>
      <c r="N20" s="375">
        <f t="shared" si="2"/>
        <v>11953.658536585366</v>
      </c>
      <c r="O20" s="50">
        <f t="shared" si="3"/>
        <v>10</v>
      </c>
      <c r="P20" s="47">
        <f t="shared" si="4"/>
        <v>201.34078212290504</v>
      </c>
      <c r="Q20" s="49">
        <f t="shared" si="5"/>
        <v>206</v>
      </c>
      <c r="R20" s="51">
        <f t="shared" si="6"/>
        <v>201.34078212290504</v>
      </c>
      <c r="S20" s="46">
        <f t="shared" si="7"/>
        <v>110737.43016759778</v>
      </c>
      <c r="T20" t="str">
        <f t="shared" si="8"/>
        <v/>
      </c>
      <c r="U20">
        <f>+RANK(H20,$H$6:$H$1048576,1)</f>
        <v>22</v>
      </c>
      <c r="Y20" t="str">
        <f>TRIM(Tabla2[[#This Row],[CONDUCTOR]])</f>
        <v>HERNANDEZ MACIAS GILBERTO</v>
      </c>
    </row>
    <row r="21" spans="2:25" x14ac:dyDescent="0.2">
      <c r="B21" s="136" t="s">
        <v>123</v>
      </c>
      <c r="C21" s="166">
        <v>16</v>
      </c>
      <c r="D21" s="151" t="s">
        <v>174</v>
      </c>
      <c r="E21" s="150">
        <v>9</v>
      </c>
      <c r="F21" s="150">
        <v>0</v>
      </c>
      <c r="G21" s="165">
        <v>173</v>
      </c>
      <c r="H21" s="227">
        <f t="shared" si="0"/>
        <v>19.222222222222221</v>
      </c>
      <c r="I21" s="228">
        <f>+(SUM($G$7:$G$1048576)/SUM($E$7:$E$1048576))*E21</f>
        <v>190.20670391061452</v>
      </c>
      <c r="J21" s="364">
        <f>+Tabla2[[#This Row],[PROM DE USUARIOS]]-Tabla2[[#This Row],[USUARIOS]]</f>
        <v>17.206703910614522</v>
      </c>
      <c r="K21" s="151"/>
      <c r="L21" s="163">
        <f t="shared" si="1"/>
        <v>106005.92178770949</v>
      </c>
      <c r="M21" s="162" t="str">
        <f>+VLOOKUP(C21,Lista!B:D,3,0)</f>
        <v>MICRO</v>
      </c>
      <c r="N21" s="375">
        <f t="shared" si="2"/>
        <v>11953.658536585366</v>
      </c>
      <c r="O21" s="50">
        <f t="shared" si="3"/>
        <v>9</v>
      </c>
      <c r="P21" s="47">
        <f t="shared" si="4"/>
        <v>181.20670391061452</v>
      </c>
      <c r="Q21" s="49">
        <f t="shared" si="5"/>
        <v>164</v>
      </c>
      <c r="R21" s="51">
        <f t="shared" si="6"/>
        <v>181.20670391061452</v>
      </c>
      <c r="S21" s="46">
        <f t="shared" si="7"/>
        <v>99663.687150837985</v>
      </c>
      <c r="T21" t="str">
        <f t="shared" si="8"/>
        <v/>
      </c>
      <c r="U21">
        <f>+RANK(H21,$H$6:$H$1048576,1)</f>
        <v>13</v>
      </c>
      <c r="Y21" t="str">
        <f>TRIM(Tabla2[[#This Row],[CONDUCTOR]])</f>
        <v>MURILLO YORMAN ANDRES</v>
      </c>
    </row>
    <row r="22" spans="2:25" x14ac:dyDescent="0.2">
      <c r="B22" s="136" t="s">
        <v>124</v>
      </c>
      <c r="C22" s="166">
        <v>17</v>
      </c>
      <c r="D22" s="151" t="s">
        <v>150</v>
      </c>
      <c r="E22" s="150">
        <v>5</v>
      </c>
      <c r="F22" s="150">
        <v>0</v>
      </c>
      <c r="G22" s="165">
        <v>80</v>
      </c>
      <c r="H22" s="227">
        <f t="shared" si="0"/>
        <v>16</v>
      </c>
      <c r="I22" s="228">
        <f>+(SUM($G$7:$G$1048576)/SUM($E$7:$E$1048576))*E22</f>
        <v>105.67039106145252</v>
      </c>
      <c r="J22" s="364">
        <f>+Tabla2[[#This Row],[PROM DE USUARIOS]]-Tabla2[[#This Row],[USUARIOS]]</f>
        <v>25.67039106145252</v>
      </c>
      <c r="K22" s="151"/>
      <c r="L22" s="163">
        <f t="shared" si="1"/>
        <v>58892.178770949722</v>
      </c>
      <c r="M22" s="162" t="str">
        <f>+VLOOKUP(C22,Lista!B:D,3,0)</f>
        <v>MICRO</v>
      </c>
      <c r="N22" s="375">
        <f t="shared" si="2"/>
        <v>11953.658536585366</v>
      </c>
      <c r="O22" s="50">
        <f t="shared" si="3"/>
        <v>5</v>
      </c>
      <c r="P22" s="47">
        <f t="shared" si="4"/>
        <v>100.67039106145252</v>
      </c>
      <c r="Q22" s="49">
        <f t="shared" si="5"/>
        <v>75</v>
      </c>
      <c r="R22" s="51">
        <f t="shared" si="6"/>
        <v>100.67039106145252</v>
      </c>
      <c r="S22" s="46">
        <f t="shared" si="7"/>
        <v>55368.715083798888</v>
      </c>
      <c r="T22" t="str">
        <f t="shared" si="8"/>
        <v/>
      </c>
      <c r="U22">
        <f>+RANK(H22,$H$6:$H$1048576,1)</f>
        <v>3</v>
      </c>
      <c r="Y22" t="str">
        <f>TRIM(Tabla2[[#This Row],[CONDUCTOR]])</f>
        <v>PARRA VILLA YUBER ALONSO</v>
      </c>
    </row>
    <row r="23" spans="2:25" x14ac:dyDescent="0.2">
      <c r="B23" s="136" t="s">
        <v>123</v>
      </c>
      <c r="C23" s="166">
        <v>18</v>
      </c>
      <c r="D23" s="151" t="s">
        <v>165</v>
      </c>
      <c r="E23" s="150">
        <v>9</v>
      </c>
      <c r="F23" s="150">
        <v>0</v>
      </c>
      <c r="G23" s="165">
        <v>188</v>
      </c>
      <c r="H23" s="227">
        <f t="shared" si="0"/>
        <v>20.888888888888889</v>
      </c>
      <c r="I23" s="228">
        <f>+(SUM($G$7:$G$1048576)/SUM($E$7:$E$1048576))*E23</f>
        <v>190.20670391061452</v>
      </c>
      <c r="J23" s="364">
        <f>+Tabla2[[#This Row],[PROM DE USUARIOS]]-Tabla2[[#This Row],[USUARIOS]]</f>
        <v>2.2067039106145216</v>
      </c>
      <c r="K23" s="151" t="s">
        <v>191</v>
      </c>
      <c r="L23" s="163">
        <f t="shared" si="1"/>
        <v>106005.92178770949</v>
      </c>
      <c r="M23" s="162" t="str">
        <f>+VLOOKUP(C23,Lista!B:D,3,0)</f>
        <v>MICRO</v>
      </c>
      <c r="N23" s="375">
        <f t="shared" si="2"/>
        <v>11953.658536585366</v>
      </c>
      <c r="O23" s="50">
        <f t="shared" si="3"/>
        <v>9</v>
      </c>
      <c r="P23" s="47">
        <f t="shared" si="4"/>
        <v>181.20670391061452</v>
      </c>
      <c r="Q23" s="49">
        <f t="shared" si="5"/>
        <v>179</v>
      </c>
      <c r="R23" s="51">
        <f t="shared" si="6"/>
        <v>181.20670391061452</v>
      </c>
      <c r="S23" s="46">
        <f t="shared" si="7"/>
        <v>99663.687150837985</v>
      </c>
      <c r="T23" t="str">
        <f t="shared" si="8"/>
        <v xml:space="preserve">2 Descuentos (Usuarios desubicados) </v>
      </c>
      <c r="U23">
        <f>+RANK(H23,$H$6:$H$1048576,1)</f>
        <v>17</v>
      </c>
      <c r="Y23" t="str">
        <f>TRIM(Tabla2[[#This Row],[CONDUCTOR]])</f>
        <v>ALBERTO ARISTIZABAL RAFAEL</v>
      </c>
    </row>
    <row r="24" spans="2:25" x14ac:dyDescent="0.2">
      <c r="B24" s="136" t="s">
        <v>124</v>
      </c>
      <c r="C24" s="166">
        <v>19</v>
      </c>
      <c r="D24" s="151" t="s">
        <v>170</v>
      </c>
      <c r="E24" s="150">
        <v>7</v>
      </c>
      <c r="F24" s="150">
        <v>0</v>
      </c>
      <c r="G24" s="165">
        <v>116</v>
      </c>
      <c r="H24" s="227">
        <f t="shared" si="0"/>
        <v>16.571428571428573</v>
      </c>
      <c r="I24" s="228">
        <f>+(SUM($G$7:$G$1048576)/SUM($E$7:$E$1048576))*E24</f>
        <v>147.93854748603354</v>
      </c>
      <c r="J24" s="364">
        <f>+Tabla2[[#This Row],[PROM DE USUARIOS]]-Tabla2[[#This Row],[USUARIOS]]</f>
        <v>31.938547486033542</v>
      </c>
      <c r="K24" s="151"/>
      <c r="L24" s="163">
        <f t="shared" si="1"/>
        <v>82449.050279329618</v>
      </c>
      <c r="M24" s="162" t="str">
        <f>+VLOOKUP(C24,Lista!B:D,3,0)</f>
        <v>MICRO</v>
      </c>
      <c r="N24" s="375">
        <f t="shared" si="2"/>
        <v>11953.658536585366</v>
      </c>
      <c r="O24" s="50">
        <f t="shared" si="3"/>
        <v>7</v>
      </c>
      <c r="P24" s="47">
        <f t="shared" si="4"/>
        <v>140.93854748603354</v>
      </c>
      <c r="Q24" s="49">
        <f t="shared" si="5"/>
        <v>109</v>
      </c>
      <c r="R24" s="51">
        <f t="shared" si="6"/>
        <v>140.93854748603354</v>
      </c>
      <c r="S24" s="46">
        <f t="shared" si="7"/>
        <v>77516.201117318444</v>
      </c>
      <c r="T24" t="str">
        <f t="shared" si="8"/>
        <v/>
      </c>
      <c r="U24">
        <f>+RANK(H24,$H$6:$H$1048576,1)</f>
        <v>5</v>
      </c>
      <c r="Y24" t="str">
        <f>TRIM(Tabla2[[#This Row],[CONDUCTOR]])</f>
        <v>MACEA ARBELAEZ MATEO</v>
      </c>
    </row>
    <row r="25" spans="2:25" x14ac:dyDescent="0.2">
      <c r="B25" s="136" t="s">
        <v>123</v>
      </c>
      <c r="C25" s="166">
        <v>20</v>
      </c>
      <c r="D25" s="151" t="s">
        <v>173</v>
      </c>
      <c r="E25" s="150">
        <v>11</v>
      </c>
      <c r="F25" s="150">
        <v>0</v>
      </c>
      <c r="G25" s="165">
        <v>262</v>
      </c>
      <c r="H25" s="227">
        <f t="shared" si="0"/>
        <v>23.818181818181817</v>
      </c>
      <c r="I25" s="228">
        <f>+(SUM($G$7:$G$1048576)/SUM($E$7:$E$1048576))*E25</f>
        <v>232.47486033519556</v>
      </c>
      <c r="J25" s="364">
        <f>+Tabla2[[#This Row],[PROM DE USUARIOS]]-Tabla2[[#This Row],[USUARIOS]]</f>
        <v>-29.525139664804442</v>
      </c>
      <c r="K25" s="151"/>
      <c r="L25" s="163">
        <f t="shared" si="1"/>
        <v>129562.7932960894</v>
      </c>
      <c r="M25" s="162" t="str">
        <f>+VLOOKUP(C25,Lista!B:D,3,0)</f>
        <v>MICRO</v>
      </c>
      <c r="N25" s="375">
        <f t="shared" si="2"/>
        <v>11953.658536585366</v>
      </c>
      <c r="O25" s="50">
        <f t="shared" si="3"/>
        <v>11</v>
      </c>
      <c r="P25" s="47">
        <f t="shared" si="4"/>
        <v>221.47486033519556</v>
      </c>
      <c r="Q25" s="49">
        <f t="shared" si="5"/>
        <v>251</v>
      </c>
      <c r="R25" s="51">
        <f t="shared" si="6"/>
        <v>221.47486033519556</v>
      </c>
      <c r="S25" s="46">
        <f t="shared" si="7"/>
        <v>121811.17318435755</v>
      </c>
      <c r="T25" t="str">
        <f t="shared" si="8"/>
        <v/>
      </c>
      <c r="U25">
        <f>+RANK(H25,$H$6:$H$1048576,1)</f>
        <v>35</v>
      </c>
      <c r="Y25" t="str">
        <f>TRIM(Tabla2[[#This Row],[CONDUCTOR]])</f>
        <v>VALENCIA MENDOZA JHON</v>
      </c>
    </row>
    <row r="26" spans="2:25" s="2" customFormat="1" ht="22.5" x14ac:dyDescent="0.2">
      <c r="B26" s="136" t="s">
        <v>124</v>
      </c>
      <c r="C26" s="166">
        <v>21</v>
      </c>
      <c r="D26" s="136" t="s">
        <v>149</v>
      </c>
      <c r="E26" s="150">
        <v>10</v>
      </c>
      <c r="F26" s="150">
        <v>0</v>
      </c>
      <c r="G26" s="376">
        <v>201</v>
      </c>
      <c r="H26" s="377">
        <f t="shared" si="0"/>
        <v>20.100000000000001</v>
      </c>
      <c r="I26" s="378">
        <f>+(SUM($G$7:$G$1048576)/SUM($E$7:$E$1048576))*E26</f>
        <v>211.34078212290504</v>
      </c>
      <c r="J26" s="379">
        <f>+Tabla2[[#This Row],[PROM DE USUARIOS]]-Tabla2[[#This Row],[USUARIOS]]</f>
        <v>10.34078212290504</v>
      </c>
      <c r="K26" s="380" t="s">
        <v>192</v>
      </c>
      <c r="L26" s="163">
        <f t="shared" si="1"/>
        <v>117784.35754189944</v>
      </c>
      <c r="M26" s="162" t="str">
        <f>+VLOOKUP(C26,Lista!B:D,3,0)</f>
        <v>MICRO</v>
      </c>
      <c r="N26" s="375">
        <f t="shared" si="2"/>
        <v>11953.658536585366</v>
      </c>
      <c r="O26" s="50">
        <f t="shared" si="3"/>
        <v>10</v>
      </c>
      <c r="P26" s="47">
        <f t="shared" si="4"/>
        <v>201.34078212290504</v>
      </c>
      <c r="Q26" s="49">
        <f t="shared" si="5"/>
        <v>191</v>
      </c>
      <c r="R26" s="51">
        <f t="shared" si="6"/>
        <v>201.34078212290504</v>
      </c>
      <c r="S26" s="46">
        <f t="shared" si="7"/>
        <v>110737.43016759778</v>
      </c>
      <c r="T26" s="2" t="str">
        <f t="shared" si="8"/>
        <v xml:space="preserve">JULIAN MACIAS Realizó 6 viajes donde movilizó 118 usuarios. 1 Descuento (Transbordo) </v>
      </c>
      <c r="U26" s="2">
        <f>+RANK(H26,$H$6:$H$1048576,1)</f>
        <v>15</v>
      </c>
      <c r="Y26" s="2" t="str">
        <f>TRIM(Tabla2[[#This Row],[CONDUCTOR]])</f>
        <v>DURANGO DAVID JOSE</v>
      </c>
    </row>
    <row r="27" spans="2:25" x14ac:dyDescent="0.2">
      <c r="B27" s="136" t="s">
        <v>123</v>
      </c>
      <c r="C27" s="137">
        <v>22</v>
      </c>
      <c r="D27" s="151" t="s">
        <v>183</v>
      </c>
      <c r="E27" s="150">
        <v>8</v>
      </c>
      <c r="F27" s="150">
        <v>0</v>
      </c>
      <c r="G27" s="146">
        <v>194</v>
      </c>
      <c r="H27" s="227">
        <f t="shared" si="0"/>
        <v>24.25</v>
      </c>
      <c r="I27" s="228">
        <f>+(SUM($G$7:$G$1048576)/SUM($E$7:$E$1048576))*E27</f>
        <v>169.07262569832403</v>
      </c>
      <c r="J27" s="364">
        <f>+Tabla2[[#This Row],[PROM DE USUARIOS]]-Tabla2[[#This Row],[USUARIOS]]</f>
        <v>-24.927374301675968</v>
      </c>
      <c r="K27" s="151"/>
      <c r="L27" s="163">
        <f t="shared" si="1"/>
        <v>94227.486033519555</v>
      </c>
      <c r="M27" s="162">
        <f>+VLOOKUP(C27,Lista!B:D,3,0)</f>
        <v>0</v>
      </c>
      <c r="N27" s="375">
        <f t="shared" si="2"/>
        <v>11953.658536585366</v>
      </c>
      <c r="O27" s="50">
        <f t="shared" si="3"/>
        <v>8</v>
      </c>
      <c r="P27" s="47">
        <f t="shared" si="4"/>
        <v>161.07262569832403</v>
      </c>
      <c r="Q27" s="49">
        <f t="shared" si="5"/>
        <v>186</v>
      </c>
      <c r="R27" s="51">
        <f t="shared" si="6"/>
        <v>161.07262569832403</v>
      </c>
      <c r="S27" s="46">
        <f t="shared" si="7"/>
        <v>88589.944134078221</v>
      </c>
      <c r="T27" t="str">
        <f t="shared" si="8"/>
        <v/>
      </c>
      <c r="U27">
        <f>+RANK(H27,$H$6:$H$1048576,1)</f>
        <v>38</v>
      </c>
      <c r="Y27" t="str">
        <f>TRIM(Tabla2[[#This Row],[CONDUCTOR]])</f>
        <v>QUIRAMA CASTAÑEDA JHON JADER</v>
      </c>
    </row>
    <row r="28" spans="2:25" x14ac:dyDescent="0.2">
      <c r="B28" s="136" t="s">
        <v>124</v>
      </c>
      <c r="C28" s="166">
        <v>23</v>
      </c>
      <c r="D28" s="151" t="s">
        <v>153</v>
      </c>
      <c r="E28" s="150">
        <v>10</v>
      </c>
      <c r="F28" s="150">
        <v>0</v>
      </c>
      <c r="G28" s="146">
        <v>209</v>
      </c>
      <c r="H28" s="227">
        <f t="shared" si="0"/>
        <v>20.9</v>
      </c>
      <c r="I28" s="228">
        <f>+(SUM($G$7:$G$1048576)/SUM($E$7:$E$1048576))*E28</f>
        <v>211.34078212290504</v>
      </c>
      <c r="J28" s="364">
        <f>+Tabla2[[#This Row],[PROM DE USUARIOS]]-Tabla2[[#This Row],[USUARIOS]]</f>
        <v>2.3407821229050398</v>
      </c>
      <c r="K28" s="151"/>
      <c r="L28" s="163">
        <f t="shared" si="1"/>
        <v>117784.35754189944</v>
      </c>
      <c r="M28" s="162" t="str">
        <f>+VLOOKUP(C28,Lista!B:D,3,0)</f>
        <v xml:space="preserve">MICRO </v>
      </c>
      <c r="N28" s="375">
        <f t="shared" si="2"/>
        <v>11953.658536585366</v>
      </c>
      <c r="O28" s="50">
        <f t="shared" si="3"/>
        <v>10</v>
      </c>
      <c r="P28" s="47">
        <f t="shared" si="4"/>
        <v>201.34078212290504</v>
      </c>
      <c r="Q28" s="49">
        <f t="shared" si="5"/>
        <v>199</v>
      </c>
      <c r="R28" s="51">
        <f t="shared" si="6"/>
        <v>201.34078212290504</v>
      </c>
      <c r="S28" s="46">
        <f t="shared" si="7"/>
        <v>110737.43016759778</v>
      </c>
      <c r="T28" t="str">
        <f t="shared" si="8"/>
        <v/>
      </c>
      <c r="U28">
        <f>+RANK(H28,$H$6:$H$1048576,1)</f>
        <v>18</v>
      </c>
      <c r="Y28" t="str">
        <f>TRIM(Tabla2[[#This Row],[CONDUCTOR]])</f>
        <v>SALDARRIAGA PARRA LUIS ALBERTO</v>
      </c>
    </row>
    <row r="29" spans="2:25" x14ac:dyDescent="0.2">
      <c r="B29" s="136" t="s">
        <v>123</v>
      </c>
      <c r="C29" s="166">
        <v>24</v>
      </c>
      <c r="D29" s="151" t="s">
        <v>184</v>
      </c>
      <c r="E29" s="150">
        <v>8</v>
      </c>
      <c r="F29" s="150">
        <v>0</v>
      </c>
      <c r="G29" s="165">
        <v>187</v>
      </c>
      <c r="H29" s="227">
        <f t="shared" si="0"/>
        <v>23.375</v>
      </c>
      <c r="I29" s="228">
        <f>+(SUM($G$7:$G$1048576)/SUM($E$7:$E$1048576))*E29</f>
        <v>169.07262569832403</v>
      </c>
      <c r="J29" s="364">
        <f>+Tabla2[[#This Row],[PROM DE USUARIOS]]-Tabla2[[#This Row],[USUARIOS]]</f>
        <v>-17.927374301675968</v>
      </c>
      <c r="K29" s="151" t="s">
        <v>189</v>
      </c>
      <c r="L29" s="163">
        <f t="shared" si="1"/>
        <v>94227.486033519555</v>
      </c>
      <c r="M29" s="162" t="str">
        <f>+VLOOKUP(C29,Lista!B:D,3,0)</f>
        <v>MICRO</v>
      </c>
      <c r="N29" s="375">
        <f t="shared" si="2"/>
        <v>11953.658536585366</v>
      </c>
      <c r="O29" s="50">
        <f t="shared" si="3"/>
        <v>8</v>
      </c>
      <c r="P29" s="47">
        <f t="shared" si="4"/>
        <v>161.07262569832403</v>
      </c>
      <c r="Q29" s="49">
        <f t="shared" si="5"/>
        <v>179</v>
      </c>
      <c r="R29" s="51">
        <f t="shared" si="6"/>
        <v>161.07262569832403</v>
      </c>
      <c r="S29" s="46">
        <f t="shared" si="7"/>
        <v>88589.944134078221</v>
      </c>
      <c r="T29" t="str">
        <f t="shared" si="8"/>
        <v xml:space="preserve">3 Descuentos (Recaudo) </v>
      </c>
      <c r="U29">
        <f>+RANK(H29,$H$6:$H$1048576,1)</f>
        <v>31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124</v>
      </c>
      <c r="C30" s="166">
        <v>25</v>
      </c>
      <c r="D30" s="151" t="s">
        <v>187</v>
      </c>
      <c r="E30" s="150">
        <v>10</v>
      </c>
      <c r="F30" s="150">
        <v>0</v>
      </c>
      <c r="G30" s="165">
        <v>220</v>
      </c>
      <c r="H30" s="227">
        <f t="shared" si="0"/>
        <v>22</v>
      </c>
      <c r="I30" s="228">
        <f>+(SUM($G$7:$G$1048576)/SUM($E$7:$E$1048576))*E30</f>
        <v>211.34078212290504</v>
      </c>
      <c r="J30" s="364">
        <f>+Tabla2[[#This Row],[PROM DE USUARIOS]]-Tabla2[[#This Row],[USUARIOS]]</f>
        <v>-8.6592178770949602</v>
      </c>
      <c r="K30" s="151"/>
      <c r="L30" s="163">
        <f t="shared" si="1"/>
        <v>117784.35754189944</v>
      </c>
      <c r="M30" s="162">
        <f>+VLOOKUP(C30,Lista!B:D,3,0)</f>
        <v>0</v>
      </c>
      <c r="N30" s="375">
        <f t="shared" si="2"/>
        <v>11953.658536585366</v>
      </c>
      <c r="O30" s="50">
        <f t="shared" si="3"/>
        <v>10</v>
      </c>
      <c r="P30" s="47">
        <f t="shared" si="4"/>
        <v>201.34078212290504</v>
      </c>
      <c r="Q30" s="49">
        <f t="shared" si="5"/>
        <v>210</v>
      </c>
      <c r="R30" s="51">
        <f t="shared" si="6"/>
        <v>201.34078212290504</v>
      </c>
      <c r="S30" s="46">
        <f t="shared" si="7"/>
        <v>110737.43016759778</v>
      </c>
      <c r="T30" t="str">
        <f t="shared" si="8"/>
        <v/>
      </c>
      <c r="U30">
        <f>+RANK(H30,$H$6:$H$1048576,1)</f>
        <v>25</v>
      </c>
      <c r="Y30" t="str">
        <f>TRIM(Tabla2[[#This Row],[CONDUCTOR]])</f>
        <v>JIMENEZ HURTADO CARLOS ESTIVEN</v>
      </c>
    </row>
    <row r="31" spans="2:25" x14ac:dyDescent="0.2">
      <c r="B31" s="136" t="s">
        <v>123</v>
      </c>
      <c r="C31" s="166">
        <v>26</v>
      </c>
      <c r="D31" s="151" t="s">
        <v>179</v>
      </c>
      <c r="E31" s="150">
        <v>9</v>
      </c>
      <c r="F31" s="150">
        <v>0</v>
      </c>
      <c r="G31" s="165">
        <v>217</v>
      </c>
      <c r="H31" s="227">
        <f t="shared" si="0"/>
        <v>24.111111111111111</v>
      </c>
      <c r="I31" s="228">
        <f>+(SUM($G$7:$G$1048576)/SUM($E$7:$E$1048576))*E31</f>
        <v>190.20670391061452</v>
      </c>
      <c r="J31" s="364">
        <f>+Tabla2[[#This Row],[PROM DE USUARIOS]]-Tabla2[[#This Row],[USUARIOS]]</f>
        <v>-26.793296089385478</v>
      </c>
      <c r="K31" s="151" t="s">
        <v>193</v>
      </c>
      <c r="L31" s="163">
        <f t="shared" si="1"/>
        <v>106005.92178770949</v>
      </c>
      <c r="M31" s="162" t="str">
        <f>+VLOOKUP(C31,Lista!B:D,3,0)</f>
        <v>MICRO</v>
      </c>
      <c r="N31" s="375">
        <f t="shared" si="2"/>
        <v>11953.658536585366</v>
      </c>
      <c r="O31" s="50">
        <f t="shared" si="3"/>
        <v>9</v>
      </c>
      <c r="P31" s="47">
        <f t="shared" si="4"/>
        <v>181.20670391061452</v>
      </c>
      <c r="Q31" s="49">
        <f t="shared" si="5"/>
        <v>208</v>
      </c>
      <c r="R31" s="51">
        <f t="shared" si="6"/>
        <v>181.20670391061452</v>
      </c>
      <c r="S31" s="46">
        <f t="shared" si="7"/>
        <v>99663.687150837985</v>
      </c>
      <c r="T31" t="str">
        <f t="shared" si="8"/>
        <v xml:space="preserve">2 Descuentos (Transbordo) </v>
      </c>
      <c r="U31">
        <f>+RANK(H31,$H$6:$H$1048576,1)</f>
        <v>37</v>
      </c>
      <c r="Y31" t="str">
        <f>TRIM(Tabla2[[#This Row],[CONDUCTOR]])</f>
        <v>ESPINOZA CHAVARRIA GUILLERMO LEON</v>
      </c>
    </row>
    <row r="32" spans="2:25" x14ac:dyDescent="0.2">
      <c r="B32" s="136" t="s">
        <v>124</v>
      </c>
      <c r="C32" s="137">
        <v>27</v>
      </c>
      <c r="D32" s="151" t="s">
        <v>158</v>
      </c>
      <c r="E32" s="150">
        <v>12</v>
      </c>
      <c r="F32" s="150">
        <v>0</v>
      </c>
      <c r="G32" s="146">
        <v>261</v>
      </c>
      <c r="H32" s="227">
        <f t="shared" si="0"/>
        <v>21.75</v>
      </c>
      <c r="I32" s="228">
        <f>+(SUM($G$7:$G$1048576)/SUM($E$7:$E$1048576))*E32</f>
        <v>253.60893854748605</v>
      </c>
      <c r="J32" s="364">
        <f>+Tabla2[[#This Row],[PROM DE USUARIOS]]-Tabla2[[#This Row],[USUARIOS]]</f>
        <v>-7.3910614525139522</v>
      </c>
      <c r="K32" s="151"/>
      <c r="L32" s="163">
        <f t="shared" si="1"/>
        <v>141341.22905027933</v>
      </c>
      <c r="M32" s="162" t="str">
        <f>+VLOOKUP(C32,Lista!B:D,3,0)</f>
        <v>MICRO</v>
      </c>
      <c r="N32" s="375">
        <f t="shared" si="2"/>
        <v>11953.658536585366</v>
      </c>
      <c r="O32" s="50">
        <f t="shared" si="3"/>
        <v>12</v>
      </c>
      <c r="P32" s="47">
        <f t="shared" si="4"/>
        <v>241.60893854748605</v>
      </c>
      <c r="Q32" s="49">
        <f t="shared" si="5"/>
        <v>249</v>
      </c>
      <c r="R32" s="51">
        <f t="shared" si="6"/>
        <v>241.60893854748605</v>
      </c>
      <c r="S32" s="46">
        <f t="shared" si="7"/>
        <v>132884.91620111733</v>
      </c>
      <c r="T32" t="str">
        <f t="shared" si="8"/>
        <v/>
      </c>
      <c r="U32">
        <f>+RANK(H32,$H$6:$H$1048576,1)</f>
        <v>24</v>
      </c>
      <c r="Y32" t="str">
        <f>TRIM(Tabla2[[#This Row],[CONDUCTOR]])</f>
        <v>FLORES RINCON JORGE ALBERTO</v>
      </c>
    </row>
    <row r="33" spans="2:25" x14ac:dyDescent="0.2">
      <c r="B33" s="136" t="s">
        <v>123</v>
      </c>
      <c r="C33" s="166">
        <v>28</v>
      </c>
      <c r="D33" s="151" t="s">
        <v>176</v>
      </c>
      <c r="E33" s="150">
        <v>11</v>
      </c>
      <c r="F33" s="150">
        <v>0</v>
      </c>
      <c r="G33" s="146">
        <v>208</v>
      </c>
      <c r="H33" s="227">
        <f t="shared" si="0"/>
        <v>18.90909090909091</v>
      </c>
      <c r="I33" s="365">
        <f>+(SUM($G$7:$G$1048576)/SUM($E$7:$E$1048576))*E33</f>
        <v>232.47486033519556</v>
      </c>
      <c r="J33" s="364">
        <f>+Tabla2[[#This Row],[PROM DE USUARIOS]]-Tabla2[[#This Row],[USUARIOS]]</f>
        <v>24.474860335195558</v>
      </c>
      <c r="K33" s="151" t="s">
        <v>131</v>
      </c>
      <c r="L33" s="163">
        <f t="shared" si="1"/>
        <v>129562.7932960894</v>
      </c>
      <c r="M33" s="162" t="str">
        <f>+VLOOKUP(C33,Lista!B:D,3,0)</f>
        <v>MICRO</v>
      </c>
      <c r="N33" s="375">
        <f t="shared" si="2"/>
        <v>11953.658536585366</v>
      </c>
      <c r="O33" s="50">
        <f t="shared" si="3"/>
        <v>11</v>
      </c>
      <c r="P33" s="47">
        <f t="shared" si="4"/>
        <v>221.47486033519556</v>
      </c>
      <c r="Q33" s="49">
        <f t="shared" si="5"/>
        <v>197</v>
      </c>
      <c r="R33" s="51">
        <f t="shared" si="6"/>
        <v>221.47486033519556</v>
      </c>
      <c r="S33" s="46">
        <f t="shared" si="7"/>
        <v>121811.17318435755</v>
      </c>
      <c r="T33" t="str">
        <f t="shared" si="8"/>
        <v xml:space="preserve">1 Descuento (Conduct) </v>
      </c>
      <c r="U33">
        <f>+RANK(H33,$H$6:$H$1048576,1)</f>
        <v>12</v>
      </c>
      <c r="Y33" t="str">
        <f>TRIM(Tabla2[[#This Row],[CONDUCTOR]])</f>
        <v>OSORIO URREGO SANTIAGO</v>
      </c>
    </row>
    <row r="34" spans="2:25" x14ac:dyDescent="0.2">
      <c r="B34" s="136" t="s">
        <v>124</v>
      </c>
      <c r="C34" s="137">
        <v>30</v>
      </c>
      <c r="D34" s="151" t="s">
        <v>177</v>
      </c>
      <c r="E34" s="150">
        <v>11</v>
      </c>
      <c r="F34" s="150">
        <v>0</v>
      </c>
      <c r="G34" s="146">
        <v>205</v>
      </c>
      <c r="H34" s="227">
        <f t="shared" si="0"/>
        <v>18.636363636363637</v>
      </c>
      <c r="I34" s="228">
        <f>+(SUM($G$7:$G$1048576)/SUM($E$7:$E$1048576))*E34</f>
        <v>232.47486033519556</v>
      </c>
      <c r="J34" s="364">
        <f>+Tabla2[[#This Row],[PROM DE USUARIOS]]-Tabla2[[#This Row],[USUARIOS]]</f>
        <v>27.474860335195558</v>
      </c>
      <c r="K34" s="151"/>
      <c r="L34" s="163">
        <f t="shared" si="1"/>
        <v>129562.7932960894</v>
      </c>
      <c r="M34" s="162" t="str">
        <f>+VLOOKUP(C34,Lista!B:D,3,0)</f>
        <v>MICRO</v>
      </c>
      <c r="N34" s="375">
        <f t="shared" si="2"/>
        <v>11953.658536585366</v>
      </c>
      <c r="O34" s="50">
        <f t="shared" si="3"/>
        <v>11</v>
      </c>
      <c r="P34" s="47">
        <f t="shared" si="4"/>
        <v>221.47486033519556</v>
      </c>
      <c r="Q34" s="49">
        <f t="shared" si="5"/>
        <v>194</v>
      </c>
      <c r="R34" s="51">
        <f t="shared" si="6"/>
        <v>221.47486033519556</v>
      </c>
      <c r="S34" s="46">
        <f t="shared" si="7"/>
        <v>121811.17318435755</v>
      </c>
      <c r="T34" t="str">
        <f t="shared" si="8"/>
        <v/>
      </c>
      <c r="U34">
        <f>+RANK(H34,$H$6:$H$1048576,1)</f>
        <v>10</v>
      </c>
      <c r="Y34" t="str">
        <f>TRIM(Tabla2[[#This Row],[CONDUCTOR]])</f>
        <v>AGUDELO GARCIA LLORDIN ELIAS</v>
      </c>
    </row>
    <row r="35" spans="2:25" x14ac:dyDescent="0.2">
      <c r="B35" s="136" t="s">
        <v>123</v>
      </c>
      <c r="C35" s="166">
        <v>31</v>
      </c>
      <c r="D35" s="151" t="s">
        <v>159</v>
      </c>
      <c r="E35" s="150">
        <v>10</v>
      </c>
      <c r="F35" s="150">
        <v>0</v>
      </c>
      <c r="G35" s="165">
        <v>225</v>
      </c>
      <c r="H35" s="227">
        <f t="shared" si="0"/>
        <v>22.5</v>
      </c>
      <c r="I35" s="228">
        <f>+(SUM($G$7:$G$1048576)/SUM($E$7:$E$1048576))*E35</f>
        <v>211.34078212290504</v>
      </c>
      <c r="J35" s="364">
        <f>+Tabla2[[#This Row],[PROM DE USUARIOS]]-Tabla2[[#This Row],[USUARIOS]]</f>
        <v>-13.65921787709496</v>
      </c>
      <c r="K35" s="151"/>
      <c r="L35" s="163">
        <f t="shared" si="1"/>
        <v>117784.35754189944</v>
      </c>
      <c r="M35" s="162" t="str">
        <f>+VLOOKUP(C35,Lista!B:D,3,0)</f>
        <v>MICRO</v>
      </c>
      <c r="N35" s="375">
        <f t="shared" si="2"/>
        <v>11953.658536585366</v>
      </c>
      <c r="O35" s="50">
        <f t="shared" si="3"/>
        <v>10</v>
      </c>
      <c r="P35" s="47">
        <f t="shared" si="4"/>
        <v>201.34078212290504</v>
      </c>
      <c r="Q35" s="49">
        <f t="shared" si="5"/>
        <v>215</v>
      </c>
      <c r="R35" s="51">
        <f t="shared" si="6"/>
        <v>201.34078212290504</v>
      </c>
      <c r="S35" s="46">
        <f t="shared" si="7"/>
        <v>110737.43016759778</v>
      </c>
      <c r="T35" t="str">
        <f t="shared" si="8"/>
        <v/>
      </c>
      <c r="U35">
        <f>+RANK(H35,$H$6:$H$1048576,1)</f>
        <v>27</v>
      </c>
      <c r="Y35" t="str">
        <f>TRIM(Tabla2[[#This Row],[CONDUCTOR]])</f>
        <v>IBARGUEN GARRIDO JUAN ESTEBAN</v>
      </c>
    </row>
    <row r="36" spans="2:25" x14ac:dyDescent="0.2">
      <c r="B36" s="136" t="s">
        <v>124</v>
      </c>
      <c r="C36" s="166">
        <v>32</v>
      </c>
      <c r="D36" s="151" t="s">
        <v>185</v>
      </c>
      <c r="E36" s="150">
        <v>7</v>
      </c>
      <c r="F36" s="150">
        <v>0</v>
      </c>
      <c r="G36" s="165">
        <v>127</v>
      </c>
      <c r="H36" s="227">
        <f t="shared" si="0"/>
        <v>18.142857142857142</v>
      </c>
      <c r="I36" s="228">
        <f>+(SUM($G$7:$G$1048576)/SUM($E$7:$E$1048576))*E36</f>
        <v>147.93854748603354</v>
      </c>
      <c r="J36" s="364">
        <f>+Tabla2[[#This Row],[PROM DE USUARIOS]]-Tabla2[[#This Row],[USUARIOS]]</f>
        <v>20.938547486033542</v>
      </c>
      <c r="K36" s="151"/>
      <c r="L36" s="163">
        <f t="shared" si="1"/>
        <v>82449.050279329618</v>
      </c>
      <c r="M36" s="162" t="str">
        <f>+VLOOKUP(C36,Lista!B:D,3,0)</f>
        <v>MICRO</v>
      </c>
      <c r="N36" s="375">
        <f t="shared" si="2"/>
        <v>11953.658536585366</v>
      </c>
      <c r="O36" s="50">
        <f t="shared" si="3"/>
        <v>7</v>
      </c>
      <c r="P36" s="47">
        <f t="shared" si="4"/>
        <v>140.93854748603354</v>
      </c>
      <c r="Q36" s="49">
        <f t="shared" si="5"/>
        <v>120</v>
      </c>
      <c r="R36" s="51">
        <f t="shared" si="6"/>
        <v>140.93854748603354</v>
      </c>
      <c r="S36" s="46">
        <f t="shared" si="7"/>
        <v>77516.201117318444</v>
      </c>
      <c r="T36" t="str">
        <f t="shared" si="8"/>
        <v/>
      </c>
      <c r="U36">
        <f>+RANK(H36,$H$6:$H$1048576,1)</f>
        <v>9</v>
      </c>
      <c r="Y36" t="str">
        <f>TRIM(Tabla2[[#This Row],[CONDUCTOR]])</f>
        <v>LAYOS JIMENEZ JOHAN CAMILO</v>
      </c>
    </row>
    <row r="37" spans="2:25" x14ac:dyDescent="0.2">
      <c r="B37" s="136" t="s">
        <v>123</v>
      </c>
      <c r="C37" s="166">
        <v>33</v>
      </c>
      <c r="D37" s="151" t="s">
        <v>160</v>
      </c>
      <c r="E37" s="150">
        <v>11</v>
      </c>
      <c r="F37" s="150">
        <v>0</v>
      </c>
      <c r="G37" s="165">
        <v>178</v>
      </c>
      <c r="H37" s="227">
        <f t="shared" si="0"/>
        <v>16.181818181818183</v>
      </c>
      <c r="I37" s="228">
        <f>+(SUM($G$7:$G$1048576)/SUM($E$7:$E$1048576))*E37</f>
        <v>232.47486033519556</v>
      </c>
      <c r="J37" s="364">
        <f>+Tabla2[[#This Row],[PROM DE USUARIOS]]-Tabla2[[#This Row],[USUARIOS]]</f>
        <v>54.474860335195558</v>
      </c>
      <c r="K37" s="151"/>
      <c r="L37" s="163">
        <f t="shared" si="1"/>
        <v>129562.7932960894</v>
      </c>
      <c r="M37" s="162" t="str">
        <f>+VLOOKUP(C37,Lista!B:D,3,0)</f>
        <v>MICRO</v>
      </c>
      <c r="N37" s="375">
        <f t="shared" si="2"/>
        <v>11953.658536585366</v>
      </c>
      <c r="O37" s="50">
        <f t="shared" si="3"/>
        <v>11</v>
      </c>
      <c r="P37" s="47">
        <f t="shared" si="4"/>
        <v>221.47486033519556</v>
      </c>
      <c r="Q37" s="49">
        <f t="shared" si="5"/>
        <v>167</v>
      </c>
      <c r="R37" s="51">
        <f t="shared" si="6"/>
        <v>221.47486033519556</v>
      </c>
      <c r="S37" s="46">
        <f t="shared" si="7"/>
        <v>121811.17318435755</v>
      </c>
      <c r="T37" t="str">
        <f t="shared" si="8"/>
        <v/>
      </c>
      <c r="U37">
        <f>+RANK(H37,$H$6:$H$1048576,1)</f>
        <v>4</v>
      </c>
      <c r="Y37" t="str">
        <f>TRIM(Tabla2[[#This Row],[CONDUCTOR]])</f>
        <v>MARULANDA JARAMILLO DAWER ANDRES</v>
      </c>
    </row>
    <row r="38" spans="2:25" x14ac:dyDescent="0.2">
      <c r="B38" s="136" t="s">
        <v>124</v>
      </c>
      <c r="C38" s="166">
        <v>34</v>
      </c>
      <c r="D38" s="151" t="s">
        <v>169</v>
      </c>
      <c r="E38" s="150">
        <v>12</v>
      </c>
      <c r="F38" s="150">
        <v>0</v>
      </c>
      <c r="G38" s="165">
        <v>312</v>
      </c>
      <c r="H38" s="227">
        <f t="shared" si="0"/>
        <v>26</v>
      </c>
      <c r="I38" s="228">
        <f>+(SUM($G$7:$G$1048576)/SUM($E$7:$E$1048576))*E38</f>
        <v>253.60893854748605</v>
      </c>
      <c r="J38" s="364">
        <f>+Tabla2[[#This Row],[PROM DE USUARIOS]]-Tabla2[[#This Row],[USUARIOS]]</f>
        <v>-58.391061452513952</v>
      </c>
      <c r="K38" s="151"/>
      <c r="L38" s="163">
        <f t="shared" si="1"/>
        <v>141341.22905027933</v>
      </c>
      <c r="M38" s="162" t="str">
        <f>+VLOOKUP(C38,Lista!B:D,3,0)</f>
        <v>MICRO</v>
      </c>
      <c r="N38" s="375">
        <f t="shared" si="2"/>
        <v>11953.658536585366</v>
      </c>
      <c r="O38" s="50">
        <f t="shared" si="3"/>
        <v>12</v>
      </c>
      <c r="P38" s="47">
        <f t="shared" si="4"/>
        <v>241.60893854748605</v>
      </c>
      <c r="Q38" s="49">
        <f t="shared" si="5"/>
        <v>300</v>
      </c>
      <c r="R38" s="51">
        <f t="shared" si="6"/>
        <v>241.60893854748605</v>
      </c>
      <c r="S38" s="46">
        <f t="shared" si="7"/>
        <v>132884.91620111733</v>
      </c>
      <c r="T38" t="str">
        <f t="shared" si="8"/>
        <v/>
      </c>
      <c r="U38">
        <f>+RANK(H38,$H$6:$H$1048576,1)</f>
        <v>39</v>
      </c>
      <c r="Y38" t="str">
        <f>TRIM(Tabla2[[#This Row],[CONDUCTOR]])</f>
        <v>MONTOYA OSPINA GILBERTO ANTONIO</v>
      </c>
    </row>
    <row r="39" spans="2:25" x14ac:dyDescent="0.2">
      <c r="B39" s="136" t="s">
        <v>123</v>
      </c>
      <c r="C39" s="166">
        <v>35</v>
      </c>
      <c r="D39" s="151" t="s">
        <v>151</v>
      </c>
      <c r="E39" s="150">
        <v>10</v>
      </c>
      <c r="F39" s="150">
        <v>0</v>
      </c>
      <c r="G39" s="165">
        <v>187</v>
      </c>
      <c r="H39" s="227">
        <f t="shared" si="0"/>
        <v>18.7</v>
      </c>
      <c r="I39" s="228">
        <f>+(SUM($G$7:$G$1048576)/SUM($E$7:$E$1048576))*E39</f>
        <v>211.34078212290504</v>
      </c>
      <c r="J39" s="364">
        <f>+Tabla2[[#This Row],[PROM DE USUARIOS]]-Tabla2[[#This Row],[USUARIOS]]</f>
        <v>24.34078212290504</v>
      </c>
      <c r="K39" s="151"/>
      <c r="L39" s="163">
        <f t="shared" si="1"/>
        <v>117784.35754189944</v>
      </c>
      <c r="M39" s="162">
        <f>+VLOOKUP(C39,Lista!B:D,3,0)</f>
        <v>0</v>
      </c>
      <c r="N39" s="375">
        <f t="shared" si="2"/>
        <v>11953.658536585366</v>
      </c>
      <c r="O39" s="50">
        <f t="shared" si="3"/>
        <v>10</v>
      </c>
      <c r="P39" s="47">
        <f t="shared" si="4"/>
        <v>201.34078212290504</v>
      </c>
      <c r="Q39" s="49">
        <f t="shared" si="5"/>
        <v>177</v>
      </c>
      <c r="R39" s="51">
        <f t="shared" si="6"/>
        <v>201.34078212290504</v>
      </c>
      <c r="S39" s="46">
        <f t="shared" si="7"/>
        <v>110737.43016759778</v>
      </c>
      <c r="T39" t="str">
        <f t="shared" si="8"/>
        <v/>
      </c>
      <c r="U39">
        <f>+RANK(H39,$H$6:$H$1048576,1)</f>
        <v>11</v>
      </c>
      <c r="Y39" t="str">
        <f>TRIM(Tabla2[[#This Row],[CONDUCTOR]])</f>
        <v>ARAQUE ARROYAVE JOSE ALBEIRO</v>
      </c>
    </row>
    <row r="40" spans="2:25" x14ac:dyDescent="0.2">
      <c r="B40" s="136" t="s">
        <v>124</v>
      </c>
      <c r="C40" s="166">
        <v>36</v>
      </c>
      <c r="D40" s="151" t="s">
        <v>178</v>
      </c>
      <c r="E40" s="150">
        <v>10</v>
      </c>
      <c r="F40" s="150">
        <v>0</v>
      </c>
      <c r="G40" s="165">
        <v>195</v>
      </c>
      <c r="H40" s="227">
        <f t="shared" si="0"/>
        <v>19.5</v>
      </c>
      <c r="I40" s="228">
        <f>+(SUM($G$7:$G$1048576)/SUM($E$7:$E$1048576))*E40</f>
        <v>211.34078212290504</v>
      </c>
      <c r="J40" s="364">
        <f>+Tabla2[[#This Row],[PROM DE USUARIOS]]-Tabla2[[#This Row],[USUARIOS]]</f>
        <v>16.34078212290504</v>
      </c>
      <c r="K40" s="151"/>
      <c r="L40" s="163">
        <f t="shared" si="1"/>
        <v>117784.35754189944</v>
      </c>
      <c r="M40" s="162" t="str">
        <f>+VLOOKUP(C40,Lista!B:D,3,0)</f>
        <v>MICRO</v>
      </c>
      <c r="N40" s="375">
        <f t="shared" si="2"/>
        <v>11953.658536585366</v>
      </c>
      <c r="O40" s="50">
        <f t="shared" si="3"/>
        <v>10</v>
      </c>
      <c r="P40" s="47">
        <f t="shared" si="4"/>
        <v>201.34078212290504</v>
      </c>
      <c r="Q40" s="49">
        <f t="shared" si="5"/>
        <v>185</v>
      </c>
      <c r="R40" s="51">
        <f t="shared" si="6"/>
        <v>201.34078212290504</v>
      </c>
      <c r="S40" s="46">
        <f t="shared" si="7"/>
        <v>110737.43016759778</v>
      </c>
      <c r="T40" t="str">
        <f t="shared" si="8"/>
        <v/>
      </c>
      <c r="U40">
        <f>+RANK(H40,$H$6:$H$1048576,1)</f>
        <v>14</v>
      </c>
      <c r="Y40" t="str">
        <f>TRIM(Tabla2[[#This Row],[CONDUCTOR]])</f>
        <v>MARTINEZ CHAVERRA LUIS NORBERTO</v>
      </c>
    </row>
    <row r="41" spans="2:25" x14ac:dyDescent="0.2">
      <c r="B41" s="136" t="s">
        <v>123</v>
      </c>
      <c r="C41" s="166">
        <v>37</v>
      </c>
      <c r="D41" s="151" t="s">
        <v>172</v>
      </c>
      <c r="E41" s="150">
        <v>11</v>
      </c>
      <c r="F41" s="150">
        <v>0</v>
      </c>
      <c r="G41" s="165">
        <v>198</v>
      </c>
      <c r="H41" s="227">
        <f t="shared" si="0"/>
        <v>18</v>
      </c>
      <c r="I41" s="228">
        <f>+(SUM($G$7:$G$1048576)/SUM($E$7:$E$1048576))*E41</f>
        <v>232.47486033519556</v>
      </c>
      <c r="J41" s="364">
        <f>+Tabla2[[#This Row],[PROM DE USUARIOS]]-Tabla2[[#This Row],[USUARIOS]]</f>
        <v>34.474860335195558</v>
      </c>
      <c r="K41" s="151" t="s">
        <v>194</v>
      </c>
      <c r="L41" s="163">
        <f t="shared" si="1"/>
        <v>129562.7932960894</v>
      </c>
      <c r="M41" s="162">
        <f>+VLOOKUP(C41,Lista!B:D,3,0)</f>
        <v>0</v>
      </c>
      <c r="N41" s="375">
        <f t="shared" si="2"/>
        <v>11953.658536585366</v>
      </c>
      <c r="O41" s="50">
        <f t="shared" si="3"/>
        <v>11</v>
      </c>
      <c r="P41" s="47">
        <f t="shared" si="4"/>
        <v>221.47486033519556</v>
      </c>
      <c r="Q41" s="49">
        <f t="shared" si="5"/>
        <v>187</v>
      </c>
      <c r="R41" s="51">
        <f t="shared" si="6"/>
        <v>221.47486033519556</v>
      </c>
      <c r="S41" s="46">
        <f t="shared" si="7"/>
        <v>121811.17318435755</v>
      </c>
      <c r="T41" t="str">
        <f t="shared" si="8"/>
        <v xml:space="preserve">1 Descuento (Despachador) </v>
      </c>
      <c r="U41">
        <f>+RANK(H41,$H$6:$H$1048576,1)</f>
        <v>8</v>
      </c>
      <c r="Y41" t="str">
        <f>TRIM(Tabla2[[#This Row],[CONDUCTOR]])</f>
        <v>TABORDA ROJAS DIEGO ALEJANDRO</v>
      </c>
    </row>
    <row r="42" spans="2:25" x14ac:dyDescent="0.2">
      <c r="B42" s="136" t="s">
        <v>124</v>
      </c>
      <c r="C42" s="137">
        <v>38</v>
      </c>
      <c r="D42" s="151" t="s">
        <v>161</v>
      </c>
      <c r="E42" s="150">
        <v>9</v>
      </c>
      <c r="F42" s="150">
        <v>0</v>
      </c>
      <c r="G42" s="165">
        <v>183</v>
      </c>
      <c r="H42" s="227">
        <f t="shared" si="0"/>
        <v>20.333333333333332</v>
      </c>
      <c r="I42" s="228">
        <f>+(SUM($G$7:$G$1048576)/SUM($E$7:$E$1048576))*E42</f>
        <v>190.20670391061452</v>
      </c>
      <c r="J42" s="364">
        <f>+Tabla2[[#This Row],[PROM DE USUARIOS]]-Tabla2[[#This Row],[USUARIOS]]</f>
        <v>7.2067039106145216</v>
      </c>
      <c r="K42" s="151" t="s">
        <v>196</v>
      </c>
      <c r="L42" s="163">
        <f t="shared" si="1"/>
        <v>106005.92178770949</v>
      </c>
      <c r="M42" s="162" t="str">
        <f>+VLOOKUP(C42,Lista!B:D,3,0)</f>
        <v>MICRO</v>
      </c>
      <c r="N42" s="375">
        <f t="shared" si="2"/>
        <v>11953.658536585366</v>
      </c>
      <c r="O42" s="50">
        <f t="shared" si="3"/>
        <v>9</v>
      </c>
      <c r="P42" s="47">
        <f t="shared" si="4"/>
        <v>181.20670391061452</v>
      </c>
      <c r="Q42" s="49">
        <f t="shared" si="5"/>
        <v>174</v>
      </c>
      <c r="R42" s="51">
        <f t="shared" si="6"/>
        <v>181.20670391061452</v>
      </c>
      <c r="S42" s="46">
        <f t="shared" si="7"/>
        <v>99663.687150837985</v>
      </c>
      <c r="T42" t="str">
        <f t="shared" si="8"/>
        <v xml:space="preserve">16 Descuentos (Transbordo) </v>
      </c>
      <c r="U42">
        <f>+RANK(H42,$H$6:$H$1048576,1)</f>
        <v>16</v>
      </c>
      <c r="Y42" t="str">
        <f>TRIM(Tabla2[[#This Row],[CONDUCTOR]])</f>
        <v>CALLE BOTERO JUAN RICARDO</v>
      </c>
    </row>
    <row r="43" spans="2:25" x14ac:dyDescent="0.2">
      <c r="B43" s="136" t="s">
        <v>123</v>
      </c>
      <c r="C43" s="166">
        <v>39</v>
      </c>
      <c r="D43" s="151" t="s">
        <v>171</v>
      </c>
      <c r="E43" s="150">
        <v>8</v>
      </c>
      <c r="F43" s="150">
        <v>0</v>
      </c>
      <c r="G43" s="146">
        <v>192</v>
      </c>
      <c r="H43" s="227">
        <f t="shared" si="0"/>
        <v>24</v>
      </c>
      <c r="I43" s="228">
        <f>+(SUM($G$7:$G$1048576)/SUM($E$7:$E$1048576))*E43</f>
        <v>169.07262569832403</v>
      </c>
      <c r="J43" s="364">
        <f>+Tabla2[[#This Row],[PROM DE USUARIOS]]-Tabla2[[#This Row],[USUARIOS]]</f>
        <v>-22.927374301675968</v>
      </c>
      <c r="K43" s="151"/>
      <c r="L43" s="163">
        <f t="shared" si="1"/>
        <v>94227.486033519555</v>
      </c>
      <c r="M43" s="162" t="str">
        <f>+VLOOKUP(C43,Lista!B:D,3,0)</f>
        <v>MICRO</v>
      </c>
      <c r="N43" s="375">
        <f t="shared" si="2"/>
        <v>11953.658536585366</v>
      </c>
      <c r="O43" s="50">
        <f t="shared" si="3"/>
        <v>8</v>
      </c>
      <c r="P43" s="47">
        <f t="shared" si="4"/>
        <v>161.07262569832403</v>
      </c>
      <c r="Q43" s="49">
        <f t="shared" si="5"/>
        <v>184</v>
      </c>
      <c r="R43" s="51">
        <f t="shared" si="6"/>
        <v>161.07262569832403</v>
      </c>
      <c r="S43" s="46">
        <f t="shared" si="7"/>
        <v>88589.944134078221</v>
      </c>
      <c r="T43" t="str">
        <f t="shared" si="8"/>
        <v/>
      </c>
      <c r="U43">
        <f>+RANK(H43,$H$6:$H$1048576,1)</f>
        <v>36</v>
      </c>
      <c r="Y43" t="str">
        <f>TRIM(Tabla2[[#This Row],[CONDUCTOR]])</f>
        <v>PALMAR PANA EDIXON JOSUE</v>
      </c>
    </row>
    <row r="44" spans="2:25" x14ac:dyDescent="0.2">
      <c r="B44" s="136" t="s">
        <v>124</v>
      </c>
      <c r="C44" s="166">
        <v>40</v>
      </c>
      <c r="D44" s="151" t="s">
        <v>182</v>
      </c>
      <c r="E44" s="150">
        <v>10</v>
      </c>
      <c r="F44" s="150">
        <v>0</v>
      </c>
      <c r="G44" s="165">
        <v>231</v>
      </c>
      <c r="H44" s="227">
        <f t="shared" si="0"/>
        <v>23.1</v>
      </c>
      <c r="I44" s="228">
        <f>+(SUM($G$7:$G$1048576)/SUM($E$7:$E$1048576))*E44</f>
        <v>211.34078212290504</v>
      </c>
      <c r="J44" s="364">
        <f>+Tabla2[[#This Row],[PROM DE USUARIOS]]-Tabla2[[#This Row],[USUARIOS]]</f>
        <v>-19.65921787709496</v>
      </c>
      <c r="K44" s="151"/>
      <c r="L44" s="163">
        <f t="shared" si="1"/>
        <v>117784.35754189944</v>
      </c>
      <c r="M44" s="162" t="str">
        <f>+VLOOKUP(C44,Lista!B:D,3,0)</f>
        <v>MICRO</v>
      </c>
      <c r="N44" s="375">
        <f t="shared" si="2"/>
        <v>11953.658536585366</v>
      </c>
      <c r="O44" s="50">
        <f t="shared" si="3"/>
        <v>10</v>
      </c>
      <c r="P44" s="47">
        <f t="shared" si="4"/>
        <v>201.34078212290504</v>
      </c>
      <c r="Q44" s="49">
        <f t="shared" si="5"/>
        <v>221</v>
      </c>
      <c r="R44" s="51">
        <f t="shared" si="6"/>
        <v>201.34078212290504</v>
      </c>
      <c r="S44" s="46">
        <f t="shared" si="7"/>
        <v>110737.43016759778</v>
      </c>
      <c r="T44" t="str">
        <f t="shared" si="8"/>
        <v/>
      </c>
      <c r="U44">
        <f>+RANK(H44,$H$6:$H$1048576,1)</f>
        <v>29</v>
      </c>
      <c r="Y44" t="str">
        <f>TRIM(Tabla2[[#This Row],[CONDUCTOR]])</f>
        <v>OCAMPO OCAMPO ANTONIO JOSE</v>
      </c>
    </row>
    <row r="45" spans="2:25" x14ac:dyDescent="0.2">
      <c r="B45" s="136" t="s">
        <v>123</v>
      </c>
      <c r="C45" s="166">
        <v>41</v>
      </c>
      <c r="D45" s="151" t="s">
        <v>155</v>
      </c>
      <c r="E45" s="150">
        <v>9</v>
      </c>
      <c r="F45" s="150">
        <v>0</v>
      </c>
      <c r="G45" s="146">
        <v>212</v>
      </c>
      <c r="H45" s="227">
        <f t="shared" si="0"/>
        <v>23.555555555555557</v>
      </c>
      <c r="I45" s="365">
        <f>+(SUM($G$7:$G$1048576)/SUM($E$7:$E$1048576))*E45</f>
        <v>190.20670391061452</v>
      </c>
      <c r="J45" s="364">
        <f>+Tabla2[[#This Row],[PROM DE USUARIOS]]-Tabla2[[#This Row],[USUARIOS]]</f>
        <v>-21.793296089385478</v>
      </c>
      <c r="K45" s="151"/>
      <c r="L45" s="201">
        <f t="shared" si="1"/>
        <v>106005.92178770949</v>
      </c>
      <c r="M45" s="162">
        <f>+VLOOKUP(C45,Lista!B:D,3,0)</f>
        <v>0</v>
      </c>
      <c r="N45" s="183">
        <f t="shared" si="2"/>
        <v>11953.658536585366</v>
      </c>
      <c r="O45" s="50">
        <f t="shared" si="3"/>
        <v>9</v>
      </c>
      <c r="P45" s="47">
        <f t="shared" si="4"/>
        <v>181.20670391061452</v>
      </c>
      <c r="Q45" s="49">
        <f t="shared" si="5"/>
        <v>203</v>
      </c>
      <c r="R45" s="51">
        <f t="shared" si="6"/>
        <v>181.20670391061452</v>
      </c>
      <c r="S45" s="46">
        <f t="shared" si="7"/>
        <v>99663.687150837985</v>
      </c>
      <c r="T45" t="str">
        <f t="shared" si="8"/>
        <v/>
      </c>
      <c r="U45">
        <f>+RANK(H45,$H$6:$H$1048576,1)</f>
        <v>33</v>
      </c>
      <c r="Y45" t="str">
        <f>TRIM(Tabla2[[#This Row],[CONDUCTOR]])</f>
        <v>GARCIA DAVID WILSON ALBERTO</v>
      </c>
    </row>
    <row r="46" spans="2:25" x14ac:dyDescent="0.2">
      <c r="B46" s="136" t="s">
        <v>124</v>
      </c>
      <c r="C46" s="166">
        <v>42</v>
      </c>
      <c r="D46" s="151" t="s">
        <v>168</v>
      </c>
      <c r="E46" s="150">
        <v>7</v>
      </c>
      <c r="F46" s="150">
        <v>0</v>
      </c>
      <c r="G46" s="165">
        <v>200</v>
      </c>
      <c r="H46" s="227">
        <f t="shared" si="0"/>
        <v>28.571428571428573</v>
      </c>
      <c r="I46" s="228">
        <f>+(SUM($G$7:$G$1048576)/SUM($E$7:$E$1048576))*E46</f>
        <v>147.93854748603354</v>
      </c>
      <c r="J46" s="364">
        <f>+Tabla2[[#This Row],[PROM DE USUARIOS]]-Tabla2[[#This Row],[USUARIOS]]</f>
        <v>-52.061452513966458</v>
      </c>
      <c r="K46" s="151"/>
      <c r="L46" s="163">
        <f t="shared" si="1"/>
        <v>82449.050279329618</v>
      </c>
      <c r="M46" s="162">
        <f>+VLOOKUP(C46,Lista!B:D,3,0)</f>
        <v>0</v>
      </c>
      <c r="N46" s="183">
        <f t="shared" si="2"/>
        <v>11953.658536585366</v>
      </c>
      <c r="O46" s="50">
        <f t="shared" si="3"/>
        <v>7</v>
      </c>
      <c r="P46" s="47">
        <f t="shared" si="4"/>
        <v>140.93854748603354</v>
      </c>
      <c r="Q46" s="49">
        <f t="shared" si="5"/>
        <v>193</v>
      </c>
      <c r="R46" s="51">
        <f t="shared" si="6"/>
        <v>140.93854748603354</v>
      </c>
      <c r="S46" s="46">
        <f t="shared" si="7"/>
        <v>77516.201117318444</v>
      </c>
      <c r="T46" t="str">
        <f t="shared" si="8"/>
        <v/>
      </c>
      <c r="U46">
        <f>+RANK(H46,$H$6:$H$1048576,1)</f>
        <v>42</v>
      </c>
      <c r="Y46" t="str">
        <f>TRIM(Tabla2[[#This Row],[CONDUCTOR]])</f>
        <v>AGUDELO GARCIA DENIN ANGELO</v>
      </c>
    </row>
    <row r="47" spans="2:25" x14ac:dyDescent="0.2">
      <c r="B47" s="136" t="s">
        <v>123</v>
      </c>
      <c r="C47" s="166">
        <v>43</v>
      </c>
      <c r="D47" s="151" t="s">
        <v>152</v>
      </c>
      <c r="E47" s="150">
        <v>7</v>
      </c>
      <c r="F47" s="150">
        <v>0</v>
      </c>
      <c r="G47" s="165">
        <v>166</v>
      </c>
      <c r="H47" s="227">
        <f t="shared" si="0"/>
        <v>23.714285714285715</v>
      </c>
      <c r="I47" s="228">
        <f>+(SUM($G$7:$G$1048576)/SUM($E$7:$E$1048576))*E47</f>
        <v>147.93854748603354</v>
      </c>
      <c r="J47" s="364">
        <f>+Tabla2[[#This Row],[PROM DE USUARIOS]]-Tabla2[[#This Row],[USUARIOS]]</f>
        <v>-18.061452513966458</v>
      </c>
      <c r="K47" s="151"/>
      <c r="L47" s="163">
        <f t="shared" si="1"/>
        <v>82449.050279329618</v>
      </c>
      <c r="M47" s="162">
        <f>+VLOOKUP(C47,Lista!B:D,3,0)</f>
        <v>0</v>
      </c>
      <c r="N47" s="183">
        <f t="shared" si="2"/>
        <v>11953.658536585366</v>
      </c>
      <c r="O47" s="50">
        <f t="shared" si="3"/>
        <v>7</v>
      </c>
      <c r="P47" s="47">
        <f t="shared" si="4"/>
        <v>140.93854748603354</v>
      </c>
      <c r="Q47" s="49">
        <f t="shared" si="5"/>
        <v>159</v>
      </c>
      <c r="R47" s="51">
        <f t="shared" si="6"/>
        <v>140.93854748603354</v>
      </c>
      <c r="S47" s="46">
        <f t="shared" si="7"/>
        <v>77516.201117318444</v>
      </c>
      <c r="T47" t="str">
        <f t="shared" si="8"/>
        <v/>
      </c>
      <c r="U47">
        <f>+RANK(H47,$H$6:$H$1048576,1)</f>
        <v>34</v>
      </c>
      <c r="Y47" t="str">
        <f>TRIM(Tabla2[[#This Row],[CONDUCTOR]])</f>
        <v>CALLE BOTERO ANDRES CAMILO</v>
      </c>
    </row>
    <row r="48" spans="2:25" x14ac:dyDescent="0.2">
      <c r="B48" s="233"/>
      <c r="C48" s="240">
        <f>SUBTOTAL(102,Tabla2[VEH])</f>
        <v>41</v>
      </c>
      <c r="D48" s="234" t="s">
        <v>129</v>
      </c>
      <c r="E48" s="235">
        <f>SUBTOTAL(109,Tabla2[VIAJES])</f>
        <v>358</v>
      </c>
      <c r="F48" s="235">
        <f>SUBTOTAL(109,Tabla2[VIAJES PERD.])</f>
        <v>1</v>
      </c>
      <c r="G48" s="241">
        <f>SUBTOTAL(109,Tabla2[USUARIOS])</f>
        <v>7566</v>
      </c>
      <c r="H48" s="374">
        <f>+Tabla2[[#Totals],[USUARIOS]]/Tabla2[[#Totals],[VIAJES]]</f>
        <v>21.134078212290504</v>
      </c>
      <c r="I48" s="241">
        <f>SUBTOTAL(109,Tabla2[PROM DE USUARIOS])</f>
        <v>7565.9999999999991</v>
      </c>
      <c r="J48" s="373">
        <f>SUBTOTAL(109,Tabla2[RECIBE / ENTREGA])</f>
        <v>4.8316906031686813E-13</v>
      </c>
      <c r="K48" s="236" t="s">
        <v>195</v>
      </c>
      <c r="L48" s="237"/>
      <c r="M48" s="238"/>
      <c r="N48" s="239">
        <f>SUBTOTAL(109,Tabla2[DIFER. MICRO - BUS ])</f>
        <v>490099.99999999948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11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2">
      <c r="B51" s="246"/>
      <c r="C51" s="247"/>
      <c r="D51" s="248"/>
      <c r="E51" s="249"/>
      <c r="F51" s="249"/>
      <c r="G51" s="250"/>
      <c r="H51" s="251"/>
      <c r="I51" s="252"/>
      <c r="J51" s="342"/>
      <c r="K51" s="248"/>
      <c r="L51" s="253"/>
      <c r="M51" s="254"/>
      <c r="N51" s="204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11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2">
      <c r="B52" s="246"/>
      <c r="C52" s="247"/>
      <c r="D52" s="248"/>
      <c r="E52" s="249"/>
      <c r="F52" s="249"/>
      <c r="G52" s="255"/>
      <c r="H52" s="251"/>
      <c r="I52" s="252"/>
      <c r="J52" s="342"/>
      <c r="K52" s="248"/>
      <c r="L52" s="253"/>
      <c r="M52" s="254"/>
      <c r="N52" s="204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11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2">
      <c r="B53" s="246"/>
      <c r="C53" s="247"/>
      <c r="D53" s="248"/>
      <c r="E53" s="249"/>
      <c r="F53" s="249"/>
      <c r="G53" s="255"/>
      <c r="H53" s="251"/>
      <c r="I53" s="252"/>
      <c r="J53" s="342"/>
      <c r="K53" s="248"/>
      <c r="L53" s="253"/>
      <c r="M53" s="254"/>
      <c r="N53" s="204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11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2">
      <c r="B54" s="246"/>
      <c r="C54" s="256"/>
      <c r="D54" s="248"/>
      <c r="E54" s="249"/>
      <c r="F54" s="249"/>
      <c r="G54" s="199"/>
      <c r="H54" s="251"/>
      <c r="I54" s="252"/>
      <c r="J54" s="342"/>
      <c r="K54" s="248"/>
      <c r="L54" s="253"/>
      <c r="M54" s="254"/>
      <c r="N54" s="204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11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11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2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56"/>
      <c r="D57" s="248"/>
      <c r="E57" s="249"/>
      <c r="F57" s="249"/>
      <c r="G57" s="199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12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12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12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12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12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5"/>
      <c r="H72" s="251"/>
      <c r="I72" s="252"/>
      <c r="J72" s="342"/>
      <c r="K72" s="248"/>
      <c r="L72" s="253"/>
      <c r="M72" s="254"/>
      <c r="N72" s="204"/>
    </row>
    <row r="73" spans="2:21" x14ac:dyDescent="0.2">
      <c r="B73" s="246"/>
      <c r="C73" s="256"/>
      <c r="D73" s="248"/>
      <c r="E73" s="249"/>
      <c r="F73" s="249"/>
      <c r="G73" s="257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7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04"/>
    </row>
    <row r="79" spans="2:21" x14ac:dyDescent="0.2">
      <c r="B79" s="246"/>
      <c r="C79" s="247"/>
      <c r="D79" s="248"/>
      <c r="E79" s="249"/>
      <c r="F79" s="249"/>
      <c r="G79" s="255"/>
      <c r="H79" s="251"/>
      <c r="I79" s="222"/>
      <c r="J79" s="343"/>
      <c r="K79" s="248"/>
      <c r="L79" s="253"/>
      <c r="M79" s="254"/>
      <c r="N79" s="204"/>
    </row>
    <row r="80" spans="2:21" x14ac:dyDescent="0.2">
      <c r="B80" s="246"/>
      <c r="C80" s="256"/>
      <c r="D80" s="248"/>
      <c r="E80" s="249"/>
      <c r="F80" s="249"/>
      <c r="G80" s="199"/>
      <c r="H80" s="258"/>
      <c r="I80" s="223"/>
      <c r="J80" s="344"/>
      <c r="K80" s="248"/>
      <c r="L80" s="253"/>
      <c r="M80" s="254"/>
      <c r="N80" s="259"/>
    </row>
    <row r="81" spans="2:14" x14ac:dyDescent="0.2">
      <c r="B81" s="246"/>
      <c r="C81" s="256"/>
      <c r="D81" s="248"/>
      <c r="E81" s="249"/>
      <c r="F81" s="249"/>
      <c r="G81" s="255"/>
      <c r="H81" s="258"/>
      <c r="I81" s="223"/>
      <c r="J81" s="344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56"/>
      <c r="D85" s="248"/>
      <c r="E85" s="249"/>
      <c r="F85" s="249"/>
      <c r="G85" s="199"/>
      <c r="H85" s="258"/>
      <c r="I85" s="223"/>
      <c r="J85" s="344"/>
      <c r="K85" s="248"/>
      <c r="L85" s="204"/>
      <c r="M85" s="254"/>
      <c r="N85" s="259"/>
    </row>
    <row r="86" spans="2:14" x14ac:dyDescent="0.2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7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7"/>
      <c r="H91" s="251"/>
      <c r="I91" s="222"/>
      <c r="J91" s="343"/>
      <c r="K91" s="248"/>
      <c r="L91" s="253"/>
      <c r="M91" s="254"/>
      <c r="N91" s="259"/>
    </row>
    <row r="92" spans="2:14" x14ac:dyDescent="0.2">
      <c r="B92" s="246"/>
      <c r="C92" s="247"/>
      <c r="D92" s="248"/>
      <c r="E92" s="249"/>
      <c r="F92" s="249"/>
      <c r="G92" s="255"/>
      <c r="H92" s="251"/>
      <c r="I92" s="222"/>
      <c r="J92" s="343"/>
      <c r="K92" s="248"/>
      <c r="L92" s="253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04"/>
      <c r="M93" s="254"/>
      <c r="N93" s="259"/>
    </row>
    <row r="94" spans="2:14" x14ac:dyDescent="0.2">
      <c r="B94" s="246"/>
      <c r="C94" s="256"/>
      <c r="D94" s="248"/>
      <c r="E94" s="249"/>
      <c r="F94" s="249"/>
      <c r="G94" s="199"/>
      <c r="H94" s="258"/>
      <c r="I94" s="223"/>
      <c r="J94" s="344"/>
      <c r="K94" s="248"/>
      <c r="L94" s="204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53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53"/>
      <c r="M96" s="254"/>
      <c r="N96" s="259"/>
    </row>
    <row r="97" spans="2:14" x14ac:dyDescent="0.2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04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56"/>
      <c r="D99" s="248"/>
      <c r="E99" s="249"/>
      <c r="F99" s="249"/>
      <c r="G99" s="255"/>
      <c r="H99" s="260"/>
      <c r="I99" s="261"/>
      <c r="J99" s="345"/>
      <c r="K99" s="248"/>
      <c r="L99" s="204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5"/>
      <c r="H100" s="251"/>
      <c r="I100" s="222"/>
      <c r="J100" s="343"/>
      <c r="K100" s="248"/>
      <c r="L100" s="204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47"/>
      <c r="D102" s="248"/>
      <c r="E102" s="249"/>
      <c r="F102" s="249"/>
      <c r="G102" s="257"/>
      <c r="H102" s="251"/>
      <c r="I102" s="222"/>
      <c r="J102" s="343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56"/>
      <c r="D104" s="248"/>
      <c r="E104" s="249"/>
      <c r="F104" s="249"/>
      <c r="G104" s="199"/>
      <c r="H104" s="258"/>
      <c r="I104" s="223"/>
      <c r="J104" s="344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7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7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53"/>
      <c r="M117" s="254"/>
      <c r="N117" s="259"/>
    </row>
    <row r="118" spans="2:14" x14ac:dyDescent="0.2">
      <c r="B118" s="246"/>
      <c r="C118" s="256"/>
      <c r="D118" s="248"/>
      <c r="E118" s="249"/>
      <c r="F118" s="249"/>
      <c r="G118" s="199"/>
      <c r="H118" s="258"/>
      <c r="I118" s="223"/>
      <c r="J118" s="344"/>
      <c r="K118" s="248"/>
      <c r="L118" s="253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7"/>
      <c r="H120" s="251"/>
      <c r="I120" s="222"/>
      <c r="J120" s="343"/>
      <c r="K120" s="248"/>
      <c r="L120" s="253"/>
      <c r="M120" s="254"/>
      <c r="N120" s="259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04"/>
      <c r="M121" s="254"/>
      <c r="N121" s="259"/>
    </row>
    <row r="122" spans="2:14" x14ac:dyDescent="0.2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6"/>
      <c r="E124" s="249"/>
      <c r="F124" s="249"/>
      <c r="G124" s="262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56"/>
      <c r="D129" s="248"/>
      <c r="E129" s="249"/>
      <c r="F129" s="249"/>
      <c r="G129" s="199"/>
      <c r="H129" s="258"/>
      <c r="I129" s="223"/>
      <c r="J129" s="344"/>
      <c r="K129" s="263"/>
      <c r="L129" s="253"/>
      <c r="M129" s="254"/>
      <c r="N129" s="204"/>
    </row>
    <row r="130" spans="2:14" x14ac:dyDescent="0.2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56"/>
      <c r="D131" s="248"/>
      <c r="E131" s="249"/>
      <c r="F131" s="249"/>
      <c r="G131" s="199"/>
      <c r="H131" s="251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00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51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47"/>
      <c r="D136" s="248"/>
      <c r="E136" s="249"/>
      <c r="F136" s="249"/>
      <c r="G136" s="255"/>
      <c r="H136" s="200"/>
      <c r="I136" s="222"/>
      <c r="J136" s="343"/>
      <c r="K136" s="248"/>
      <c r="L136" s="253"/>
      <c r="M136" s="254"/>
      <c r="N136" s="204"/>
    </row>
    <row r="137" spans="2:14" x14ac:dyDescent="0.2">
      <c r="B137" s="246"/>
      <c r="C137" s="247"/>
      <c r="D137" s="248"/>
      <c r="E137" s="249"/>
      <c r="F137" s="249"/>
      <c r="G137" s="255"/>
      <c r="H137" s="251"/>
      <c r="I137" s="222"/>
      <c r="J137" s="343"/>
      <c r="K137" s="248"/>
      <c r="L137" s="253"/>
      <c r="M137" s="254"/>
      <c r="N137" s="204"/>
    </row>
    <row r="138" spans="2:14" x14ac:dyDescent="0.2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2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59"/>
    </row>
    <row r="140" spans="2:14" x14ac:dyDescent="0.2">
      <c r="B140" s="246"/>
      <c r="C140" s="256"/>
      <c r="D140" s="248"/>
      <c r="E140" s="249"/>
      <c r="F140" s="249"/>
      <c r="G140" s="199"/>
      <c r="H140" s="200"/>
      <c r="I140" s="222"/>
      <c r="J140" s="343"/>
      <c r="K140" s="248"/>
      <c r="L140" s="204"/>
      <c r="M140" s="254"/>
      <c r="N140" s="259"/>
    </row>
    <row r="141" spans="2:14" x14ac:dyDescent="0.2">
      <c r="B141" s="246"/>
      <c r="C141" s="247"/>
      <c r="D141" s="248"/>
      <c r="E141" s="249"/>
      <c r="F141" s="249"/>
      <c r="G141" s="255"/>
      <c r="H141" s="200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8"/>
      <c r="E142" s="249"/>
      <c r="F142" s="249"/>
      <c r="G142" s="199"/>
      <c r="H142" s="251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56"/>
      <c r="D143" s="248"/>
      <c r="E143" s="249"/>
      <c r="F143" s="249"/>
      <c r="G143" s="199"/>
      <c r="H143" s="200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56"/>
      <c r="D144" s="246"/>
      <c r="E144" s="249"/>
      <c r="F144" s="249"/>
      <c r="G144" s="202"/>
      <c r="H144" s="200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47"/>
      <c r="D150" s="248"/>
      <c r="E150" s="249"/>
      <c r="F150" s="249"/>
      <c r="G150" s="255"/>
      <c r="H150" s="251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00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56"/>
      <c r="D152" s="248"/>
      <c r="E152" s="249"/>
      <c r="F152" s="249"/>
      <c r="G152" s="199"/>
      <c r="H152" s="251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47"/>
      <c r="D153" s="248"/>
      <c r="E153" s="249"/>
      <c r="F153" s="249"/>
      <c r="G153" s="255"/>
      <c r="H153" s="251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56"/>
      <c r="D154" s="248"/>
      <c r="E154" s="249"/>
      <c r="F154" s="249"/>
      <c r="G154" s="199"/>
      <c r="H154" s="200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56"/>
      <c r="D156" s="248"/>
      <c r="E156" s="249"/>
      <c r="F156" s="249"/>
      <c r="G156" s="199"/>
      <c r="H156" s="251"/>
      <c r="I156" s="222"/>
      <c r="J156" s="343"/>
      <c r="K156" s="248"/>
      <c r="L156" s="253"/>
      <c r="M156" s="254"/>
      <c r="N156" s="204"/>
    </row>
    <row r="157" spans="2:14" x14ac:dyDescent="0.2">
      <c r="B157" s="246"/>
      <c r="C157" s="247"/>
      <c r="D157" s="248"/>
      <c r="E157" s="249"/>
      <c r="F157" s="249"/>
      <c r="G157" s="255"/>
      <c r="H157" s="200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56"/>
      <c r="D158" s="248"/>
      <c r="E158" s="249"/>
      <c r="F158" s="249"/>
      <c r="G158" s="199"/>
      <c r="H158" s="251"/>
      <c r="I158" s="252"/>
      <c r="J158" s="342"/>
      <c r="K158" s="248"/>
      <c r="L158" s="253"/>
      <c r="M158" s="254"/>
      <c r="N158" s="204"/>
    </row>
    <row r="159" spans="2:14" x14ac:dyDescent="0.2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56"/>
      <c r="D160" s="248"/>
      <c r="E160" s="249"/>
      <c r="F160" s="249"/>
      <c r="G160" s="199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47"/>
      <c r="D161" s="248"/>
      <c r="E161" s="249"/>
      <c r="F161" s="249"/>
      <c r="G161" s="255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47"/>
      <c r="D162" s="248"/>
      <c r="E162" s="249"/>
      <c r="F162" s="249"/>
      <c r="G162" s="255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56"/>
      <c r="D163" s="246"/>
      <c r="E163" s="249"/>
      <c r="F163" s="249"/>
      <c r="G163" s="202"/>
      <c r="H163" s="251"/>
      <c r="I163" s="222"/>
      <c r="J163" s="343"/>
      <c r="K163" s="248"/>
      <c r="L163" s="253"/>
      <c r="M163" s="254"/>
      <c r="N163" s="204"/>
    </row>
    <row r="164" spans="2:14" x14ac:dyDescent="0.2">
      <c r="B164" s="246"/>
      <c r="C164" s="256"/>
      <c r="D164" s="248"/>
      <c r="E164" s="249"/>
      <c r="F164" s="249"/>
      <c r="G164" s="199"/>
      <c r="H164" s="251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47"/>
      <c r="D165" s="248"/>
      <c r="E165" s="249"/>
      <c r="F165" s="249"/>
      <c r="G165" s="255"/>
      <c r="H165" s="251"/>
      <c r="I165" s="222"/>
      <c r="J165" s="343"/>
      <c r="K165" s="248"/>
      <c r="L165" s="253"/>
      <c r="M165" s="254"/>
      <c r="N165" s="259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56"/>
      <c r="D172" s="248"/>
      <c r="E172" s="249"/>
      <c r="F172" s="249"/>
      <c r="G172" s="199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47"/>
      <c r="D173" s="248"/>
      <c r="E173" s="249"/>
      <c r="F173" s="249"/>
      <c r="G173" s="255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56"/>
      <c r="D175" s="248"/>
      <c r="E175" s="249"/>
      <c r="F175" s="249"/>
      <c r="G175" s="199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56"/>
      <c r="D179" s="248"/>
      <c r="E179" s="249"/>
      <c r="F179" s="249"/>
      <c r="G179" s="199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56"/>
      <c r="D184" s="248"/>
      <c r="E184" s="249"/>
      <c r="F184" s="249"/>
      <c r="G184" s="199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53"/>
      <c r="M193" s="254"/>
      <c r="N193" s="204"/>
    </row>
    <row r="194" spans="2:14" x14ac:dyDescent="0.2">
      <c r="B194" s="246"/>
      <c r="C194" s="256"/>
      <c r="D194" s="248"/>
      <c r="E194" s="249"/>
      <c r="F194" s="249"/>
      <c r="G194" s="199"/>
      <c r="H194" s="200"/>
      <c r="I194" s="222"/>
      <c r="J194" s="343"/>
      <c r="K194" s="248"/>
      <c r="L194" s="253"/>
      <c r="M194" s="254"/>
      <c r="N194" s="204"/>
    </row>
    <row r="195" spans="2:14" x14ac:dyDescent="0.2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04"/>
      <c r="M195" s="254"/>
      <c r="N195" s="259"/>
    </row>
    <row r="196" spans="2:14" x14ac:dyDescent="0.2">
      <c r="B196" s="246"/>
      <c r="C196" s="247"/>
      <c r="D196" s="248"/>
      <c r="E196" s="249"/>
      <c r="F196" s="249"/>
      <c r="G196" s="255"/>
      <c r="H196" s="251"/>
      <c r="I196" s="222"/>
      <c r="J196" s="343"/>
      <c r="K196" s="248"/>
      <c r="L196" s="253"/>
      <c r="M196" s="254"/>
      <c r="N196" s="259"/>
    </row>
    <row r="197" spans="2:14" x14ac:dyDescent="0.2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2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2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2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53"/>
      <c r="M200" s="254"/>
      <c r="N200" s="204"/>
    </row>
    <row r="201" spans="2:14" x14ac:dyDescent="0.2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53"/>
      <c r="M201" s="254"/>
      <c r="N201" s="204"/>
    </row>
    <row r="202" spans="2:14" x14ac:dyDescent="0.2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2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2">
      <c r="B204" s="246"/>
      <c r="C204" s="256"/>
      <c r="D204" s="248"/>
      <c r="E204" s="249"/>
      <c r="F204" s="249"/>
      <c r="G204" s="199"/>
      <c r="H204" s="245"/>
      <c r="I204" s="223"/>
      <c r="J204" s="344"/>
      <c r="K204" s="248"/>
      <c r="L204" s="204"/>
      <c r="M204" s="254"/>
      <c r="N204" s="204"/>
    </row>
    <row r="205" spans="2:14" x14ac:dyDescent="0.2">
      <c r="B205" s="246"/>
      <c r="C205" s="247"/>
      <c r="D205" s="248"/>
      <c r="E205" s="249"/>
      <c r="F205" s="249"/>
      <c r="G205" s="255"/>
      <c r="H205" s="200"/>
      <c r="I205" s="222"/>
      <c r="J205" s="343"/>
      <c r="K205" s="248"/>
      <c r="L205" s="204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53"/>
      <c r="M206" s="254"/>
      <c r="N206" s="204"/>
    </row>
    <row r="207" spans="2:14" x14ac:dyDescent="0.2">
      <c r="B207" s="246"/>
      <c r="C207" s="256"/>
      <c r="D207" s="248"/>
      <c r="E207" s="249"/>
      <c r="F207" s="249"/>
      <c r="G207" s="199"/>
      <c r="H207" s="245"/>
      <c r="I207" s="223"/>
      <c r="J207" s="344"/>
      <c r="K207" s="248"/>
      <c r="L207" s="253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04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53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04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2">
      <c r="B213" s="246"/>
      <c r="C213" s="256"/>
      <c r="D213" s="248"/>
      <c r="E213" s="249"/>
      <c r="F213" s="249"/>
      <c r="G213" s="199"/>
      <c r="H213" s="245"/>
      <c r="I213" s="223"/>
      <c r="J213" s="344"/>
      <c r="K213" s="248"/>
      <c r="L213" s="204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53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04"/>
      <c r="M215" s="254"/>
      <c r="N215" s="204"/>
    </row>
    <row r="216" spans="2:14" x14ac:dyDescent="0.2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04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53"/>
      <c r="M217" s="254"/>
      <c r="N217" s="204"/>
    </row>
    <row r="218" spans="2:14" x14ac:dyDescent="0.2">
      <c r="B218" s="246"/>
      <c r="C218" s="256"/>
      <c r="D218" s="248"/>
      <c r="E218" s="249"/>
      <c r="F218" s="249"/>
      <c r="G218" s="199"/>
      <c r="H218" s="245"/>
      <c r="I218" s="223"/>
      <c r="J218" s="344"/>
      <c r="K218" s="248"/>
      <c r="L218" s="253"/>
      <c r="M218" s="254"/>
      <c r="N218" s="204"/>
    </row>
    <row r="219" spans="2:14" x14ac:dyDescent="0.2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04"/>
      <c r="M219" s="254"/>
      <c r="N219" s="204"/>
    </row>
    <row r="220" spans="2:14" x14ac:dyDescent="0.2">
      <c r="B220" s="246"/>
      <c r="C220" s="247"/>
      <c r="D220" s="246"/>
      <c r="E220" s="249"/>
      <c r="F220" s="249"/>
      <c r="G220" s="262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04"/>
      <c r="M224" s="254"/>
      <c r="N224" s="204"/>
    </row>
    <row r="225" spans="2:14" x14ac:dyDescent="0.2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6"/>
      <c r="E226" s="249"/>
      <c r="F226" s="249"/>
      <c r="G226" s="262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47"/>
      <c r="D227" s="248"/>
      <c r="E227" s="249"/>
      <c r="F227" s="249"/>
      <c r="G227" s="255"/>
      <c r="H227" s="200"/>
      <c r="I227" s="222"/>
      <c r="J227" s="343"/>
      <c r="K227" s="248"/>
      <c r="L227" s="253"/>
      <c r="M227" s="254"/>
      <c r="N227" s="204"/>
    </row>
    <row r="228" spans="2:14" x14ac:dyDescent="0.2">
      <c r="B228" s="246"/>
      <c r="C228" s="247"/>
      <c r="D228" s="248"/>
      <c r="E228" s="249"/>
      <c r="F228" s="249"/>
      <c r="G228" s="255"/>
      <c r="H228" s="200"/>
      <c r="I228" s="222"/>
      <c r="J228" s="343"/>
      <c r="K228" s="248"/>
      <c r="L228" s="253"/>
      <c r="M228" s="254"/>
      <c r="N228" s="204"/>
    </row>
    <row r="229" spans="2:14" x14ac:dyDescent="0.2">
      <c r="B229" s="246"/>
      <c r="C229" s="256"/>
      <c r="D229" s="248"/>
      <c r="E229" s="249"/>
      <c r="F229" s="249"/>
      <c r="G229" s="262"/>
      <c r="H229" s="264"/>
      <c r="I229" s="261"/>
      <c r="J229" s="345"/>
      <c r="K229" s="248"/>
      <c r="L229" s="253"/>
      <c r="M229" s="254"/>
      <c r="N229" s="204"/>
    </row>
    <row r="230" spans="2:14" x14ac:dyDescent="0.2">
      <c r="B230" s="246"/>
      <c r="C230" s="247"/>
      <c r="D230" s="246"/>
      <c r="E230" s="249"/>
      <c r="F230" s="249"/>
      <c r="G230" s="262"/>
      <c r="H230" s="200"/>
      <c r="I230" s="222"/>
      <c r="J230" s="343"/>
      <c r="K230" s="246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2">
      <c r="B238" s="246"/>
      <c r="C238" s="247"/>
      <c r="D238" s="248"/>
      <c r="E238" s="249"/>
      <c r="F238" s="249"/>
      <c r="G238" s="255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56"/>
      <c r="D239" s="248"/>
      <c r="E239" s="249"/>
      <c r="F239" s="249"/>
      <c r="G239" s="199"/>
      <c r="H239" s="245"/>
      <c r="I239" s="223"/>
      <c r="J239" s="344"/>
      <c r="K239" s="248"/>
      <c r="L239" s="253"/>
      <c r="M239" s="254"/>
      <c r="N239" s="204"/>
    </row>
    <row r="240" spans="2:14" x14ac:dyDescent="0.2">
      <c r="B240" s="246"/>
      <c r="C240" s="256"/>
      <c r="D240" s="248"/>
      <c r="E240" s="249"/>
      <c r="F240" s="249"/>
      <c r="G240" s="199"/>
      <c r="H240" s="200"/>
      <c r="I240" s="222"/>
      <c r="J240" s="343"/>
      <c r="K240" s="248"/>
      <c r="L240" s="253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04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48"/>
      <c r="L262" s="253"/>
      <c r="M262" s="254"/>
      <c r="N262" s="204"/>
    </row>
    <row r="263" spans="2:14" x14ac:dyDescent="0.2">
      <c r="B263" s="246"/>
      <c r="C263" s="256"/>
      <c r="D263" s="248"/>
      <c r="E263" s="249"/>
      <c r="F263" s="249"/>
      <c r="G263" s="262"/>
      <c r="H263" s="200"/>
      <c r="I263" s="222"/>
      <c r="J263" s="343"/>
      <c r="K263" s="246"/>
      <c r="L263" s="253"/>
      <c r="M263" s="254"/>
      <c r="N263" s="204"/>
    </row>
    <row r="264" spans="2:14" x14ac:dyDescent="0.2">
      <c r="B264" s="246"/>
      <c r="C264" s="247"/>
      <c r="D264" s="248"/>
      <c r="E264" s="249"/>
      <c r="F264" s="249"/>
      <c r="G264" s="255"/>
      <c r="H264" s="200"/>
      <c r="I264" s="222"/>
      <c r="J264" s="343"/>
      <c r="K264" s="263"/>
      <c r="L264" s="253"/>
      <c r="M264" s="254"/>
      <c r="N264" s="204"/>
    </row>
    <row r="265" spans="2:14" x14ac:dyDescent="0.2">
      <c r="B265" s="246"/>
      <c r="C265" s="256"/>
      <c r="D265" s="246"/>
      <c r="E265" s="249"/>
      <c r="F265" s="249"/>
      <c r="G265" s="202"/>
      <c r="H265" s="200"/>
      <c r="I265" s="222"/>
      <c r="J265" s="343"/>
      <c r="K265" s="263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6"/>
      <c r="L266" s="253"/>
      <c r="M266" s="254"/>
      <c r="N266" s="204"/>
    </row>
    <row r="267" spans="2:14" x14ac:dyDescent="0.2">
      <c r="B267" s="246"/>
      <c r="C267" s="247"/>
      <c r="D267" s="248"/>
      <c r="E267" s="249"/>
      <c r="F267" s="249"/>
      <c r="G267" s="255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47"/>
      <c r="D268" s="248"/>
      <c r="E268" s="249"/>
      <c r="F268" s="249"/>
      <c r="G268" s="255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6"/>
      <c r="E269" s="249"/>
      <c r="F269" s="249"/>
      <c r="G269" s="262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56"/>
      <c r="D270" s="248"/>
      <c r="E270" s="249"/>
      <c r="F270" s="249"/>
      <c r="G270" s="199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47"/>
      <c r="D274" s="248"/>
      <c r="E274" s="249"/>
      <c r="F274" s="249"/>
      <c r="G274" s="255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56"/>
      <c r="D275" s="246"/>
      <c r="E275" s="249"/>
      <c r="F275" s="249"/>
      <c r="G275" s="202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56"/>
      <c r="D276" s="246"/>
      <c r="E276" s="249"/>
      <c r="F276" s="249"/>
      <c r="G276" s="262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8"/>
      <c r="E279" s="249"/>
      <c r="F279" s="249"/>
      <c r="G279" s="255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56"/>
      <c r="D280" s="248"/>
      <c r="E280" s="249"/>
      <c r="F280" s="249"/>
      <c r="G280" s="199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47"/>
      <c r="D281" s="246"/>
      <c r="E281" s="249"/>
      <c r="F281" s="249"/>
      <c r="G281" s="262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47"/>
      <c r="D282" s="248"/>
      <c r="E282" s="249"/>
      <c r="F282" s="249"/>
      <c r="G282" s="255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56"/>
      <c r="D283" s="246"/>
      <c r="E283" s="249"/>
      <c r="F283" s="249"/>
      <c r="G283" s="202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56"/>
      <c r="D284" s="248"/>
      <c r="E284" s="249"/>
      <c r="F284" s="249"/>
      <c r="G284" s="199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47"/>
      <c r="D285" s="248"/>
      <c r="E285" s="249"/>
      <c r="F285" s="249"/>
      <c r="G285" s="255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6"/>
      <c r="E286" s="249"/>
      <c r="F286" s="249"/>
      <c r="G286" s="262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56"/>
      <c r="D287" s="248"/>
      <c r="E287" s="249"/>
      <c r="F287" s="249"/>
      <c r="G287" s="199"/>
      <c r="H287" s="200"/>
      <c r="I287" s="222"/>
      <c r="J287" s="343"/>
      <c r="K287" s="248"/>
      <c r="L287" s="253"/>
      <c r="M287" s="254"/>
      <c r="N287" s="204"/>
    </row>
    <row r="288" spans="2:14" x14ac:dyDescent="0.2">
      <c r="B288" s="246"/>
      <c r="C288" s="247"/>
      <c r="D288" s="248"/>
      <c r="E288" s="249"/>
      <c r="F288" s="249"/>
      <c r="G288" s="255"/>
      <c r="H288" s="200"/>
      <c r="I288" s="222"/>
      <c r="J288" s="343"/>
      <c r="K288" s="248"/>
      <c r="L288" s="253"/>
      <c r="M288" s="254"/>
      <c r="N288" s="204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5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5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6"/>
      <c r="E304" s="249"/>
      <c r="F304" s="249"/>
      <c r="G304" s="262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7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5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7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8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56"/>
      <c r="D377" s="248"/>
      <c r="E377" s="249"/>
      <c r="F377" s="249"/>
      <c r="G377" s="199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47"/>
      <c r="D380" s="248"/>
      <c r="E380" s="249"/>
      <c r="F380" s="249"/>
      <c r="G380" s="255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56"/>
      <c r="D383" s="248"/>
      <c r="E383" s="249"/>
      <c r="F383" s="249"/>
      <c r="G383" s="199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56"/>
      <c r="D388" s="248"/>
      <c r="E388" s="249"/>
      <c r="F388" s="249"/>
      <c r="G388" s="199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47"/>
      <c r="D392" s="248"/>
      <c r="E392" s="249"/>
      <c r="F392" s="249"/>
      <c r="G392" s="255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56"/>
      <c r="D395" s="248"/>
      <c r="E395" s="249"/>
      <c r="F395" s="249"/>
      <c r="G395" s="199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8"/>
      <c r="E403" s="249"/>
      <c r="F403" s="249"/>
      <c r="G403" s="255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6"/>
      <c r="E404" s="249"/>
      <c r="F404" s="249"/>
      <c r="G404" s="262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6"/>
      <c r="E405" s="249"/>
      <c r="F405" s="249"/>
      <c r="G405" s="262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8"/>
      <c r="E406" s="249"/>
      <c r="F406" s="249"/>
      <c r="G406" s="255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8"/>
      <c r="E407" s="249"/>
      <c r="F407" s="249"/>
      <c r="G407" s="255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47"/>
      <c r="D408" s="246"/>
      <c r="E408" s="249"/>
      <c r="F408" s="249"/>
      <c r="G408" s="262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47"/>
      <c r="D409" s="246"/>
      <c r="E409" s="249"/>
      <c r="F409" s="249"/>
      <c r="G409" s="262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56"/>
      <c r="D412" s="248"/>
      <c r="E412" s="249"/>
      <c r="F412" s="249"/>
      <c r="G412" s="199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56"/>
      <c r="D419" s="248"/>
      <c r="E419" s="249"/>
      <c r="F419" s="249"/>
      <c r="G419" s="199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6"/>
      <c r="E424" s="249"/>
      <c r="F424" s="249"/>
      <c r="G424" s="262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2">
      <c r="B429" s="246"/>
      <c r="C429" s="247"/>
      <c r="D429" s="248"/>
      <c r="E429" s="249"/>
      <c r="F429" s="249"/>
      <c r="G429" s="255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5"/>
      <c r="L430" s="253"/>
      <c r="M430" s="254"/>
      <c r="N430" s="266"/>
    </row>
    <row r="431" spans="2:14" x14ac:dyDescent="0.2">
      <c r="B431" s="246"/>
      <c r="C431" s="247"/>
      <c r="D431" s="246"/>
      <c r="E431" s="249"/>
      <c r="F431" s="249"/>
      <c r="G431" s="262"/>
      <c r="H431" s="203"/>
      <c r="I431" s="224"/>
      <c r="J431" s="346"/>
      <c r="K431" s="267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5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6"/>
      <c r="E439" s="249"/>
      <c r="F439" s="249"/>
      <c r="G439" s="262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56"/>
      <c r="D445" s="248"/>
      <c r="E445" s="249"/>
      <c r="F445" s="249"/>
      <c r="G445" s="199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47"/>
      <c r="D446" s="248"/>
      <c r="E446" s="249"/>
      <c r="F446" s="249"/>
      <c r="G446" s="255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56"/>
      <c r="D448" s="248"/>
      <c r="E448" s="249"/>
      <c r="F448" s="249"/>
      <c r="G448" s="199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2">
      <c r="B451" s="246"/>
      <c r="C451" s="247"/>
      <c r="D451" s="248"/>
      <c r="E451" s="249"/>
      <c r="F451" s="249"/>
      <c r="G451" s="255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69"/>
      <c r="F452" s="269"/>
      <c r="G452" s="270"/>
      <c r="H452" s="271"/>
      <c r="I452" s="272"/>
      <c r="J452" s="347"/>
      <c r="K452" s="267"/>
      <c r="L452" s="253"/>
      <c r="M452" s="254"/>
      <c r="N452" s="266"/>
    </row>
    <row r="453" spans="2:14" x14ac:dyDescent="0.2">
      <c r="B453" s="246"/>
      <c r="C453" s="256"/>
      <c r="D453" s="248"/>
      <c r="E453" s="249"/>
      <c r="F453" s="249"/>
      <c r="G453" s="262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47"/>
      <c r="D454" s="248"/>
      <c r="E454" s="249"/>
      <c r="F454" s="249"/>
      <c r="G454" s="255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56"/>
      <c r="D455" s="248"/>
      <c r="E455" s="249"/>
      <c r="F455" s="249"/>
      <c r="G455" s="199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6"/>
      <c r="E456" s="249"/>
      <c r="F456" s="249"/>
      <c r="G456" s="262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5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56"/>
      <c r="D468" s="248"/>
      <c r="E468" s="249"/>
      <c r="F468" s="249"/>
      <c r="G468" s="199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7"/>
      <c r="L490" s="253"/>
      <c r="M490" s="254"/>
      <c r="N490" s="266"/>
    </row>
    <row r="491" spans="2:14" x14ac:dyDescent="0.2">
      <c r="B491" s="246"/>
      <c r="C491" s="247"/>
      <c r="D491" s="246"/>
      <c r="E491" s="249"/>
      <c r="F491" s="249"/>
      <c r="G491" s="262"/>
      <c r="H491" s="203"/>
      <c r="I491" s="224"/>
      <c r="J491" s="346"/>
      <c r="K491" s="265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5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7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5"/>
      <c r="L501" s="253"/>
      <c r="M501" s="254"/>
      <c r="N501" s="266"/>
    </row>
    <row r="502" spans="2:14" x14ac:dyDescent="0.2">
      <c r="B502" s="246"/>
      <c r="C502" s="247"/>
      <c r="D502" s="248"/>
      <c r="E502" s="249"/>
      <c r="F502" s="249"/>
      <c r="G502" s="255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56"/>
      <c r="D504" s="248"/>
      <c r="E504" s="249"/>
      <c r="F504" s="249"/>
      <c r="G504" s="199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7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5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8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6"/>
      <c r="E524" s="249"/>
      <c r="F524" s="273"/>
      <c r="G524" s="262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47"/>
      <c r="D529" s="248"/>
      <c r="E529" s="249"/>
      <c r="F529" s="249"/>
      <c r="G529" s="255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56"/>
      <c r="D530" s="248"/>
      <c r="E530" s="249"/>
      <c r="F530" s="249"/>
      <c r="G530" s="199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56"/>
      <c r="D531" s="248"/>
      <c r="E531" s="249"/>
      <c r="F531" s="249"/>
      <c r="G531" s="199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6"/>
      <c r="E541" s="249"/>
      <c r="F541" s="249"/>
      <c r="G541" s="262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47"/>
      <c r="D542" s="248"/>
      <c r="E542" s="249"/>
      <c r="F542" s="249"/>
      <c r="G542" s="255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56"/>
      <c r="D544" s="248"/>
      <c r="E544" s="249"/>
      <c r="F544" s="249"/>
      <c r="G544" s="199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8"/>
      <c r="E545" s="249"/>
      <c r="F545" s="249"/>
      <c r="G545" s="255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6"/>
      <c r="E547" s="249"/>
      <c r="F547" s="249"/>
      <c r="G547" s="262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47"/>
      <c r="D548" s="248"/>
      <c r="E548" s="249"/>
      <c r="F548" s="249"/>
      <c r="G548" s="255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56"/>
      <c r="D550" s="248"/>
      <c r="E550" s="249"/>
      <c r="F550" s="249"/>
      <c r="G550" s="199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6"/>
      <c r="E559" s="249"/>
      <c r="F559" s="249"/>
      <c r="G559" s="262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56"/>
      <c r="D567" s="246"/>
      <c r="E567" s="249"/>
      <c r="F567" s="249"/>
      <c r="G567" s="202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56"/>
      <c r="D573" s="246"/>
      <c r="E573" s="249"/>
      <c r="F573" s="249"/>
      <c r="G573" s="202"/>
      <c r="H573" s="203"/>
      <c r="I573" s="224"/>
      <c r="J573" s="346"/>
      <c r="K573" s="265"/>
      <c r="L573" s="253"/>
      <c r="M573" s="254"/>
      <c r="N573" s="266"/>
    </row>
    <row r="574" spans="2:14" x14ac:dyDescent="0.2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56"/>
      <c r="D575" s="248"/>
      <c r="E575" s="249"/>
      <c r="F575" s="249"/>
      <c r="G575" s="199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47"/>
      <c r="D576" s="248"/>
      <c r="E576" s="249"/>
      <c r="F576" s="249"/>
      <c r="G576" s="255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47"/>
      <c r="D577" s="248"/>
      <c r="E577" s="249"/>
      <c r="F577" s="249"/>
      <c r="G577" s="255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56"/>
      <c r="D580" s="248"/>
      <c r="E580" s="249"/>
      <c r="F580" s="249"/>
      <c r="G580" s="199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47"/>
      <c r="D581" s="248"/>
      <c r="E581" s="249"/>
      <c r="F581" s="249"/>
      <c r="G581" s="255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56"/>
      <c r="D583" s="248"/>
      <c r="E583" s="249"/>
      <c r="F583" s="249"/>
      <c r="G583" s="199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47"/>
      <c r="D584" s="248"/>
      <c r="E584" s="249"/>
      <c r="F584" s="249"/>
      <c r="G584" s="255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56"/>
      <c r="D586" s="248"/>
      <c r="E586" s="249"/>
      <c r="F586" s="249"/>
      <c r="G586" s="199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6"/>
      <c r="E595" s="249"/>
      <c r="F595" s="249"/>
      <c r="G595" s="262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56"/>
      <c r="D600" s="248"/>
      <c r="E600" s="249"/>
      <c r="F600" s="249"/>
      <c r="G600" s="199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56"/>
      <c r="D605" s="246"/>
      <c r="E605" s="249"/>
      <c r="F605" s="249"/>
      <c r="G605" s="202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47"/>
      <c r="D610" s="248"/>
      <c r="E610" s="249"/>
      <c r="F610" s="249"/>
      <c r="G610" s="255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56"/>
      <c r="D613" s="248"/>
      <c r="E613" s="249"/>
      <c r="F613" s="249"/>
      <c r="G613" s="199"/>
      <c r="H613" s="203"/>
      <c r="I613" s="224"/>
      <c r="J613" s="346"/>
      <c r="K613" s="267"/>
      <c r="L613" s="253"/>
      <c r="M613" s="254"/>
      <c r="N613" s="266"/>
    </row>
    <row r="614" spans="2:14" x14ac:dyDescent="0.2">
      <c r="B614" s="246"/>
      <c r="C614" s="247"/>
      <c r="D614" s="248"/>
      <c r="E614" s="249"/>
      <c r="F614" s="249"/>
      <c r="G614" s="255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8"/>
      <c r="E615" s="249"/>
      <c r="F615" s="249"/>
      <c r="G615" s="255"/>
      <c r="H615" s="203"/>
      <c r="I615" s="224"/>
      <c r="J615" s="346"/>
      <c r="K615" s="265"/>
      <c r="L615" s="253"/>
      <c r="M615" s="254"/>
      <c r="N615" s="266"/>
    </row>
    <row r="616" spans="2:14" x14ac:dyDescent="0.2">
      <c r="B616" s="246"/>
      <c r="C616" s="256"/>
      <c r="D616" s="248"/>
      <c r="E616" s="249"/>
      <c r="F616" s="249"/>
      <c r="G616" s="199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6"/>
      <c r="E617" s="249"/>
      <c r="F617" s="249"/>
      <c r="G617" s="262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7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5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56"/>
      <c r="D624" s="246"/>
      <c r="E624" s="249"/>
      <c r="F624" s="249"/>
      <c r="G624" s="202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56"/>
      <c r="D635" s="248"/>
      <c r="E635" s="249"/>
      <c r="F635" s="249"/>
      <c r="G635" s="199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7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5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47"/>
      <c r="D641" s="248"/>
      <c r="E641" s="249"/>
      <c r="F641" s="249"/>
      <c r="G641" s="255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56"/>
      <c r="D642" s="248"/>
      <c r="E642" s="249"/>
      <c r="F642" s="249"/>
      <c r="G642" s="199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56"/>
      <c r="D643" s="248"/>
      <c r="E643" s="249"/>
      <c r="F643" s="249"/>
      <c r="G643" s="199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56"/>
      <c r="D658" s="248"/>
      <c r="E658" s="249"/>
      <c r="F658" s="249"/>
      <c r="G658" s="199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56"/>
      <c r="D674" s="248"/>
      <c r="E674" s="249"/>
      <c r="F674" s="249"/>
      <c r="G674" s="199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6"/>
      <c r="E678" s="249"/>
      <c r="F678" s="249"/>
      <c r="G678" s="262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56"/>
      <c r="D683" s="248"/>
      <c r="E683" s="249"/>
      <c r="F683" s="249"/>
      <c r="G683" s="199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8"/>
      <c r="E684" s="249"/>
      <c r="F684" s="249"/>
      <c r="G684" s="255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7"/>
      <c r="L685" s="253"/>
      <c r="M685" s="254"/>
      <c r="N685" s="266"/>
    </row>
    <row r="686" spans="2:14" x14ac:dyDescent="0.2">
      <c r="B686" s="246"/>
      <c r="C686" s="247"/>
      <c r="D686" s="246"/>
      <c r="E686" s="249"/>
      <c r="F686" s="249"/>
      <c r="G686" s="262"/>
      <c r="H686" s="203"/>
      <c r="I686" s="224"/>
      <c r="J686" s="346"/>
      <c r="K686" s="267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5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56"/>
      <c r="D702" s="246"/>
      <c r="E702" s="249"/>
      <c r="F702" s="249"/>
      <c r="G702" s="202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47"/>
      <c r="D705" s="248"/>
      <c r="E705" s="249"/>
      <c r="F705" s="249"/>
      <c r="G705" s="255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56"/>
      <c r="D706" s="248"/>
      <c r="E706" s="249"/>
      <c r="F706" s="249"/>
      <c r="G706" s="199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7"/>
      <c r="L707" s="253"/>
      <c r="M707" s="254"/>
      <c r="N707" s="266"/>
    </row>
    <row r="708" spans="2:14" x14ac:dyDescent="0.2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56"/>
      <c r="D709" s="248"/>
      <c r="E709" s="249"/>
      <c r="F709" s="249"/>
      <c r="G709" s="199"/>
      <c r="H709" s="203"/>
      <c r="I709" s="224"/>
      <c r="J709" s="346"/>
      <c r="K709" s="265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5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56"/>
      <c r="D729" s="248"/>
      <c r="E729" s="249"/>
      <c r="F729" s="249"/>
      <c r="G729" s="199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2">
      <c r="B740" s="246"/>
      <c r="C740" s="247"/>
      <c r="D740" s="248"/>
      <c r="E740" s="249"/>
      <c r="F740" s="249"/>
      <c r="G740" s="255"/>
      <c r="H740" s="203"/>
      <c r="I740" s="224"/>
      <c r="J740" s="346"/>
      <c r="K740" s="267"/>
      <c r="L740" s="253"/>
      <c r="M740" s="254"/>
      <c r="N740" s="266"/>
    </row>
    <row r="741" spans="2:14" x14ac:dyDescent="0.2">
      <c r="B741" s="246"/>
      <c r="C741" s="256"/>
      <c r="D741" s="248"/>
      <c r="E741" s="249"/>
      <c r="F741" s="249"/>
      <c r="G741" s="199"/>
      <c r="H741" s="203"/>
      <c r="I741" s="224"/>
      <c r="J741" s="346"/>
      <c r="K741" s="267"/>
      <c r="L741" s="253"/>
      <c r="M741" s="254"/>
      <c r="N741" s="274"/>
    </row>
    <row r="742" spans="2:14" x14ac:dyDescent="0.2">
      <c r="B742" s="246"/>
      <c r="C742" s="256"/>
      <c r="D742" s="246"/>
      <c r="E742" s="249"/>
      <c r="F742" s="249"/>
      <c r="G742" s="202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56"/>
      <c r="D746" s="248"/>
      <c r="E746" s="249"/>
      <c r="F746" s="249"/>
      <c r="G746" s="199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47"/>
      <c r="D754" s="248"/>
      <c r="E754" s="249"/>
      <c r="F754" s="249"/>
      <c r="G754" s="255"/>
      <c r="H754" s="203"/>
      <c r="I754" s="224"/>
      <c r="J754" s="346"/>
      <c r="K754" s="265"/>
      <c r="L754" s="253"/>
      <c r="M754" s="254"/>
      <c r="N754" s="204"/>
    </row>
    <row r="755" spans="2:14" x14ac:dyDescent="0.2">
      <c r="B755" s="246"/>
      <c r="C755" s="247"/>
      <c r="D755" s="248"/>
      <c r="E755" s="249"/>
      <c r="F755" s="249"/>
      <c r="G755" s="255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56"/>
      <c r="D758" s="248"/>
      <c r="E758" s="249"/>
      <c r="F758" s="249"/>
      <c r="G758" s="199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8"/>
      <c r="E759" s="249"/>
      <c r="F759" s="249"/>
      <c r="G759" s="255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6"/>
      <c r="E761" s="249"/>
      <c r="F761" s="249"/>
      <c r="G761" s="262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47"/>
      <c r="D765" s="248"/>
      <c r="E765" s="249"/>
      <c r="F765" s="249"/>
      <c r="G765" s="255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6"/>
      <c r="E766" s="249"/>
      <c r="F766" s="249"/>
      <c r="G766" s="262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56"/>
      <c r="D767" s="246"/>
      <c r="E767" s="249"/>
      <c r="F767" s="249"/>
      <c r="G767" s="202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56"/>
      <c r="D779" s="248"/>
      <c r="E779" s="249"/>
      <c r="F779" s="249"/>
      <c r="G779" s="255"/>
      <c r="H779" s="203"/>
      <c r="I779" s="224"/>
      <c r="J779" s="346"/>
      <c r="K779" s="265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47"/>
      <c r="D782" s="248"/>
      <c r="E782" s="249"/>
      <c r="F782" s="249"/>
      <c r="G782" s="255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56"/>
      <c r="D783" s="246"/>
      <c r="E783" s="249"/>
      <c r="F783" s="249"/>
      <c r="G783" s="262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6"/>
      <c r="E784" s="249"/>
      <c r="F784" s="249"/>
      <c r="G784" s="262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47"/>
      <c r="D785" s="248"/>
      <c r="E785" s="249"/>
      <c r="F785" s="249"/>
      <c r="G785" s="255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56"/>
      <c r="D786" s="248"/>
      <c r="E786" s="249"/>
      <c r="F786" s="249"/>
      <c r="G786" s="199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56"/>
      <c r="D787" s="248"/>
      <c r="E787" s="249"/>
      <c r="F787" s="249"/>
      <c r="G787" s="199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47"/>
      <c r="D791" s="248"/>
      <c r="E791" s="249"/>
      <c r="F791" s="249"/>
      <c r="G791" s="255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56"/>
      <c r="D792" s="248"/>
      <c r="E792" s="249"/>
      <c r="F792" s="249"/>
      <c r="G792" s="199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56"/>
      <c r="D793" s="248"/>
      <c r="E793" s="249"/>
      <c r="F793" s="249"/>
      <c r="G793" s="199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7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5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7"/>
      <c r="L802" s="253"/>
      <c r="M802" s="254"/>
      <c r="N802" s="204"/>
    </row>
    <row r="803" spans="2:14" x14ac:dyDescent="0.2">
      <c r="B803" s="246"/>
      <c r="C803" s="247"/>
      <c r="D803" s="246"/>
      <c r="E803" s="249"/>
      <c r="F803" s="249"/>
      <c r="G803" s="262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8"/>
      <c r="E804" s="249"/>
      <c r="F804" s="249"/>
      <c r="G804" s="255"/>
      <c r="H804" s="203"/>
      <c r="I804" s="224"/>
      <c r="J804" s="346"/>
      <c r="K804" s="265"/>
      <c r="L804" s="253"/>
      <c r="M804" s="254"/>
      <c r="N804" s="204"/>
    </row>
    <row r="805" spans="2:14" x14ac:dyDescent="0.2">
      <c r="B805" s="246"/>
      <c r="C805" s="247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47"/>
      <c r="D806" s="246"/>
      <c r="E806" s="249"/>
      <c r="F806" s="249"/>
      <c r="G806" s="262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56"/>
      <c r="D807" s="248"/>
      <c r="E807" s="249"/>
      <c r="F807" s="249"/>
      <c r="G807" s="255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6"/>
      <c r="E809" s="249"/>
      <c r="F809" s="249"/>
      <c r="G809" s="262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56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56"/>
      <c r="D827" s="248"/>
      <c r="E827" s="249"/>
      <c r="F827" s="249"/>
      <c r="G827" s="199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6"/>
      <c r="E838" s="249"/>
      <c r="F838" s="249"/>
      <c r="G838" s="262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7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5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6"/>
      <c r="E847" s="249"/>
      <c r="F847" s="249"/>
      <c r="G847" s="262"/>
      <c r="H847" s="203"/>
      <c r="I847" s="224"/>
      <c r="J847" s="346"/>
      <c r="K847" s="265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7"/>
      <c r="L854" s="253"/>
      <c r="M854" s="254"/>
      <c r="N854" s="204"/>
    </row>
    <row r="855" spans="2:14" x14ac:dyDescent="0.2">
      <c r="B855" s="246"/>
      <c r="C855" s="247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2">
      <c r="B857" s="246"/>
      <c r="C857" s="256"/>
      <c r="D857" s="248"/>
      <c r="E857" s="249"/>
      <c r="F857" s="249"/>
      <c r="G857" s="255"/>
      <c r="H857" s="203"/>
      <c r="I857" s="224"/>
      <c r="J857" s="346"/>
      <c r="K857" s="268"/>
      <c r="L857" s="253"/>
      <c r="M857" s="254"/>
      <c r="N857" s="204"/>
    </row>
    <row r="858" spans="2:14" x14ac:dyDescent="0.2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56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47"/>
      <c r="D868" s="248"/>
      <c r="E868" s="249"/>
      <c r="F868" s="249"/>
      <c r="G868" s="255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56"/>
      <c r="D869" s="248"/>
      <c r="E869" s="249"/>
      <c r="F869" s="249"/>
      <c r="G869" s="199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56"/>
      <c r="D870" s="248"/>
      <c r="E870" s="249"/>
      <c r="F870" s="249"/>
      <c r="G870" s="199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56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47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56"/>
      <c r="D879" s="248"/>
      <c r="E879" s="249"/>
      <c r="F879" s="249"/>
      <c r="G879" s="199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47"/>
      <c r="D880" s="248"/>
      <c r="E880" s="249"/>
      <c r="F880" s="249"/>
      <c r="G880" s="255"/>
      <c r="H880" s="203"/>
      <c r="I880" s="224"/>
      <c r="J880" s="346"/>
      <c r="K880" s="267"/>
      <c r="L880" s="253"/>
      <c r="M880" s="254"/>
      <c r="N880" s="204"/>
    </row>
    <row r="881" spans="2:14" x14ac:dyDescent="0.2">
      <c r="B881" s="246"/>
      <c r="C881" s="256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75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47"/>
      <c r="D893" s="246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47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56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56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47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56"/>
      <c r="D899" s="248"/>
      <c r="E899" s="249"/>
      <c r="F899" s="249"/>
      <c r="G899" s="199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56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2">
      <c r="B902" s="246"/>
      <c r="C902" s="247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255"/>
      <c r="H903" s="203"/>
      <c r="I903" s="224"/>
      <c r="J903" s="346"/>
      <c r="K903" s="268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255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56"/>
      <c r="D907" s="248"/>
      <c r="E907" s="249"/>
      <c r="F907" s="249"/>
      <c r="G907" s="199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47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47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56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47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56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199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47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56"/>
      <c r="D920" s="248"/>
      <c r="E920" s="249"/>
      <c r="F920" s="249"/>
      <c r="G920" s="199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47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56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56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47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47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56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56"/>
      <c r="D938" s="248"/>
      <c r="E938" s="249"/>
      <c r="F938" s="249"/>
      <c r="G938" s="199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47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199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255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199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199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199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199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255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255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199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199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199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199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255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199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199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199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8"/>
      <c r="E1013" s="249"/>
      <c r="F1013" s="249"/>
      <c r="G1013" s="255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8"/>
      <c r="E1014" s="249"/>
      <c r="F1014" s="249"/>
      <c r="G1014" s="255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6"/>
      <c r="E1015" s="249"/>
      <c r="F1015" s="249"/>
      <c r="G1015" s="262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6"/>
      <c r="E1016" s="249"/>
      <c r="F1016" s="249"/>
      <c r="G1016" s="26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7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02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5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02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02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6"/>
      <c r="E1049" s="249"/>
      <c r="F1049" s="249"/>
      <c r="G1049" s="262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6"/>
      <c r="E1062" s="249"/>
      <c r="F1062" s="249"/>
      <c r="G1062" s="262"/>
      <c r="H1062" s="203"/>
      <c r="I1062" s="224"/>
      <c r="J1062" s="346"/>
      <c r="K1062" s="265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8"/>
      <c r="E1088" s="249"/>
      <c r="F1088" s="249"/>
      <c r="G1088" s="255"/>
      <c r="H1088" s="203"/>
      <c r="I1088" s="224"/>
      <c r="J1088" s="346"/>
      <c r="K1088" s="267"/>
      <c r="L1088" s="204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6"/>
      <c r="E1090" s="276"/>
      <c r="F1090" s="276"/>
      <c r="G1090" s="206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199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6"/>
      <c r="E1098" s="249"/>
      <c r="F1098" s="249"/>
      <c r="G1098" s="206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255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199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199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255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199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53"/>
      <c r="M1117" s="254"/>
      <c r="N1117" s="204"/>
    </row>
    <row r="1118" spans="2:14" x14ac:dyDescent="0.2">
      <c r="B1118" s="246"/>
      <c r="C1118" s="256"/>
      <c r="D1118" s="248"/>
      <c r="E1118" s="249"/>
      <c r="F1118" s="249"/>
      <c r="G1118" s="199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255"/>
      <c r="H1119" s="203"/>
      <c r="I1119" s="224"/>
      <c r="J1119" s="346"/>
      <c r="K1119" s="267"/>
      <c r="L1119" s="204"/>
      <c r="M1119" s="254"/>
      <c r="N1119" s="204"/>
    </row>
    <row r="1120" spans="2:14" x14ac:dyDescent="0.2">
      <c r="B1120" s="246"/>
      <c r="C1120" s="256"/>
      <c r="D1120" s="246"/>
      <c r="E1120" s="249"/>
      <c r="F1120" s="249"/>
      <c r="G1120" s="206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199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6"/>
      <c r="E1129" s="249"/>
      <c r="F1129" s="249"/>
      <c r="G1129" s="207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77"/>
      <c r="D1140" s="277"/>
      <c r="E1140" s="249"/>
      <c r="F1140" s="278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6"/>
      <c r="E1142" s="249"/>
      <c r="F1142" s="249"/>
      <c r="G1142" s="202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5"/>
      <c r="L1146" s="253"/>
      <c r="M1146" s="254"/>
      <c r="N1146" s="204"/>
    </row>
    <row r="1147" spans="2:14" x14ac:dyDescent="0.2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67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2">
      <c r="B1149" s="246"/>
      <c r="C1149" s="256"/>
      <c r="D1149" s="246"/>
      <c r="E1149" s="249"/>
      <c r="F1149" s="249"/>
      <c r="G1149" s="262"/>
      <c r="H1149" s="203"/>
      <c r="I1149" s="224"/>
      <c r="J1149" s="346"/>
      <c r="K1149" s="267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75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199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55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4"/>
    </row>
    <row r="1156" spans="2:14" x14ac:dyDescent="0.2">
      <c r="B1156" s="246"/>
      <c r="C1156" s="256"/>
      <c r="D1156" s="248"/>
      <c r="E1156" s="249"/>
      <c r="F1156" s="249"/>
      <c r="G1156" s="262"/>
      <c r="H1156" s="203"/>
      <c r="I1156" s="224"/>
      <c r="J1156" s="346"/>
      <c r="K1156" s="267"/>
      <c r="L1156" s="253"/>
      <c r="M1156" s="254"/>
      <c r="N1156" s="204"/>
    </row>
    <row r="1157" spans="2:14" x14ac:dyDescent="0.2">
      <c r="B1157" s="246"/>
      <c r="C1157" s="256"/>
      <c r="D1157" s="248"/>
      <c r="E1157" s="249"/>
      <c r="F1157" s="249"/>
      <c r="G1157" s="255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199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6"/>
      <c r="E1164" s="276"/>
      <c r="F1164" s="276"/>
      <c r="G1164" s="206"/>
      <c r="H1164" s="203"/>
      <c r="I1164" s="224"/>
      <c r="J1164" s="346"/>
      <c r="K1164" s="275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255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199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199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75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199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255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199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255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199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199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255"/>
      <c r="H1190" s="203"/>
      <c r="I1190" s="224"/>
      <c r="J1190" s="346"/>
      <c r="K1190" s="267"/>
      <c r="L1190" s="253"/>
      <c r="M1190" s="254"/>
      <c r="N1190" s="205"/>
    </row>
    <row r="1191" spans="2:14" x14ac:dyDescent="0.2">
      <c r="B1191" s="246"/>
      <c r="C1191" s="256"/>
      <c r="D1191" s="246"/>
      <c r="E1191" s="249"/>
      <c r="F1191" s="249"/>
      <c r="G1191" s="262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199"/>
      <c r="H1192" s="203"/>
      <c r="I1192" s="224"/>
      <c r="J1192" s="346"/>
      <c r="K1192" s="275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67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67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255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199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199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8"/>
      <c r="E1201" s="249"/>
      <c r="F1201" s="249"/>
      <c r="G1201" s="255"/>
      <c r="H1201" s="203"/>
      <c r="I1201" s="224"/>
      <c r="J1201" s="346"/>
      <c r="K1201" s="279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199"/>
      <c r="H1202" s="203"/>
      <c r="I1202" s="224"/>
      <c r="J1202" s="346"/>
      <c r="K1202" s="279"/>
      <c r="L1202" s="253"/>
      <c r="M1202" s="254"/>
      <c r="N1202" s="205"/>
    </row>
    <row r="1203" spans="2:14" x14ac:dyDescent="0.2">
      <c r="B1203" s="246"/>
      <c r="C1203" s="256"/>
      <c r="D1203" s="246"/>
      <c r="E1203" s="276"/>
      <c r="F1203" s="276"/>
      <c r="G1203" s="206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255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199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8"/>
      <c r="E1209" s="249"/>
      <c r="F1209" s="249"/>
      <c r="G1209" s="199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6"/>
      <c r="E1211" s="249"/>
      <c r="F1211" s="249"/>
      <c r="G1211" s="206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02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6"/>
      <c r="E1217" s="249"/>
      <c r="F1217" s="249"/>
      <c r="G1217" s="207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6"/>
      <c r="E1219" s="276"/>
      <c r="F1219" s="276"/>
      <c r="G1219" s="206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255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199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199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255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199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199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2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04"/>
      <c r="M1233" s="254"/>
      <c r="N1233" s="205"/>
    </row>
    <row r="1234" spans="2:14" x14ac:dyDescent="0.2">
      <c r="B1234" s="246"/>
      <c r="C1234" s="281"/>
      <c r="D1234" s="282"/>
      <c r="E1234" s="276"/>
      <c r="F1234" s="276"/>
      <c r="G1234" s="255"/>
      <c r="H1234" s="203"/>
      <c r="I1234" s="224"/>
      <c r="J1234" s="346"/>
      <c r="K1234" s="280"/>
      <c r="L1234" s="253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04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255"/>
      <c r="H1237" s="203"/>
      <c r="I1237" s="224"/>
      <c r="J1237" s="346"/>
      <c r="K1237" s="280"/>
      <c r="L1237" s="253"/>
      <c r="M1237" s="254"/>
      <c r="N1237" s="205"/>
    </row>
    <row r="1238" spans="2:14" x14ac:dyDescent="0.2">
      <c r="B1238" s="246"/>
      <c r="C1238" s="256"/>
      <c r="D1238" s="248"/>
      <c r="E1238" s="249"/>
      <c r="F1238" s="249"/>
      <c r="G1238" s="199"/>
      <c r="H1238" s="203"/>
      <c r="I1238" s="224"/>
      <c r="J1238" s="346"/>
      <c r="K1238" s="280"/>
      <c r="L1238" s="253"/>
      <c r="M1238" s="254"/>
      <c r="N1238" s="205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47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2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77"/>
      <c r="D1244" s="277"/>
      <c r="E1244" s="278"/>
      <c r="F1244" s="278"/>
      <c r="G1244" s="210"/>
      <c r="H1244" s="208"/>
      <c r="I1244" s="222"/>
      <c r="J1244" s="343"/>
      <c r="K1244" s="283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6"/>
      <c r="E1248" s="249"/>
      <c r="F1248" s="249"/>
      <c r="G1248" s="262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47"/>
      <c r="D1252" s="248"/>
      <c r="E1252" s="249"/>
      <c r="F1252" s="249"/>
      <c r="G1252" s="255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56"/>
      <c r="D1253" s="248"/>
      <c r="E1253" s="249"/>
      <c r="F1253" s="249"/>
      <c r="G1253" s="206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47"/>
      <c r="D1254" s="248"/>
      <c r="E1254" s="249"/>
      <c r="F1254" s="249"/>
      <c r="G1254" s="262"/>
      <c r="H1254" s="208"/>
      <c r="I1254" s="222"/>
      <c r="J1254" s="343"/>
      <c r="K1254" s="280"/>
      <c r="L1254" s="253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55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56"/>
      <c r="D1256" s="248"/>
      <c r="E1256" s="249"/>
      <c r="F1256" s="249"/>
      <c r="G1256" s="255"/>
      <c r="H1256" s="208"/>
      <c r="I1256" s="222"/>
      <c r="J1256" s="343"/>
      <c r="K1256" s="280"/>
      <c r="L1256" s="211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62"/>
      <c r="H1257" s="208"/>
      <c r="I1257" s="222"/>
      <c r="J1257" s="343"/>
      <c r="K1257" s="280"/>
      <c r="L1257" s="253"/>
      <c r="M1257" s="254"/>
      <c r="N1257" s="209"/>
    </row>
    <row r="1258" spans="2:14" x14ac:dyDescent="0.2">
      <c r="B1258" s="246"/>
      <c r="C1258" s="247"/>
      <c r="D1258" s="248"/>
      <c r="E1258" s="249"/>
      <c r="F1258" s="249"/>
      <c r="G1258" s="262"/>
      <c r="H1258" s="208"/>
      <c r="I1258" s="222"/>
      <c r="J1258" s="343"/>
      <c r="K1258" s="280"/>
      <c r="L1258" s="253"/>
      <c r="M1258" s="254"/>
      <c r="N1258" s="209"/>
    </row>
    <row r="1259" spans="2:14" x14ac:dyDescent="0.2">
      <c r="B1259" s="246"/>
      <c r="C1259" s="256"/>
      <c r="D1259" s="248"/>
      <c r="E1259" s="249"/>
      <c r="F1259" s="249"/>
      <c r="G1259" s="255"/>
      <c r="H1259" s="208"/>
      <c r="I1259" s="222"/>
      <c r="J1259" s="343"/>
      <c r="K1259" s="280"/>
      <c r="L1259" s="253"/>
      <c r="M1259" s="254"/>
      <c r="N1259" s="209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0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ht="15" x14ac:dyDescent="0.25">
      <c r="B1265" s="37"/>
      <c r="C1265" s="78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284"/>
      <c r="D1266" s="109"/>
      <c r="E1266" s="68"/>
      <c r="F1266" s="68"/>
      <c r="G1266" s="285"/>
      <c r="H1266" s="212"/>
      <c r="I1266" s="225"/>
      <c r="J1266" s="348"/>
      <c r="K1266" s="69"/>
      <c r="L1266" s="286"/>
      <c r="M1266" s="116"/>
      <c r="N1266" s="213"/>
    </row>
    <row r="1267" spans="2:14" x14ac:dyDescent="0.2">
      <c r="B1267" s="37"/>
      <c r="C1267" s="287"/>
      <c r="D1267" s="37"/>
      <c r="E1267" s="60"/>
      <c r="F1267" s="60"/>
      <c r="G1267" s="214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78"/>
      <c r="D1268" s="109"/>
      <c r="E1268" s="68"/>
      <c r="F1268" s="68"/>
      <c r="G1268" s="21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284"/>
      <c r="D1269" s="109"/>
      <c r="E1269" s="68"/>
      <c r="F1269" s="68"/>
      <c r="G1269" s="28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7"/>
      <c r="C1270" s="284"/>
      <c r="D1270" s="109"/>
      <c r="E1270" s="68"/>
      <c r="F1270" s="68"/>
      <c r="G1270" s="285"/>
      <c r="H1270" s="212"/>
      <c r="I1270" s="225"/>
      <c r="J1270" s="348"/>
      <c r="K1270" s="69"/>
      <c r="L1270" s="286"/>
      <c r="M1270" s="116"/>
      <c r="N1270" s="213"/>
    </row>
    <row r="1271" spans="2:14" ht="15" x14ac:dyDescent="0.25">
      <c r="B1271" s="37"/>
      <c r="C1271" s="66"/>
      <c r="D1271" s="288"/>
      <c r="E1271" s="68"/>
      <c r="F1271" s="68"/>
      <c r="G1271" s="215"/>
      <c r="H1271" s="212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9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30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30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65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30"/>
      <c r="C1277" s="78"/>
      <c r="D1277" s="109"/>
      <c r="E1277" s="68"/>
      <c r="F1277" s="68"/>
      <c r="G1277" s="21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284"/>
      <c r="D1282" s="109"/>
      <c r="E1282" s="68"/>
      <c r="F1282" s="68"/>
      <c r="G1282" s="28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78"/>
      <c r="D1283" s="109"/>
      <c r="E1283" s="68"/>
      <c r="F1283" s="68"/>
      <c r="G1283" s="21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78"/>
      <c r="D1284" s="109"/>
      <c r="E1284" s="68"/>
      <c r="F1284" s="68"/>
      <c r="G1284" s="21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30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17"/>
      <c r="M1288" s="116"/>
      <c r="N1288" s="213"/>
    </row>
    <row r="1289" spans="2:14" ht="15" x14ac:dyDescent="0.25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86"/>
      <c r="M1289" s="116"/>
      <c r="N1289" s="213"/>
    </row>
    <row r="1290" spans="2:14" ht="15" x14ac:dyDescent="0.25">
      <c r="B1290" s="65"/>
      <c r="C1290" s="78"/>
      <c r="D1290" s="109"/>
      <c r="E1290" s="68"/>
      <c r="F1290" s="68"/>
      <c r="G1290" s="21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17"/>
      <c r="M1291" s="116"/>
      <c r="N1291" s="213"/>
    </row>
    <row r="1292" spans="2:14" ht="15" x14ac:dyDescent="0.25">
      <c r="B1292" s="65"/>
      <c r="C1292" s="78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ht="15" x14ac:dyDescent="0.2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284"/>
      <c r="D1296" s="109"/>
      <c r="E1296" s="68"/>
      <c r="F1296" s="68"/>
      <c r="G1296" s="285"/>
      <c r="H1296" s="216"/>
      <c r="I1296" s="225"/>
      <c r="J1296" s="348"/>
      <c r="K1296" s="69"/>
      <c r="L1296" s="217"/>
      <c r="M1296" s="116"/>
      <c r="N1296" s="213"/>
    </row>
    <row r="1297" spans="2:14" ht="15" x14ac:dyDescent="0.25">
      <c r="B1297" s="65"/>
      <c r="C1297" s="78"/>
      <c r="D1297" s="109"/>
      <c r="E1297" s="68"/>
      <c r="F1297" s="68"/>
      <c r="G1297" s="21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65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86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17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284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78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290"/>
      <c r="D1305" s="291"/>
      <c r="E1305" s="292"/>
      <c r="F1305" s="292"/>
      <c r="G1305" s="285"/>
      <c r="H1305" s="216"/>
      <c r="I1305" s="225"/>
      <c r="J1305" s="348"/>
      <c r="K1305" s="69"/>
      <c r="L1305" s="217"/>
      <c r="M1305" s="116"/>
      <c r="N1305" s="213"/>
    </row>
    <row r="1306" spans="2:14" ht="15" x14ac:dyDescent="0.25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ht="15" x14ac:dyDescent="0.25">
      <c r="B1307" s="30"/>
      <c r="C1307" s="284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ht="15" x14ac:dyDescent="0.25">
      <c r="B1308" s="30"/>
      <c r="C1308" s="78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x14ac:dyDescent="0.2">
      <c r="B1309" s="30"/>
      <c r="C1309" s="78"/>
      <c r="D1309" s="109"/>
      <c r="E1309" s="68"/>
      <c r="F1309" s="68"/>
      <c r="G1309" s="289"/>
      <c r="H1309" s="212"/>
      <c r="I1309" s="225"/>
      <c r="J1309" s="348"/>
      <c r="K1309" s="80"/>
      <c r="L1309" s="286"/>
      <c r="M1309" s="116"/>
      <c r="N1309" s="213"/>
    </row>
    <row r="1310" spans="2:14" ht="15" x14ac:dyDescent="0.25">
      <c r="B1310" s="30"/>
      <c r="C1310" s="284"/>
      <c r="D1310" s="109"/>
      <c r="E1310" s="68"/>
      <c r="F1310" s="68"/>
      <c r="G1310" s="285"/>
      <c r="H1310" s="216"/>
      <c r="I1310" s="225"/>
      <c r="J1310" s="348"/>
      <c r="K1310" s="69"/>
      <c r="L1310" s="286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17"/>
      <c r="M1312" s="116"/>
      <c r="N1312" s="213"/>
    </row>
    <row r="1313" spans="2:14" ht="15" x14ac:dyDescent="0.25">
      <c r="B1313" s="30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15"/>
      <c r="H1316" s="216"/>
      <c r="I1316" s="225"/>
      <c r="J1316" s="348"/>
      <c r="K1316" s="69"/>
      <c r="L1316" s="217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86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17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65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65"/>
      <c r="C1328" s="78"/>
      <c r="D1328" s="109"/>
      <c r="E1328" s="68"/>
      <c r="F1328" s="68"/>
      <c r="G1328" s="21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30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293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1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ht="15" x14ac:dyDescent="0.25">
      <c r="B1346" s="65"/>
      <c r="C1346" s="78"/>
      <c r="D1346" s="109"/>
      <c r="E1346" s="68"/>
      <c r="F1346" s="68"/>
      <c r="G1346" s="285"/>
      <c r="H1346" s="216"/>
      <c r="I1346" s="225"/>
      <c r="J1346" s="348"/>
      <c r="K1346" s="69"/>
      <c r="L1346" s="286"/>
      <c r="M1346" s="116"/>
      <c r="N1346" s="213"/>
    </row>
    <row r="1347" spans="2:14" ht="15" x14ac:dyDescent="0.25">
      <c r="B1347" s="65"/>
      <c r="C1347" s="78"/>
      <c r="D1347" s="109"/>
      <c r="E1347" s="68"/>
      <c r="F1347" s="68"/>
      <c r="G1347" s="21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85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1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9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85"/>
      <c r="H1352" s="216"/>
      <c r="I1352" s="294"/>
      <c r="J1352" s="349"/>
      <c r="K1352" s="69"/>
      <c r="L1352" s="286"/>
      <c r="M1352" s="116"/>
      <c r="N1352" s="213"/>
    </row>
    <row r="1353" spans="2:14" ht="15" x14ac:dyDescent="0.25">
      <c r="B1353" s="293"/>
      <c r="C1353" s="78"/>
      <c r="D1353" s="109"/>
      <c r="E1353" s="68"/>
      <c r="F1353" s="68"/>
      <c r="G1353" s="285"/>
      <c r="H1353" s="216"/>
      <c r="I1353" s="294"/>
      <c r="J1353" s="349"/>
      <c r="K1353" s="69"/>
      <c r="L1353" s="286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14"/>
      <c r="H1354" s="216"/>
      <c r="I1354" s="294"/>
      <c r="J1354" s="349"/>
      <c r="K1354" s="69"/>
      <c r="L1354" s="286"/>
      <c r="M1354" s="116"/>
      <c r="N1354" s="213"/>
    </row>
    <row r="1355" spans="2:14" x14ac:dyDescent="0.2">
      <c r="B1355" s="293"/>
      <c r="C1355" s="78"/>
      <c r="D1355" s="109"/>
      <c r="E1355" s="68"/>
      <c r="F1355" s="68"/>
      <c r="G1355" s="289"/>
      <c r="H1355" s="212"/>
      <c r="I1355" s="225"/>
      <c r="J1355" s="348"/>
      <c r="K1355" s="80"/>
      <c r="L1355" s="217"/>
      <c r="M1355" s="116"/>
      <c r="N1355" s="213"/>
    </row>
    <row r="1356" spans="2:14" ht="15" x14ac:dyDescent="0.25">
      <c r="B1356" s="293"/>
      <c r="C1356" s="78"/>
      <c r="D1356" s="109"/>
      <c r="E1356" s="68"/>
      <c r="F1356" s="68"/>
      <c r="G1356" s="289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290"/>
      <c r="D1357" s="291"/>
      <c r="E1357" s="295"/>
      <c r="F1357" s="296"/>
      <c r="G1357" s="297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65"/>
      <c r="C1358" s="78"/>
      <c r="D1358" s="109"/>
      <c r="E1358" s="68"/>
      <c r="F1358" s="77"/>
      <c r="G1358" s="285"/>
      <c r="H1358" s="216"/>
      <c r="I1358" s="294"/>
      <c r="J1358" s="349"/>
      <c r="K1358" s="69"/>
      <c r="L1358" s="286"/>
      <c r="M1358" s="116"/>
      <c r="N1358" s="213"/>
    </row>
    <row r="1359" spans="2:14" ht="15" x14ac:dyDescent="0.25">
      <c r="B1359" s="65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298"/>
      <c r="F1360" s="299"/>
      <c r="G1360" s="300"/>
      <c r="H1360" s="301"/>
      <c r="I1360" s="302"/>
      <c r="J1360" s="350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85"/>
      <c r="H1361" s="216"/>
      <c r="I1361" s="294"/>
      <c r="J1361" s="349"/>
      <c r="K1361" s="69"/>
      <c r="L1361" s="286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293"/>
      <c r="C1363" s="78"/>
      <c r="D1363" s="109"/>
      <c r="E1363" s="68"/>
      <c r="F1363" s="77"/>
      <c r="G1363" s="215"/>
      <c r="H1363" s="216"/>
      <c r="I1363" s="294"/>
      <c r="J1363" s="349"/>
      <c r="K1363" s="69"/>
      <c r="L1363" s="217"/>
      <c r="M1363" s="116"/>
      <c r="N1363" s="213"/>
    </row>
    <row r="1364" spans="2:14" ht="15" x14ac:dyDescent="0.25">
      <c r="B1364" s="293"/>
      <c r="C1364" s="78"/>
      <c r="D1364" s="109"/>
      <c r="E1364" s="68"/>
      <c r="F1364" s="77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78"/>
      <c r="D1365" s="109"/>
      <c r="E1365" s="68"/>
      <c r="F1365" s="77"/>
      <c r="G1365" s="285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290"/>
      <c r="D1366" s="291"/>
      <c r="E1366" s="292"/>
      <c r="F1366" s="285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66"/>
      <c r="D1367" s="109"/>
      <c r="E1367" s="68"/>
      <c r="F1367" s="77"/>
      <c r="G1367" s="297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5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65"/>
      <c r="C1369" s="78"/>
      <c r="D1369" s="109"/>
      <c r="E1369" s="68"/>
      <c r="F1369" s="77"/>
      <c r="G1369" s="289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65"/>
      <c r="C1370" s="78"/>
      <c r="D1370" s="109"/>
      <c r="E1370" s="68"/>
      <c r="F1370" s="77"/>
      <c r="G1370" s="289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8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66"/>
      <c r="D1375" s="109"/>
      <c r="E1375" s="68"/>
      <c r="F1375" s="77"/>
      <c r="G1375" s="297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1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5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293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293"/>
      <c r="C1381" s="78"/>
      <c r="D1381" s="109"/>
      <c r="E1381" s="68"/>
      <c r="F1381" s="77"/>
      <c r="G1381" s="289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91"/>
      <c r="C1382" s="78"/>
      <c r="D1382" s="109"/>
      <c r="E1382" s="68"/>
      <c r="F1382" s="77"/>
      <c r="G1382" s="28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91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78"/>
      <c r="D1384" s="109"/>
      <c r="E1384" s="68"/>
      <c r="F1384" s="77"/>
      <c r="G1384" s="215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78"/>
      <c r="D1385" s="109"/>
      <c r="E1385" s="68"/>
      <c r="F1385" s="77"/>
      <c r="G1385" s="285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66"/>
      <c r="D1386" s="109"/>
      <c r="E1386" s="68"/>
      <c r="F1386" s="77"/>
      <c r="G1386" s="297"/>
      <c r="H1386" s="216"/>
      <c r="I1386" s="294"/>
      <c r="J1386" s="349"/>
      <c r="K1386" s="69"/>
      <c r="L1386" s="286"/>
      <c r="M1386" s="116"/>
      <c r="N1386" s="213"/>
    </row>
    <row r="1387" spans="2:14" ht="15" x14ac:dyDescent="0.25">
      <c r="B1387" s="65"/>
      <c r="C1387" s="66"/>
      <c r="D1387" s="109"/>
      <c r="E1387" s="68"/>
      <c r="F1387" s="68"/>
      <c r="G1387" s="297"/>
      <c r="H1387" s="216"/>
      <c r="I1387" s="294"/>
      <c r="J1387" s="349"/>
      <c r="K1387" s="69"/>
      <c r="L1387" s="286"/>
      <c r="M1387" s="116"/>
      <c r="N1387" s="213"/>
    </row>
    <row r="1388" spans="2:14" ht="15" x14ac:dyDescent="0.25">
      <c r="B1388" s="65"/>
      <c r="C1388" s="78"/>
      <c r="D1388" s="109"/>
      <c r="E1388" s="68"/>
      <c r="F1388" s="77"/>
      <c r="G1388" s="215"/>
      <c r="H1388" s="216"/>
      <c r="I1388" s="294"/>
      <c r="J1388" s="349"/>
      <c r="K1388" s="69"/>
      <c r="L1388" s="286"/>
      <c r="M1388" s="116"/>
      <c r="N1388" s="213"/>
    </row>
    <row r="1389" spans="2:14" x14ac:dyDescent="0.2">
      <c r="B1389" s="65"/>
      <c r="C1389" s="78"/>
      <c r="D1389" s="109"/>
      <c r="E1389" s="68"/>
      <c r="F1389" s="77"/>
      <c r="G1389" s="303"/>
      <c r="H1389" s="212"/>
      <c r="I1389" s="225"/>
      <c r="J1389" s="348"/>
      <c r="K1389" s="80"/>
      <c r="L1389" s="286"/>
      <c r="M1389" s="116"/>
      <c r="N1389" s="213"/>
    </row>
    <row r="1390" spans="2:14" ht="15" x14ac:dyDescent="0.25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66"/>
      <c r="D1391" s="109"/>
      <c r="E1391" s="68"/>
      <c r="F1391" s="77"/>
      <c r="G1391" s="297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78"/>
      <c r="D1392" s="109"/>
      <c r="E1392" s="68"/>
      <c r="F1392" s="77"/>
      <c r="G1392" s="285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78"/>
      <c r="D1393" s="109"/>
      <c r="E1393" s="68"/>
      <c r="F1393" s="77"/>
      <c r="G1393" s="285"/>
      <c r="H1393" s="216"/>
      <c r="I1393" s="294"/>
      <c r="J1393" s="349"/>
      <c r="K1393" s="69"/>
      <c r="L1393" s="286"/>
      <c r="M1393" s="116"/>
      <c r="N1393" s="213"/>
    </row>
    <row r="1394" spans="2:14" ht="15" x14ac:dyDescent="0.25">
      <c r="B1394" s="65"/>
      <c r="C1394" s="66"/>
      <c r="D1394" s="109"/>
      <c r="E1394" s="68"/>
      <c r="F1394" s="77"/>
      <c r="G1394" s="297"/>
      <c r="H1394" s="216"/>
      <c r="I1394" s="294"/>
      <c r="J1394" s="349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290"/>
      <c r="D1396" s="291"/>
      <c r="E1396" s="292"/>
      <c r="F1396" s="305"/>
      <c r="G1396" s="285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65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78"/>
      <c r="D1402" s="109"/>
      <c r="E1402" s="68"/>
      <c r="F1402" s="68"/>
      <c r="G1402" s="215"/>
      <c r="H1402" s="216"/>
      <c r="I1402" s="294"/>
      <c r="J1402" s="349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91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290"/>
      <c r="D1413" s="291"/>
      <c r="E1413" s="292"/>
      <c r="F1413" s="305"/>
      <c r="G1413" s="285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66"/>
      <c r="D1414" s="109"/>
      <c r="E1414" s="68"/>
      <c r="F1414" s="77"/>
      <c r="G1414" s="297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65"/>
      <c r="C1415" s="78"/>
      <c r="D1415" s="109"/>
      <c r="E1415" s="68"/>
      <c r="F1415" s="77"/>
      <c r="G1415" s="215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65"/>
      <c r="C1416" s="78"/>
      <c r="D1416" s="109"/>
      <c r="E1416" s="68"/>
      <c r="F1416" s="77"/>
      <c r="G1416" s="215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77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68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77"/>
      <c r="G1425" s="297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91"/>
      <c r="C1426" s="66"/>
      <c r="D1426" s="109"/>
      <c r="E1426" s="68"/>
      <c r="F1426" s="68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91"/>
      <c r="C1427" s="66"/>
      <c r="D1427" s="109"/>
      <c r="E1427" s="68"/>
      <c r="F1427" s="77"/>
      <c r="G1427" s="26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66"/>
      <c r="D1428" s="109"/>
      <c r="E1428" s="68"/>
      <c r="F1428" s="77"/>
      <c r="G1428" s="297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66"/>
      <c r="D1429" s="109"/>
      <c r="E1429" s="68"/>
      <c r="F1429" s="77"/>
      <c r="G1429" s="297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78"/>
      <c r="D1430" s="109"/>
      <c r="E1430" s="68"/>
      <c r="F1430" s="77"/>
      <c r="G1430" s="215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78"/>
      <c r="D1431" s="109"/>
      <c r="E1431" s="68"/>
      <c r="F1431" s="77"/>
      <c r="G1431" s="215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66"/>
      <c r="D1432" s="109"/>
      <c r="E1432" s="68"/>
      <c r="F1432" s="77"/>
      <c r="G1432" s="297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23"/>
      <c r="D1434" s="37"/>
      <c r="E1434" s="60"/>
      <c r="F1434" s="26"/>
      <c r="G1434" s="26"/>
      <c r="H1434" s="304"/>
      <c r="I1434" s="226"/>
      <c r="J1434" s="351"/>
      <c r="K1434" s="69"/>
      <c r="L1434" s="286"/>
      <c r="M1434" s="116"/>
      <c r="N1434" s="213"/>
    </row>
    <row r="1435" spans="2:14" ht="15" x14ac:dyDescent="0.25">
      <c r="B1435" s="65"/>
      <c r="C1435" s="66"/>
      <c r="D1435" s="109"/>
      <c r="E1435" s="68"/>
      <c r="F1435" s="77"/>
      <c r="G1435" s="297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65"/>
      <c r="C1436" s="78"/>
      <c r="D1436" s="109"/>
      <c r="E1436" s="68"/>
      <c r="F1436" s="77"/>
      <c r="G1436" s="306"/>
      <c r="H1436" s="216"/>
      <c r="I1436" s="294"/>
      <c r="J1436" s="349"/>
      <c r="K1436" s="69"/>
      <c r="L1436" s="217"/>
      <c r="M1436" s="116"/>
      <c r="N1436" s="213"/>
    </row>
    <row r="1437" spans="2:14" ht="15" x14ac:dyDescent="0.25">
      <c r="B1437" s="91"/>
      <c r="C1437" s="78"/>
      <c r="D1437" s="109"/>
      <c r="E1437" s="68"/>
      <c r="F1437" s="77"/>
      <c r="G1437" s="303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66"/>
      <c r="D1438" s="109"/>
      <c r="E1438" s="68"/>
      <c r="F1438" s="77"/>
      <c r="G1438" s="297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66"/>
      <c r="D1439" s="109"/>
      <c r="E1439" s="68"/>
      <c r="F1439" s="77"/>
      <c r="G1439" s="297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78"/>
      <c r="D1440" s="109"/>
      <c r="E1440" s="68"/>
      <c r="F1440" s="77"/>
      <c r="G1440" s="215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78"/>
      <c r="D1441" s="109"/>
      <c r="E1441" s="68"/>
      <c r="F1441" s="77"/>
      <c r="G1441" s="215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66"/>
      <c r="D1442" s="109"/>
      <c r="E1442" s="68"/>
      <c r="F1442" s="77"/>
      <c r="G1442" s="297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91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91"/>
      <c r="C1444" s="23"/>
      <c r="D1444" s="37"/>
      <c r="E1444" s="60"/>
      <c r="F1444" s="26"/>
      <c r="G1444" s="104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66"/>
      <c r="D1445" s="109"/>
      <c r="E1445" s="68"/>
      <c r="F1445" s="77"/>
      <c r="G1445" s="297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65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65"/>
      <c r="C1447" s="23"/>
      <c r="D1447" s="291"/>
      <c r="E1447" s="292"/>
      <c r="F1447" s="305"/>
      <c r="G1447" s="285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69"/>
      <c r="L1448" s="286"/>
      <c r="M1448" s="116"/>
      <c r="N1448" s="213"/>
    </row>
    <row r="1449" spans="2:14" ht="15" x14ac:dyDescent="0.2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80"/>
      <c r="L1450" s="286"/>
      <c r="M1450" s="116"/>
      <c r="N1450" s="213"/>
    </row>
    <row r="1451" spans="2:14" ht="15" x14ac:dyDescent="0.25">
      <c r="B1451" s="91"/>
      <c r="C1451" s="23"/>
      <c r="D1451" s="37"/>
      <c r="E1451" s="60"/>
      <c r="F1451" s="26"/>
      <c r="G1451" s="104"/>
      <c r="H1451" s="304"/>
      <c r="I1451" s="226"/>
      <c r="J1451" s="351"/>
      <c r="K1451" s="69"/>
      <c r="L1451" s="286"/>
      <c r="M1451" s="116"/>
      <c r="N1451" s="213"/>
    </row>
    <row r="1452" spans="2:14" ht="15" x14ac:dyDescent="0.25">
      <c r="B1452" s="91"/>
      <c r="C1452" s="66"/>
      <c r="D1452" s="109"/>
      <c r="E1452" s="68"/>
      <c r="F1452" s="77"/>
      <c r="G1452" s="297"/>
      <c r="H1452" s="304"/>
      <c r="I1452" s="226"/>
      <c r="J1452" s="351"/>
      <c r="K1452" s="27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78"/>
      <c r="D1454" s="109"/>
      <c r="E1454" s="68"/>
      <c r="F1454" s="77"/>
      <c r="G1454" s="215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66"/>
      <c r="D1455" s="109"/>
      <c r="E1455" s="68"/>
      <c r="F1455" s="77"/>
      <c r="G1455" s="297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6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78"/>
      <c r="D1457" s="109"/>
      <c r="E1457" s="68"/>
      <c r="F1457" s="77"/>
      <c r="G1457" s="215"/>
      <c r="H1457" s="304"/>
      <c r="I1457" s="226"/>
      <c r="J1457" s="351"/>
      <c r="K1457" s="69"/>
      <c r="L1457" s="286"/>
      <c r="M1457" s="116"/>
      <c r="N1457" s="213"/>
    </row>
    <row r="1458" spans="2:14" ht="15" x14ac:dyDescent="0.25">
      <c r="B1458" s="91"/>
      <c r="C1458" s="66"/>
      <c r="D1458" s="109"/>
      <c r="E1458" s="68"/>
      <c r="F1458" s="77"/>
      <c r="G1458" s="297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91"/>
      <c r="C1459" s="66"/>
      <c r="D1459" s="109"/>
      <c r="E1459" s="68"/>
      <c r="F1459" s="77"/>
      <c r="G1459" s="297"/>
      <c r="H1459" s="304"/>
      <c r="I1459" s="226"/>
      <c r="J1459" s="351"/>
      <c r="K1459" s="291"/>
      <c r="L1459" s="286"/>
      <c r="M1459" s="116"/>
      <c r="N1459" s="213"/>
    </row>
    <row r="1460" spans="2:14" ht="15" x14ac:dyDescent="0.25">
      <c r="B1460" s="65"/>
      <c r="C1460" s="66"/>
      <c r="D1460" s="109"/>
      <c r="E1460" s="68"/>
      <c r="F1460" s="77"/>
      <c r="G1460" s="104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66"/>
      <c r="D1461" s="109"/>
      <c r="E1461" s="68"/>
      <c r="F1461" s="77"/>
      <c r="G1461" s="297"/>
      <c r="H1461" s="304"/>
      <c r="I1461" s="226"/>
      <c r="J1461" s="351"/>
      <c r="K1461" s="69"/>
      <c r="L1461" s="286"/>
      <c r="M1461" s="116"/>
      <c r="N1461" s="213"/>
    </row>
    <row r="1462" spans="2:14" ht="15" x14ac:dyDescent="0.25">
      <c r="B1462" s="65"/>
      <c r="C1462" s="287"/>
      <c r="D1462" s="287"/>
      <c r="E1462" s="307"/>
      <c r="F1462" s="308"/>
      <c r="G1462" s="308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78"/>
      <c r="D1463" s="109"/>
      <c r="E1463" s="68"/>
      <c r="F1463" s="77"/>
      <c r="G1463" s="215"/>
      <c r="H1463" s="216"/>
      <c r="I1463" s="294"/>
      <c r="J1463" s="349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297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78"/>
      <c r="D1472" s="109"/>
      <c r="E1472" s="68"/>
      <c r="F1472" s="77"/>
      <c r="G1472" s="309"/>
      <c r="H1472" s="216"/>
      <c r="I1472" s="294"/>
      <c r="J1472" s="349"/>
      <c r="K1472" s="69"/>
      <c r="L1472" s="217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310"/>
      <c r="H1473" s="304"/>
      <c r="I1473" s="226"/>
      <c r="J1473" s="351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310"/>
      <c r="H1474" s="304"/>
      <c r="I1474" s="226"/>
      <c r="J1474" s="351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311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65"/>
      <c r="C1480" s="66"/>
      <c r="D1480" s="109"/>
      <c r="E1480" s="68"/>
      <c r="F1480" s="77"/>
      <c r="G1480" s="297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78"/>
      <c r="D1481" s="109"/>
      <c r="E1481" s="68"/>
      <c r="F1481" s="77"/>
      <c r="G1481" s="312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297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65"/>
      <c r="C1488" s="78"/>
      <c r="D1488" s="109"/>
      <c r="E1488" s="68"/>
      <c r="F1488" s="77"/>
      <c r="G1488" s="312"/>
      <c r="H1488" s="313"/>
      <c r="I1488" s="314"/>
      <c r="J1488" s="353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78"/>
      <c r="D1494" s="109"/>
      <c r="E1494" s="68"/>
      <c r="F1494" s="77"/>
      <c r="G1494" s="312"/>
      <c r="H1494" s="313"/>
      <c r="I1494" s="314"/>
      <c r="J1494" s="353"/>
      <c r="K1494" s="69"/>
      <c r="L1494" s="286"/>
      <c r="M1494" s="116"/>
      <c r="N1494" s="213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2"/>
      <c r="K1498" s="69"/>
      <c r="L1498" s="286"/>
      <c r="M1498" s="116"/>
      <c r="N1498" s="213"/>
    </row>
    <row r="1499" spans="2:14" ht="15" x14ac:dyDescent="0.25">
      <c r="B1499" s="91"/>
      <c r="C1499" s="78"/>
      <c r="D1499" s="109"/>
      <c r="E1499" s="68"/>
      <c r="F1499" s="77"/>
      <c r="G1499" s="312"/>
      <c r="H1499" s="121"/>
      <c r="I1499" s="107"/>
      <c r="J1499" s="352"/>
      <c r="K1499" s="69"/>
      <c r="L1499" s="286"/>
      <c r="M1499" s="116"/>
      <c r="N1499" s="213"/>
    </row>
    <row r="1500" spans="2:14" ht="15" x14ac:dyDescent="0.25">
      <c r="B1500" s="65"/>
      <c r="C1500" s="78"/>
      <c r="D1500" s="109"/>
      <c r="E1500" s="68"/>
      <c r="F1500" s="77"/>
      <c r="G1500" s="312"/>
      <c r="H1500" s="313"/>
      <c r="I1500" s="314"/>
      <c r="J1500" s="353"/>
      <c r="K1500" s="69"/>
      <c r="L1500" s="217"/>
      <c r="M1500" s="116"/>
      <c r="N1500" s="213"/>
    </row>
    <row r="1501" spans="2:14" ht="15.75" x14ac:dyDescent="0.25">
      <c r="B1501" s="315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217"/>
      <c r="M1501" s="116"/>
      <c r="N1501" s="213"/>
    </row>
    <row r="1502" spans="2:14" ht="15.75" x14ac:dyDescent="0.25">
      <c r="B1502" s="316"/>
      <c r="C1502" s="66"/>
      <c r="D1502" s="109"/>
      <c r="E1502" s="68"/>
      <c r="F1502" s="77"/>
      <c r="G1502" s="104"/>
      <c r="H1502" s="121"/>
      <c r="I1502" s="107"/>
      <c r="J1502" s="352"/>
      <c r="K1502" s="69"/>
      <c r="L1502" s="126"/>
      <c r="M1502" s="116"/>
      <c r="N1502" s="218"/>
    </row>
    <row r="1503" spans="2:14" ht="15.75" x14ac:dyDescent="0.25">
      <c r="B1503" s="316"/>
      <c r="C1503" s="78"/>
      <c r="D1503" s="109"/>
      <c r="E1503" s="68"/>
      <c r="F1503" s="77"/>
      <c r="G1503" s="312"/>
      <c r="H1503" s="313"/>
      <c r="I1503" s="314"/>
      <c r="J1503" s="353"/>
      <c r="K1503" s="69"/>
      <c r="L1503" s="126"/>
      <c r="M1503" s="116"/>
      <c r="N1503" s="218"/>
    </row>
    <row r="1504" spans="2:14" ht="15.75" x14ac:dyDescent="0.25">
      <c r="B1504" s="315"/>
      <c r="C1504" s="78"/>
      <c r="D1504" s="109"/>
      <c r="E1504" s="68"/>
      <c r="F1504" s="77"/>
      <c r="G1504" s="312"/>
      <c r="H1504" s="313"/>
      <c r="I1504" s="314"/>
      <c r="J1504" s="353"/>
      <c r="K1504" s="69"/>
      <c r="L1504" s="217"/>
      <c r="M1504" s="116"/>
      <c r="N1504" s="213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8"/>
    </row>
    <row r="1506" spans="2:14" ht="15" x14ac:dyDescent="0.25">
      <c r="B1506" s="91"/>
      <c r="C1506" s="317"/>
      <c r="D1506" s="65"/>
      <c r="E1506" s="68"/>
      <c r="F1506" s="117"/>
      <c r="G1506" s="117"/>
      <c r="H1506" s="121"/>
      <c r="I1506" s="107"/>
      <c r="J1506" s="352"/>
      <c r="K1506" s="69"/>
      <c r="L1506" s="126"/>
      <c r="M1506" s="116"/>
      <c r="N1506" s="218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2"/>
      <c r="K1511" s="69"/>
      <c r="L1511" s="126"/>
      <c r="M1511" s="116"/>
      <c r="N1511" s="213"/>
    </row>
    <row r="1512" spans="2:14" ht="15" x14ac:dyDescent="0.25">
      <c r="B1512" s="65"/>
      <c r="C1512" s="78"/>
      <c r="D1512" s="109"/>
      <c r="E1512" s="68"/>
      <c r="F1512" s="77"/>
      <c r="G1512" s="312"/>
      <c r="H1512" s="313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78"/>
      <c r="D1513" s="109"/>
      <c r="E1513" s="68"/>
      <c r="F1513" s="77"/>
      <c r="G1513" s="312"/>
      <c r="H1513" s="313"/>
      <c r="I1513" s="314"/>
      <c r="J1513" s="353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126"/>
      <c r="M1514" s="116"/>
      <c r="N1514" s="213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126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ht="15" x14ac:dyDescent="0.25">
      <c r="B1517" s="65"/>
      <c r="C1517" s="78"/>
      <c r="D1517" s="109"/>
      <c r="E1517" s="68"/>
      <c r="F1517" s="77"/>
      <c r="G1517" s="312"/>
      <c r="H1517" s="313"/>
      <c r="I1517" s="314"/>
      <c r="J1517" s="353"/>
      <c r="K1517" s="69"/>
      <c r="L1517" s="217"/>
      <c r="M1517" s="116"/>
      <c r="N1517" s="213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2"/>
      <c r="K1518" s="69"/>
      <c r="L1518" s="217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107"/>
      <c r="J1519" s="352"/>
      <c r="K1519" s="69"/>
      <c r="L1519" s="286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ht="15" x14ac:dyDescent="0.25">
      <c r="B1525" s="65"/>
      <c r="C1525" s="78"/>
      <c r="D1525" s="109"/>
      <c r="E1525" s="68"/>
      <c r="F1525" s="77"/>
      <c r="G1525" s="312"/>
      <c r="H1525" s="313"/>
      <c r="I1525" s="314"/>
      <c r="J1525" s="353"/>
      <c r="K1525" s="69"/>
      <c r="L1525" s="217"/>
      <c r="M1525" s="116"/>
      <c r="N1525" s="213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69"/>
      <c r="L1526" s="126"/>
      <c r="M1526" s="116"/>
      <c r="N1526" s="218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2"/>
      <c r="K1527" s="69"/>
      <c r="L1527" s="126"/>
      <c r="M1527" s="116"/>
      <c r="N1527" s="218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2"/>
      <c r="K1528" s="80"/>
      <c r="L1528" s="126"/>
      <c r="M1528" s="117"/>
      <c r="N1528" s="218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2"/>
      <c r="K1529" s="80"/>
      <c r="L1529" s="126"/>
      <c r="M1529" s="116"/>
      <c r="N1529" s="218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317"/>
      <c r="D1531" s="65"/>
      <c r="E1531" s="68"/>
      <c r="F1531" s="117"/>
      <c r="G1531" s="117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ht="15" x14ac:dyDescent="0.25">
      <c r="B1540" s="65"/>
      <c r="C1540" s="78"/>
      <c r="D1540" s="109"/>
      <c r="E1540" s="68"/>
      <c r="F1540" s="77"/>
      <c r="G1540" s="312"/>
      <c r="H1540" s="313"/>
      <c r="I1540" s="314"/>
      <c r="J1540" s="353"/>
      <c r="K1540" s="69"/>
      <c r="L1540" s="217"/>
      <c r="M1540" s="116"/>
      <c r="N1540" s="213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2"/>
      <c r="K1541" s="69"/>
      <c r="L1541" s="126"/>
      <c r="M1541" s="116"/>
      <c r="N1541" s="218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2"/>
      <c r="K1542" s="69"/>
      <c r="L1542" s="126"/>
      <c r="M1542" s="116"/>
      <c r="N1542" s="218"/>
    </row>
    <row r="1543" spans="2:14" ht="15" x14ac:dyDescent="0.25">
      <c r="B1543" s="91"/>
      <c r="C1543" s="78"/>
      <c r="D1543" s="109"/>
      <c r="E1543" s="68"/>
      <c r="F1543" s="77"/>
      <c r="G1543" s="312"/>
      <c r="H1543" s="313"/>
      <c r="I1543" s="107"/>
      <c r="J1543" s="352"/>
      <c r="K1543" s="69"/>
      <c r="L1543" s="126"/>
      <c r="M1543" s="116"/>
      <c r="N1543" s="218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ht="15" x14ac:dyDescent="0.25">
      <c r="B1548" s="65"/>
      <c r="C1548" s="78"/>
      <c r="D1548" s="109"/>
      <c r="E1548" s="68"/>
      <c r="F1548" s="77"/>
      <c r="G1548" s="312"/>
      <c r="H1548" s="313"/>
      <c r="I1548" s="314"/>
      <c r="J1548" s="353"/>
      <c r="K1548" s="69"/>
      <c r="L1548" s="217"/>
      <c r="M1548" s="116"/>
      <c r="N1548" s="213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78"/>
      <c r="D1553" s="109"/>
      <c r="E1553" s="68"/>
      <c r="F1553" s="77"/>
      <c r="G1553" s="312"/>
      <c r="H1553" s="313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2"/>
      <c r="K1560" s="69"/>
      <c r="L1560" s="126"/>
      <c r="M1560" s="116"/>
      <c r="N1560" s="218"/>
    </row>
    <row r="1561" spans="2:14" ht="15" x14ac:dyDescent="0.25">
      <c r="B1561" s="65"/>
      <c r="C1561" s="78"/>
      <c r="D1561" s="109"/>
      <c r="E1561" s="68"/>
      <c r="F1561" s="77"/>
      <c r="G1561" s="312"/>
      <c r="H1561" s="123"/>
      <c r="I1561" s="107"/>
      <c r="J1561" s="352"/>
      <c r="K1561" s="69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4"/>
      <c r="K1563" s="80"/>
      <c r="L1563" s="126"/>
      <c r="M1563" s="116"/>
      <c r="N1563" s="218"/>
    </row>
    <row r="1564" spans="2:14" ht="15" x14ac:dyDescent="0.25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213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318"/>
    </row>
    <row r="1566" spans="2:14" ht="15" x14ac:dyDescent="0.25">
      <c r="B1566" s="65"/>
      <c r="C1566" s="78"/>
      <c r="D1566" s="109"/>
      <c r="E1566" s="68"/>
      <c r="F1566" s="77"/>
      <c r="G1566" s="312"/>
      <c r="H1566" s="313"/>
      <c r="I1566" s="314"/>
      <c r="J1566" s="353"/>
      <c r="K1566" s="69"/>
      <c r="L1566" s="217"/>
      <c r="M1566" s="116"/>
      <c r="N1566" s="318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2"/>
      <c r="K1570" s="69"/>
      <c r="L1570" s="126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ht="15" x14ac:dyDescent="0.25">
      <c r="B1574" s="65"/>
      <c r="C1574" s="78"/>
      <c r="D1574" s="109"/>
      <c r="E1574" s="68"/>
      <c r="F1574" s="77"/>
      <c r="G1574" s="312"/>
      <c r="H1574" s="313"/>
      <c r="I1574" s="314"/>
      <c r="J1574" s="353"/>
      <c r="K1574" s="69"/>
      <c r="L1574" s="217"/>
      <c r="M1574" s="116"/>
      <c r="N1574" s="213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79"/>
      <c r="L1576" s="126"/>
      <c r="M1576" s="115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69"/>
      <c r="L1577" s="126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2"/>
      <c r="K1579" s="79"/>
      <c r="L1579" s="126"/>
      <c r="M1579" s="115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78"/>
      <c r="D1585" s="109"/>
      <c r="E1585" s="68"/>
      <c r="F1585" s="77"/>
      <c r="G1585" s="312"/>
      <c r="H1585" s="313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2"/>
      <c r="K1589" s="69"/>
      <c r="L1589" s="126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2"/>
      <c r="H1590" s="313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6"/>
      <c r="M1592" s="116"/>
      <c r="N1592" s="218"/>
    </row>
    <row r="1593" spans="2:14" ht="15" x14ac:dyDescent="0.25">
      <c r="B1593" s="65"/>
      <c r="C1593" s="78"/>
      <c r="D1593" s="109"/>
      <c r="E1593" s="68"/>
      <c r="F1593" s="77"/>
      <c r="G1593" s="312"/>
      <c r="H1593" s="313"/>
      <c r="I1593" s="314"/>
      <c r="J1593" s="353"/>
      <c r="K1593" s="69"/>
      <c r="L1593" s="217"/>
      <c r="M1593" s="116"/>
      <c r="N1593" s="213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2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2"/>
      <c r="K1597" s="69"/>
      <c r="L1597" s="120"/>
      <c r="M1597" s="116"/>
      <c r="N1597" s="219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2"/>
      <c r="K1598" s="69"/>
      <c r="L1598" s="120"/>
      <c r="M1598" s="116"/>
      <c r="N1598" s="219"/>
    </row>
    <row r="1599" spans="2:14" ht="15" x14ac:dyDescent="0.25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2"/>
      <c r="K1600" s="69"/>
      <c r="L1600" s="120"/>
      <c r="M1600" s="116"/>
      <c r="N1600" s="219"/>
    </row>
    <row r="1601" spans="2:14" ht="15" x14ac:dyDescent="0.25">
      <c r="B1601" s="65"/>
      <c r="C1601" s="78"/>
      <c r="D1601" s="109"/>
      <c r="E1601" s="68"/>
      <c r="F1601" s="77"/>
      <c r="G1601" s="312"/>
      <c r="H1601" s="313"/>
      <c r="I1601" s="314"/>
      <c r="J1601" s="353"/>
      <c r="K1601" s="69"/>
      <c r="L1601" s="319"/>
      <c r="M1601" s="116"/>
      <c r="N1601" s="3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118"/>
      <c r="M1602" s="116"/>
      <c r="N1602" s="319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2"/>
      <c r="K1603" s="69"/>
      <c r="L1603" s="118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319"/>
      <c r="M1606" s="116"/>
      <c r="N1606" s="319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2"/>
      <c r="K1607" s="69"/>
      <c r="L1607" s="120"/>
      <c r="M1607" s="116"/>
      <c r="N1607" s="219"/>
    </row>
    <row r="1608" spans="2:14" ht="15" x14ac:dyDescent="0.25">
      <c r="B1608" s="65"/>
      <c r="C1608" s="78"/>
      <c r="D1608" s="109"/>
      <c r="E1608" s="68"/>
      <c r="F1608" s="77"/>
      <c r="G1608" s="312"/>
      <c r="H1608" s="313"/>
      <c r="I1608" s="314"/>
      <c r="J1608" s="353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2"/>
      <c r="K1611" s="69"/>
      <c r="L1611" s="120"/>
      <c r="M1611" s="116"/>
      <c r="N1611" s="219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65"/>
      <c r="C1613" s="66"/>
      <c r="D1613" s="109"/>
      <c r="E1613" s="68"/>
      <c r="F1613" s="77"/>
      <c r="G1613" s="312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2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78"/>
      <c r="D1616" s="109"/>
      <c r="E1616" s="68"/>
      <c r="F1616" s="77"/>
      <c r="G1616" s="312"/>
      <c r="H1616" s="313"/>
      <c r="I1616" s="314"/>
      <c r="J1616" s="353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2"/>
      <c r="K1623" s="69"/>
      <c r="L1623" s="319"/>
      <c r="M1623" s="116"/>
      <c r="N1623" s="319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2"/>
      <c r="K1624" s="69"/>
      <c r="L1624" s="118"/>
      <c r="M1624" s="116"/>
      <c r="N1624" s="319"/>
    </row>
    <row r="1625" spans="2:14" ht="15" x14ac:dyDescent="0.25">
      <c r="B1625" s="65"/>
      <c r="C1625" s="78"/>
      <c r="D1625" s="109"/>
      <c r="E1625" s="68"/>
      <c r="F1625" s="77"/>
      <c r="G1625" s="312"/>
      <c r="H1625" s="313"/>
      <c r="I1625" s="314"/>
      <c r="J1625" s="353"/>
      <c r="K1625" s="69"/>
      <c r="L1625" s="319"/>
      <c r="M1625" s="116"/>
      <c r="N1625" s="319"/>
    </row>
    <row r="1626" spans="2:14" ht="15" x14ac:dyDescent="0.25">
      <c r="B1626" s="65"/>
      <c r="C1626" s="78"/>
      <c r="D1626" s="109"/>
      <c r="E1626" s="68"/>
      <c r="F1626" s="77"/>
      <c r="G1626" s="312"/>
      <c r="H1626" s="313"/>
      <c r="I1626" s="314"/>
      <c r="J1626" s="353"/>
      <c r="K1626" s="69"/>
      <c r="L1626" s="319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2"/>
      <c r="K1627" s="69"/>
      <c r="L1627" s="319"/>
      <c r="M1627" s="116"/>
      <c r="N1627" s="319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2"/>
      <c r="K1628" s="69"/>
      <c r="L1628" s="118"/>
      <c r="M1628" s="116"/>
      <c r="N1628" s="319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2"/>
      <c r="K1629" s="69"/>
      <c r="L1629" s="118"/>
      <c r="M1629" s="116"/>
      <c r="N1629" s="319"/>
    </row>
    <row r="1630" spans="2:14" ht="15" x14ac:dyDescent="0.25">
      <c r="B1630" s="65"/>
      <c r="C1630" s="78"/>
      <c r="D1630" s="109"/>
      <c r="E1630" s="68"/>
      <c r="F1630" s="77"/>
      <c r="G1630" s="312"/>
      <c r="H1630" s="313"/>
      <c r="I1630" s="314"/>
      <c r="J1630" s="353"/>
      <c r="K1630" s="69"/>
      <c r="L1630" s="319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2"/>
      <c r="H1631" s="313"/>
      <c r="I1631" s="314"/>
      <c r="J1631" s="353"/>
      <c r="K1631" s="69"/>
      <c r="L1631" s="319"/>
      <c r="M1631" s="116"/>
      <c r="N1631" s="320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2"/>
      <c r="K1633" s="69"/>
      <c r="L1633" s="120"/>
      <c r="M1633" s="116"/>
      <c r="N1633" s="320"/>
    </row>
    <row r="1634" spans="2:14" ht="15" x14ac:dyDescent="0.25">
      <c r="B1634" s="91"/>
      <c r="C1634" s="78"/>
      <c r="D1634" s="109"/>
      <c r="E1634" s="68"/>
      <c r="F1634" s="77"/>
      <c r="G1634" s="312"/>
      <c r="H1634" s="123"/>
      <c r="I1634" s="107"/>
      <c r="J1634" s="352"/>
      <c r="K1634" s="69"/>
      <c r="L1634" s="120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ht="15" x14ac:dyDescent="0.25">
      <c r="B1637" s="65"/>
      <c r="C1637" s="78"/>
      <c r="D1637" s="109"/>
      <c r="E1637" s="68"/>
      <c r="F1637" s="77"/>
      <c r="G1637" s="312"/>
      <c r="H1637" s="313"/>
      <c r="I1637" s="314"/>
      <c r="J1637" s="353"/>
      <c r="K1637" s="69"/>
      <c r="L1637" s="319"/>
      <c r="M1637" s="116"/>
      <c r="N1637" s="320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312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2"/>
      <c r="K1645" s="69"/>
      <c r="L1645" s="120"/>
      <c r="M1645" s="116"/>
      <c r="N1645" s="220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66"/>
      <c r="D1648" s="109"/>
      <c r="E1648" s="68"/>
      <c r="F1648" s="77"/>
      <c r="G1648" s="312"/>
      <c r="H1648" s="123"/>
      <c r="I1648" s="107"/>
      <c r="J1648" s="352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78"/>
      <c r="D1650" s="109"/>
      <c r="E1650" s="68"/>
      <c r="F1650" s="77"/>
      <c r="G1650" s="312"/>
      <c r="H1650" s="313"/>
      <c r="I1650" s="314"/>
      <c r="J1650" s="353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68"/>
      <c r="G1652" s="312"/>
      <c r="H1652" s="123"/>
      <c r="I1652" s="107"/>
      <c r="J1652" s="352"/>
      <c r="K1652" s="69"/>
      <c r="L1652" s="120"/>
      <c r="M1652" s="116"/>
      <c r="N1652" s="220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2"/>
      <c r="K1653" s="69"/>
      <c r="L1653" s="120"/>
      <c r="M1653" s="116"/>
      <c r="N1653" s="220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2"/>
      <c r="K1654" s="69"/>
      <c r="L1654" s="319"/>
      <c r="M1654" s="116"/>
      <c r="N1654" s="320"/>
    </row>
    <row r="1655" spans="2:14" ht="15" x14ac:dyDescent="0.25">
      <c r="B1655" s="37"/>
      <c r="C1655" s="78"/>
      <c r="D1655" s="109"/>
      <c r="E1655" s="68"/>
      <c r="F1655" s="77"/>
      <c r="G1655" s="312"/>
      <c r="H1655" s="123"/>
      <c r="I1655" s="107"/>
      <c r="J1655" s="352"/>
      <c r="K1655" s="69"/>
      <c r="L1655" s="118"/>
      <c r="M1655" s="116"/>
      <c r="N1655" s="320"/>
    </row>
    <row r="1656" spans="2:14" ht="15" x14ac:dyDescent="0.25">
      <c r="B1656" s="37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2"/>
      <c r="K1657" s="69"/>
      <c r="L1657" s="118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2"/>
      <c r="K1661" s="69"/>
      <c r="L1661" s="120"/>
      <c r="M1661" s="116"/>
      <c r="N1661" s="220"/>
    </row>
    <row r="1662" spans="2:14" ht="15" x14ac:dyDescent="0.25">
      <c r="B1662" s="65"/>
      <c r="C1662" s="78"/>
      <c r="D1662" s="109"/>
      <c r="E1662" s="68"/>
      <c r="F1662" s="77"/>
      <c r="G1662" s="312"/>
      <c r="H1662" s="313"/>
      <c r="I1662" s="314"/>
      <c r="J1662" s="353"/>
      <c r="K1662" s="69"/>
      <c r="L1662" s="319"/>
      <c r="M1662" s="116"/>
      <c r="N1662" s="320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2"/>
      <c r="K1663" s="69"/>
      <c r="L1663" s="120"/>
      <c r="M1663" s="116"/>
      <c r="N1663" s="220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2"/>
      <c r="K1664" s="69"/>
      <c r="L1664" s="120"/>
      <c r="M1664" s="116"/>
      <c r="N1664" s="220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2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ht="15" x14ac:dyDescent="0.25">
      <c r="B1671" s="65"/>
      <c r="C1671" s="78"/>
      <c r="D1671" s="109"/>
      <c r="E1671" s="68"/>
      <c r="F1671" s="77"/>
      <c r="G1671" s="312"/>
      <c r="H1671" s="313"/>
      <c r="I1671" s="314"/>
      <c r="J1671" s="353"/>
      <c r="K1671" s="69"/>
      <c r="L1671" s="319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79"/>
      <c r="L1672" s="120"/>
      <c r="M1672" s="115"/>
      <c r="N1672" s="2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69"/>
      <c r="L1673" s="118"/>
      <c r="M1673" s="116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114"/>
      <c r="L1675" s="118"/>
      <c r="M1675" s="117"/>
      <c r="N1675" s="321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1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2"/>
      <c r="K1683" s="69"/>
      <c r="L1683" s="319"/>
      <c r="M1683" s="116"/>
      <c r="N1683" s="320"/>
    </row>
    <row r="1684" spans="2:14" ht="15" x14ac:dyDescent="0.25">
      <c r="B1684" s="91"/>
      <c r="C1684" s="78"/>
      <c r="D1684" s="109"/>
      <c r="E1684" s="68"/>
      <c r="F1684" s="77"/>
      <c r="G1684" s="312"/>
      <c r="H1684" s="313"/>
      <c r="I1684" s="314"/>
      <c r="J1684" s="353"/>
      <c r="K1684" s="69"/>
      <c r="L1684" s="319"/>
      <c r="M1684" s="116"/>
      <c r="N1684" s="320"/>
    </row>
    <row r="1685" spans="2:14" ht="15" x14ac:dyDescent="0.25">
      <c r="B1685" s="91"/>
      <c r="C1685" s="78"/>
      <c r="D1685" s="109"/>
      <c r="E1685" s="68"/>
      <c r="F1685" s="77"/>
      <c r="G1685" s="312"/>
      <c r="H1685" s="313"/>
      <c r="I1685" s="314"/>
      <c r="J1685" s="353"/>
      <c r="K1685" s="69"/>
      <c r="L1685" s="319"/>
      <c r="M1685" s="116"/>
      <c r="N1685" s="320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2"/>
      <c r="K1686" s="69"/>
      <c r="L1686" s="118"/>
      <c r="M1686" s="116"/>
      <c r="N1686" s="321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2"/>
      <c r="K1687" s="69"/>
      <c r="L1687" s="118"/>
      <c r="M1687" s="116"/>
      <c r="N1687" s="320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2"/>
      <c r="K1688" s="69"/>
      <c r="L1688" s="118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319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319"/>
      <c r="M1690" s="116"/>
      <c r="N1690" s="320"/>
    </row>
    <row r="1691" spans="2:14" ht="15" x14ac:dyDescent="0.2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217"/>
      <c r="M1691" s="116"/>
      <c r="N1691" s="320"/>
    </row>
    <row r="1692" spans="2:14" ht="15" x14ac:dyDescent="0.25">
      <c r="B1692" s="65"/>
      <c r="C1692" s="78"/>
      <c r="D1692" s="109"/>
      <c r="E1692" s="68"/>
      <c r="F1692" s="77"/>
      <c r="G1692" s="312"/>
      <c r="H1692" s="313"/>
      <c r="I1692" s="314"/>
      <c r="J1692" s="353"/>
      <c r="K1692" s="69"/>
      <c r="L1692" s="217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91"/>
      <c r="C1698" s="78"/>
      <c r="D1698" s="100"/>
      <c r="E1698" s="101"/>
      <c r="F1698" s="77"/>
      <c r="G1698" s="312"/>
      <c r="H1698" s="322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78"/>
      <c r="D1702" s="100"/>
      <c r="E1702" s="101"/>
      <c r="F1702" s="77"/>
      <c r="G1702" s="312"/>
      <c r="H1702" s="322"/>
      <c r="I1702" s="314"/>
      <c r="J1702" s="353"/>
      <c r="K1702" s="69"/>
      <c r="L1702" s="84"/>
      <c r="M1702" s="82"/>
      <c r="N1702" s="320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2"/>
      <c r="K1703" s="69"/>
      <c r="L1703" s="84"/>
      <c r="M1703" s="82"/>
      <c r="N1703" s="320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2"/>
      <c r="K1704" s="69"/>
      <c r="L1704" s="84"/>
      <c r="M1704" s="82"/>
      <c r="N1704" s="320"/>
    </row>
    <row r="1705" spans="2:14" ht="15" x14ac:dyDescent="0.25">
      <c r="B1705" s="65"/>
      <c r="C1705" s="78"/>
      <c r="D1705" s="100"/>
      <c r="E1705" s="101"/>
      <c r="F1705" s="77"/>
      <c r="G1705" s="312"/>
      <c r="H1705" s="322"/>
      <c r="I1705" s="314"/>
      <c r="J1705" s="353"/>
      <c r="K1705" s="69"/>
      <c r="L1705" s="84"/>
      <c r="M1705" s="82"/>
      <c r="N1705" s="320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2"/>
      <c r="K1707" s="69"/>
      <c r="L1707" s="84"/>
      <c r="M1707" s="82"/>
      <c r="N1707" s="320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2"/>
      <c r="K1708" s="69"/>
      <c r="L1708" s="323"/>
      <c r="M1708" s="82"/>
      <c r="N1708" s="320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0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ht="15" x14ac:dyDescent="0.25">
      <c r="B1712" s="65"/>
      <c r="C1712" s="78"/>
      <c r="D1712" s="100"/>
      <c r="E1712" s="101"/>
      <c r="F1712" s="77"/>
      <c r="G1712" s="312"/>
      <c r="H1712" s="322"/>
      <c r="I1712" s="314"/>
      <c r="J1712" s="353"/>
      <c r="K1712" s="69"/>
      <c r="L1712" s="323"/>
      <c r="M1712" s="82"/>
      <c r="N1712" s="324"/>
    </row>
    <row r="1713" spans="2:14" ht="15" x14ac:dyDescent="0.25">
      <c r="B1713" s="65"/>
      <c r="C1713" s="78"/>
      <c r="D1713" s="100"/>
      <c r="E1713" s="101"/>
      <c r="F1713" s="77"/>
      <c r="G1713" s="312"/>
      <c r="H1713" s="322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78"/>
      <c r="D1720" s="100"/>
      <c r="E1720" s="101"/>
      <c r="F1720" s="77"/>
      <c r="G1720" s="312"/>
      <c r="H1720" s="322"/>
      <c r="I1720" s="107"/>
      <c r="J1720" s="352"/>
      <c r="K1720" s="69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70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84"/>
      <c r="M1723" s="82"/>
      <c r="N1723" s="324"/>
    </row>
    <row r="1724" spans="2:14" ht="15" x14ac:dyDescent="0.25">
      <c r="B1724" s="91"/>
      <c r="C1724" s="78"/>
      <c r="D1724" s="100"/>
      <c r="E1724" s="101"/>
      <c r="F1724" s="68"/>
      <c r="G1724" s="312"/>
      <c r="H1724" s="322"/>
      <c r="I1724" s="107"/>
      <c r="J1724" s="352"/>
      <c r="K1724" s="69"/>
      <c r="L1724" s="84"/>
      <c r="M1724" s="82"/>
      <c r="N1724" s="324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2"/>
      <c r="K1725" s="69"/>
      <c r="L1725" s="323"/>
      <c r="M1725" s="82"/>
      <c r="N1725" s="324"/>
    </row>
    <row r="1726" spans="2:14" ht="15" x14ac:dyDescent="0.25">
      <c r="B1726" s="65"/>
      <c r="C1726" s="78"/>
      <c r="D1726" s="100"/>
      <c r="E1726" s="101"/>
      <c r="F1726" s="77"/>
      <c r="G1726" s="312"/>
      <c r="H1726" s="322"/>
      <c r="I1726" s="314"/>
      <c r="J1726" s="353"/>
      <c r="K1726" s="69"/>
      <c r="L1726" s="323"/>
      <c r="M1726" s="82"/>
      <c r="N1726" s="324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2"/>
      <c r="K1727" s="69"/>
      <c r="L1727" s="84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84"/>
      <c r="M1728" s="82"/>
      <c r="N1728" s="324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323"/>
      <c r="M1729" s="82"/>
      <c r="N1729" s="324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2"/>
      <c r="K1730" s="69"/>
      <c r="L1730" s="323"/>
      <c r="M1730" s="82"/>
      <c r="N1730" s="324"/>
    </row>
    <row r="1731" spans="2:14" x14ac:dyDescent="0.2">
      <c r="B1731" s="65"/>
      <c r="C1731" s="78"/>
      <c r="D1731" s="100"/>
      <c r="E1731" s="101"/>
      <c r="F1731" s="77"/>
      <c r="G1731" s="312"/>
      <c r="H1731" s="322"/>
      <c r="I1731" s="325"/>
      <c r="J1731" s="355"/>
      <c r="K1731" s="69"/>
      <c r="L1731" s="84"/>
      <c r="M1731" s="82"/>
      <c r="N1731" s="324"/>
    </row>
    <row r="1732" spans="2:14" x14ac:dyDescent="0.2">
      <c r="B1732" s="65"/>
      <c r="C1732" s="78"/>
      <c r="D1732" s="100"/>
      <c r="E1732" s="101"/>
      <c r="F1732" s="77"/>
      <c r="G1732" s="312"/>
      <c r="H1732" s="322"/>
      <c r="I1732" s="325"/>
      <c r="J1732" s="355"/>
      <c r="K1732" s="69"/>
      <c r="L1732" s="84"/>
      <c r="M1732" s="82"/>
      <c r="N1732" s="324"/>
    </row>
    <row r="1733" spans="2:14" ht="15" x14ac:dyDescent="0.25">
      <c r="B1733" s="65"/>
      <c r="C1733" s="78"/>
      <c r="D1733" s="100"/>
      <c r="E1733" s="101"/>
      <c r="F1733" s="77"/>
      <c r="G1733" s="312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100"/>
      <c r="E1734" s="102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14"/>
      <c r="J1736" s="353"/>
      <c r="K1736" s="69"/>
      <c r="L1736" s="323"/>
      <c r="M1736" s="82"/>
      <c r="N1736" s="324"/>
    </row>
    <row r="1737" spans="2:14" ht="15" x14ac:dyDescent="0.25">
      <c r="B1737" s="65"/>
      <c r="C1737" s="78"/>
      <c r="D1737" s="97"/>
      <c r="E1737" s="67"/>
      <c r="F1737" s="77"/>
      <c r="G1737" s="326"/>
      <c r="H1737" s="322"/>
      <c r="I1737" s="327"/>
      <c r="J1737" s="356"/>
      <c r="K1737" s="69"/>
      <c r="L1737" s="323"/>
      <c r="M1737" s="82"/>
      <c r="N1737" s="324"/>
    </row>
    <row r="1738" spans="2:14" ht="15" x14ac:dyDescent="0.25">
      <c r="B1738" s="65"/>
      <c r="C1738" s="78"/>
      <c r="D1738" s="97"/>
      <c r="E1738" s="67"/>
      <c r="F1738" s="77"/>
      <c r="G1738" s="326"/>
      <c r="H1738" s="322"/>
      <c r="I1738" s="327"/>
      <c r="J1738" s="356"/>
      <c r="K1738" s="69"/>
      <c r="L1738" s="323"/>
      <c r="M1738" s="82"/>
      <c r="N1738" s="324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7"/>
      <c r="K1739" s="80"/>
      <c r="L1739" s="84"/>
      <c r="M1739" s="82"/>
      <c r="N1739" s="328"/>
    </row>
    <row r="1740" spans="2:14" ht="15" x14ac:dyDescent="0.25">
      <c r="B1740" s="65"/>
      <c r="C1740" s="78"/>
      <c r="D1740" s="90"/>
      <c r="E1740" s="67"/>
      <c r="F1740" s="77"/>
      <c r="G1740" s="329"/>
      <c r="H1740" s="322"/>
      <c r="I1740" s="327"/>
      <c r="J1740" s="356"/>
      <c r="K1740" s="69"/>
      <c r="L1740" s="323"/>
      <c r="M1740" s="82"/>
      <c r="N1740" s="328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8"/>
      <c r="K1741" s="80"/>
      <c r="L1741" s="84"/>
      <c r="M1741" s="82"/>
      <c r="N1741" s="328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8"/>
      <c r="K1742" s="69"/>
      <c r="L1742" s="84"/>
      <c r="M1742" s="82"/>
      <c r="N1742" s="328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7"/>
      <c r="K1743" s="69"/>
      <c r="L1743" s="84"/>
      <c r="M1743" s="82"/>
      <c r="N1743" s="328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7"/>
      <c r="K1744" s="69"/>
      <c r="L1744" s="84"/>
      <c r="M1744" s="82"/>
      <c r="N1744" s="328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8"/>
      <c r="K1745" s="80"/>
      <c r="L1745" s="84"/>
      <c r="M1745" s="82"/>
      <c r="N1745" s="328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8"/>
      <c r="K1746" s="69"/>
      <c r="L1746" s="84"/>
      <c r="M1746" s="82"/>
      <c r="N1746" s="328"/>
    </row>
    <row r="1747" spans="2:14" ht="15" x14ac:dyDescent="0.25">
      <c r="B1747" s="91"/>
      <c r="C1747" s="78"/>
      <c r="D1747" s="90"/>
      <c r="E1747" s="67"/>
      <c r="F1747" s="77"/>
      <c r="G1747" s="329"/>
      <c r="H1747" s="322"/>
      <c r="I1747" s="327"/>
      <c r="J1747" s="356"/>
      <c r="K1747" s="69"/>
      <c r="L1747" s="84"/>
      <c r="M1747" s="82"/>
      <c r="N1747" s="328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7"/>
      <c r="K1748" s="69"/>
      <c r="L1748" s="84"/>
      <c r="M1748" s="82"/>
      <c r="N1748" s="328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8"/>
      <c r="K1749" s="69"/>
      <c r="L1749" s="84"/>
      <c r="M1749" s="82"/>
      <c r="N1749" s="328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80"/>
      <c r="L1750" s="84"/>
      <c r="M1750" s="82"/>
      <c r="N1750" s="328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7"/>
      <c r="K1751" s="69"/>
      <c r="L1751" s="84"/>
      <c r="M1751" s="82"/>
      <c r="N1751" s="324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8"/>
      <c r="K1752" s="69"/>
      <c r="L1752" s="323"/>
      <c r="M1752" s="82"/>
      <c r="N1752" s="324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8"/>
      <c r="K1753" s="69"/>
      <c r="L1753" s="84"/>
      <c r="M1753" s="82"/>
      <c r="N1753" s="324"/>
    </row>
    <row r="1754" spans="2:14" ht="15" x14ac:dyDescent="0.25">
      <c r="B1754" s="65"/>
      <c r="C1754" s="78"/>
      <c r="D1754" s="90"/>
      <c r="E1754" s="67"/>
      <c r="F1754" s="77"/>
      <c r="G1754" s="329"/>
      <c r="H1754" s="322"/>
      <c r="I1754" s="327"/>
      <c r="J1754" s="356"/>
      <c r="K1754" s="69"/>
      <c r="L1754" s="323"/>
      <c r="M1754" s="82"/>
      <c r="N1754" s="324"/>
    </row>
    <row r="1755" spans="2:14" ht="15" x14ac:dyDescent="0.25">
      <c r="B1755" s="37"/>
      <c r="C1755" s="52"/>
      <c r="D1755" s="24"/>
      <c r="E1755" s="25"/>
      <c r="F1755" s="26"/>
      <c r="G1755" s="26"/>
      <c r="H1755" s="330"/>
      <c r="I1755" s="41"/>
      <c r="J1755" s="359"/>
      <c r="K1755" s="27"/>
      <c r="L1755" s="331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0"/>
      <c r="C1760" s="52"/>
      <c r="D1760" s="24"/>
      <c r="E1760" s="25"/>
      <c r="F1760" s="26"/>
      <c r="G1760" s="26"/>
      <c r="H1760" s="330"/>
      <c r="I1760" s="41"/>
      <c r="J1760" s="359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32"/>
    </row>
    <row r="1762" spans="2:14" ht="15" x14ac:dyDescent="0.2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32"/>
    </row>
    <row r="1763" spans="2:14" ht="15" x14ac:dyDescent="0.25">
      <c r="B1763" s="37"/>
      <c r="C1763" s="5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6"/>
      <c r="H1764" s="333"/>
      <c r="I1764" s="334"/>
      <c r="J1764" s="360"/>
      <c r="K1764" s="27"/>
      <c r="L1764" s="331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1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30"/>
      <c r="I1775" s="42"/>
      <c r="J1775" s="361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30"/>
      <c r="I1776" s="41"/>
      <c r="J1776" s="359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30"/>
      <c r="I1779" s="41"/>
      <c r="J1779" s="359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6"/>
      <c r="H1782" s="333"/>
      <c r="I1782" s="334"/>
      <c r="J1782" s="360"/>
      <c r="K1782" s="27"/>
      <c r="L1782" s="331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30"/>
      <c r="I1785" s="41"/>
      <c r="J1785" s="359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6"/>
      <c r="H1788" s="333"/>
      <c r="I1788" s="334"/>
      <c r="J1788" s="360"/>
      <c r="K1788" s="27"/>
      <c r="L1788" s="331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30"/>
      <c r="I1789" s="41"/>
      <c r="J1789" s="359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30"/>
      <c r="I1790" s="41"/>
      <c r="J1790" s="359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6"/>
      <c r="H1791" s="333"/>
      <c r="I1791" s="334"/>
      <c r="J1791" s="360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30"/>
      <c r="I1792" s="41"/>
      <c r="J1792" s="359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30"/>
      <c r="I1793" s="42"/>
      <c r="J1793" s="361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30"/>
      <c r="I1794" s="41"/>
      <c r="J1794" s="359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30"/>
      <c r="I1795" s="41"/>
      <c r="J1795" s="359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6"/>
      <c r="H1797" s="333"/>
      <c r="I1797" s="334"/>
      <c r="J1797" s="360"/>
      <c r="K1797" s="27"/>
      <c r="L1797" s="331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30"/>
      <c r="I1798" s="42"/>
      <c r="J1798" s="361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6"/>
      <c r="H1799" s="333"/>
      <c r="I1799" s="335"/>
      <c r="J1799" s="362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30"/>
      <c r="I1800" s="42"/>
      <c r="J1800" s="361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30"/>
      <c r="I1801" s="335"/>
      <c r="J1801" s="362"/>
      <c r="K1801" s="36"/>
      <c r="L1801" s="331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30"/>
      <c r="I1802" s="41"/>
      <c r="J1802" s="359"/>
      <c r="K1802" s="27"/>
      <c r="L1802" s="331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30"/>
      <c r="I1803" s="41"/>
      <c r="J1803" s="359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30"/>
      <c r="I1804" s="334"/>
      <c r="J1804" s="360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30"/>
      <c r="I1808" s="41"/>
      <c r="J1808" s="359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6"/>
      <c r="H1812" s="333"/>
      <c r="I1812" s="334"/>
      <c r="J1812" s="360"/>
      <c r="K1812" s="27"/>
      <c r="L1812" s="331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30"/>
      <c r="I1815" s="41"/>
      <c r="J1815" s="359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6"/>
      <c r="H1820" s="333"/>
      <c r="I1820" s="334"/>
      <c r="J1820" s="360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30"/>
      <c r="I1822" s="41"/>
      <c r="J1822" s="359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30"/>
      <c r="I1823" s="41"/>
      <c r="J1823" s="359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30"/>
      <c r="I1824" s="42"/>
      <c r="J1824" s="361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30"/>
      <c r="I1828" s="41"/>
      <c r="J1828" s="359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30"/>
      <c r="I1829" s="42"/>
      <c r="J1829" s="361"/>
      <c r="K1829" s="36"/>
      <c r="L1829" s="331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30"/>
      <c r="I1830" s="41"/>
      <c r="J1830" s="359"/>
      <c r="K1830" s="27"/>
      <c r="L1830" s="331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30"/>
      <c r="I1831" s="41"/>
      <c r="J1831" s="359"/>
      <c r="K1831" s="27"/>
      <c r="L1831" s="331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6"/>
      <c r="H1832" s="333"/>
      <c r="I1832" s="335"/>
      <c r="J1832" s="362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6"/>
      <c r="H1833" s="333"/>
      <c r="I1833" s="334"/>
      <c r="J1833" s="360"/>
      <c r="K1833" s="27"/>
      <c r="L1833" s="331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6"/>
      <c r="H1834" s="333"/>
      <c r="I1834" s="334"/>
      <c r="J1834" s="360"/>
      <c r="K1834" s="27"/>
      <c r="L1834" s="331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30"/>
      <c r="I1835" s="41"/>
      <c r="J1835" s="359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6"/>
      <c r="H1836" s="333"/>
      <c r="I1836" s="335"/>
      <c r="J1836" s="362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ht="15" x14ac:dyDescent="0.25">
      <c r="B1841" s="37"/>
      <c r="D1841" s="24"/>
      <c r="E1841" s="25"/>
      <c r="F1841" s="26"/>
      <c r="G1841" s="326"/>
      <c r="H1841" s="333"/>
      <c r="I1841" s="334"/>
      <c r="J1841" s="360"/>
      <c r="K1841" s="27"/>
      <c r="L1841" s="331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30"/>
      <c r="I1842" s="41"/>
      <c r="J1842" s="359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30"/>
      <c r="I1843" s="41"/>
      <c r="J1843" s="359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6"/>
      <c r="H1844" s="333"/>
      <c r="I1844" s="334"/>
      <c r="J1844" s="360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30"/>
      <c r="I1845" s="42"/>
      <c r="J1845" s="361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30"/>
      <c r="I1846" s="42"/>
      <c r="J1846" s="361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30"/>
      <c r="I1847" s="42"/>
      <c r="J1847" s="361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30"/>
      <c r="I1848" s="41"/>
      <c r="J1848" s="359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30"/>
      <c r="I1849" s="42"/>
      <c r="J1849" s="361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6"/>
      <c r="H1850" s="333"/>
      <c r="I1850" s="334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30"/>
      <c r="I1852" s="335"/>
      <c r="J1852" s="362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30"/>
      <c r="I1853" s="41"/>
      <c r="J1853" s="359"/>
      <c r="K1853" s="27"/>
      <c r="L1853" s="331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30"/>
      <c r="I1854" s="41"/>
      <c r="J1854" s="359"/>
      <c r="K1854" s="27"/>
      <c r="L1854" s="331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30"/>
      <c r="I1855" s="42"/>
      <c r="J1855" s="361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30"/>
      <c r="I1856" s="42"/>
      <c r="J1856" s="361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6"/>
      <c r="H1859" s="333"/>
      <c r="I1859" s="334"/>
      <c r="J1859" s="360"/>
      <c r="K1859" s="27"/>
      <c r="L1859" s="331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30"/>
      <c r="I1860" s="41"/>
      <c r="J1860" s="359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30"/>
      <c r="I1861" s="41"/>
      <c r="J1861" s="359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6"/>
      <c r="H1864" s="333"/>
      <c r="I1864" s="334"/>
      <c r="J1864" s="360"/>
      <c r="K1864" s="27"/>
      <c r="L1864" s="331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30"/>
      <c r="I1867" s="42"/>
      <c r="J1867" s="361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30"/>
      <c r="I1868" s="41"/>
      <c r="J1868" s="359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9:E1178 E7:E47">
    <cfRule type="cellIs" dxfId="30" priority="170" operator="greaterThan">
      <formula>7</formula>
    </cfRule>
  </conditionalFormatting>
  <conditionalFormatting sqref="E1488:E4766">
    <cfRule type="cellIs" dxfId="29" priority="137" operator="greaterThan">
      <formula>7</formula>
    </cfRule>
  </conditionalFormatting>
  <conditionalFormatting sqref="I49:I1250 G49:G51 I7:I47">
    <cfRule type="cellIs" dxfId="2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27" priority="297711" operator="greaterThan">
      <formula>$H$48</formula>
    </cfRule>
  </conditionalFormatting>
  <conditionalFormatting sqref="L7:L1250">
    <cfRule type="top10" dxfId="2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112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113</v>
      </c>
      <c r="E2" s="371"/>
      <c r="F2" s="371"/>
      <c r="G2" s="371"/>
      <c r="H2" s="371"/>
      <c r="I2" s="371"/>
      <c r="J2" s="371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117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6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9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2025-11-11T06:59:03Z</cp:lastPrinted>
  <dcterms:created xsi:type="dcterms:W3CDTF">2021-05-05T13:25:05Z</dcterms:created>
  <dcterms:modified xsi:type="dcterms:W3CDTF">2025-11-11T06:59:34Z</dcterms:modified>
</cp:coreProperties>
</file>