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3D8F8E43-90A8-49FB-B7FB-1E130F6A6C9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H8" i="1"/>
  <c r="M8" i="1"/>
  <c r="O8" i="1"/>
  <c r="Q8" i="1" s="1"/>
  <c r="T8" i="1"/>
  <c r="H9" i="1"/>
  <c r="M9" i="1"/>
  <c r="O9" i="1"/>
  <c r="Q9" i="1" s="1"/>
  <c r="T9" i="1"/>
  <c r="H10" i="1"/>
  <c r="M10" i="1"/>
  <c r="O10" i="1"/>
  <c r="Q10" i="1" s="1"/>
  <c r="T10" i="1"/>
  <c r="H11" i="1"/>
  <c r="M11" i="1"/>
  <c r="O11" i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 s="1"/>
  <c r="T14" i="1"/>
  <c r="H15" i="1"/>
  <c r="M15" i="1"/>
  <c r="O15" i="1"/>
  <c r="Q15" i="1" s="1"/>
  <c r="T15" i="1"/>
  <c r="H16" i="1"/>
  <c r="M16" i="1"/>
  <c r="O16" i="1"/>
  <c r="Q16" i="1" s="1"/>
  <c r="T16" i="1"/>
  <c r="H17" i="1"/>
  <c r="M17" i="1"/>
  <c r="O17" i="1"/>
  <c r="T17" i="1"/>
  <c r="H18" i="1"/>
  <c r="M18" i="1"/>
  <c r="O18" i="1"/>
  <c r="Q18" i="1" s="1"/>
  <c r="T18" i="1"/>
  <c r="H19" i="1"/>
  <c r="M19" i="1"/>
  <c r="O19" i="1"/>
  <c r="Q19" i="1" s="1"/>
  <c r="T19" i="1"/>
  <c r="H20" i="1"/>
  <c r="M20" i="1"/>
  <c r="O20" i="1"/>
  <c r="Q20" i="1" s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 s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 s="1"/>
  <c r="T26" i="1"/>
  <c r="H27" i="1"/>
  <c r="M27" i="1"/>
  <c r="O27" i="1"/>
  <c r="Q27" i="1"/>
  <c r="T27" i="1"/>
  <c r="G28" i="1"/>
  <c r="I11" i="1" s="1"/>
  <c r="J11" i="1" s="1"/>
  <c r="F28" i="1"/>
  <c r="E28" i="1"/>
  <c r="G11" i="6"/>
  <c r="F11" i="6"/>
  <c r="E11" i="6"/>
  <c r="T7" i="1"/>
  <c r="O7" i="1"/>
  <c r="Q7" i="1" s="1"/>
  <c r="M7" i="1"/>
  <c r="H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P45" i="1" s="1"/>
  <c r="P3" i="6"/>
  <c r="T46" i="1"/>
  <c r="T47" i="1"/>
  <c r="T48" i="1"/>
  <c r="O46" i="1"/>
  <c r="Q46" i="1" s="1"/>
  <c r="O47" i="1"/>
  <c r="Q47" i="1" s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H11" i="3"/>
  <c r="AP6" i="3"/>
  <c r="E12" i="3"/>
  <c r="D12" i="3"/>
  <c r="E13" i="3"/>
  <c r="Q21" i="1" l="1"/>
  <c r="Q17" i="1"/>
  <c r="I20" i="1"/>
  <c r="I16" i="1"/>
  <c r="P11" i="1"/>
  <c r="L11" i="1" s="1"/>
  <c r="I24" i="1"/>
  <c r="I27" i="1"/>
  <c r="J27" i="1" s="1"/>
  <c r="I26" i="1"/>
  <c r="J26" i="1" s="1"/>
  <c r="I25" i="1"/>
  <c r="I22" i="1"/>
  <c r="J22" i="1" s="1"/>
  <c r="I21" i="1"/>
  <c r="I18" i="1"/>
  <c r="J18" i="1" s="1"/>
  <c r="I17" i="1"/>
  <c r="I14" i="1"/>
  <c r="J14" i="1" s="1"/>
  <c r="I12" i="1"/>
  <c r="I23" i="1"/>
  <c r="J23" i="1" s="1"/>
  <c r="I19" i="1"/>
  <c r="J19" i="1" s="1"/>
  <c r="I15" i="1"/>
  <c r="J15" i="1" s="1"/>
  <c r="I13" i="1"/>
  <c r="I10" i="1"/>
  <c r="J10" i="1" s="1"/>
  <c r="I9" i="1"/>
  <c r="I8" i="1"/>
  <c r="Q11" i="1"/>
  <c r="I7" i="1"/>
  <c r="P44" i="1"/>
  <c r="P40" i="1"/>
  <c r="P36" i="1"/>
  <c r="P41" i="1"/>
  <c r="H28" i="1"/>
  <c r="U13" i="1" s="1"/>
  <c r="Q45" i="1"/>
  <c r="P37" i="1"/>
  <c r="P33" i="1"/>
  <c r="P29" i="1"/>
  <c r="P32" i="1"/>
  <c r="P28" i="1"/>
  <c r="U28" i="1"/>
  <c r="U32" i="1"/>
  <c r="U36" i="1"/>
  <c r="U40" i="1"/>
  <c r="U44" i="1"/>
  <c r="U29" i="1"/>
  <c r="U33" i="1"/>
  <c r="U37" i="1"/>
  <c r="U41" i="1"/>
  <c r="U45" i="1"/>
  <c r="U30" i="1"/>
  <c r="U34" i="1"/>
  <c r="U38" i="1"/>
  <c r="U42" i="1"/>
  <c r="U31" i="1"/>
  <c r="U35" i="1"/>
  <c r="U39" i="1"/>
  <c r="U43" i="1"/>
  <c r="P43" i="1"/>
  <c r="P39" i="1"/>
  <c r="P35" i="1"/>
  <c r="P31" i="1"/>
  <c r="P42" i="1"/>
  <c r="P38" i="1"/>
  <c r="P34" i="1"/>
  <c r="P30" i="1"/>
  <c r="U48" i="1"/>
  <c r="U46" i="1"/>
  <c r="U47" i="1"/>
  <c r="P48" i="1"/>
  <c r="P47" i="1"/>
  <c r="P46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M11" i="6" l="1"/>
  <c r="U9" i="1"/>
  <c r="U14" i="1"/>
  <c r="U25" i="1"/>
  <c r="U16" i="1"/>
  <c r="U8" i="1"/>
  <c r="U21" i="1"/>
  <c r="P10" i="1"/>
  <c r="L10" i="1" s="1"/>
  <c r="U18" i="1"/>
  <c r="U12" i="1"/>
  <c r="U27" i="1"/>
  <c r="U19" i="1"/>
  <c r="U20" i="1"/>
  <c r="U17" i="1"/>
  <c r="P26" i="1"/>
  <c r="L26" i="1" s="1"/>
  <c r="U22" i="1"/>
  <c r="U11" i="1"/>
  <c r="U15" i="1"/>
  <c r="U24" i="1"/>
  <c r="P18" i="1"/>
  <c r="L18" i="1" s="1"/>
  <c r="U10" i="1"/>
  <c r="U26" i="1"/>
  <c r="U23" i="1"/>
  <c r="J7" i="1"/>
  <c r="I28" i="1"/>
  <c r="P15" i="1"/>
  <c r="L15" i="1" s="1"/>
  <c r="P14" i="1"/>
  <c r="L14" i="1" s="1"/>
  <c r="P22" i="1"/>
  <c r="L22" i="1" s="1"/>
  <c r="P19" i="1"/>
  <c r="L19" i="1" s="1"/>
  <c r="P23" i="1"/>
  <c r="L23" i="1" s="1"/>
  <c r="P27" i="1"/>
  <c r="L27" i="1" s="1"/>
  <c r="P7" i="1"/>
  <c r="L7" i="1" s="1"/>
  <c r="P17" i="1"/>
  <c r="L17" i="1" s="1"/>
  <c r="J17" i="1"/>
  <c r="P25" i="1"/>
  <c r="L25" i="1" s="1"/>
  <c r="J25" i="1"/>
  <c r="N22" i="1"/>
  <c r="P13" i="1"/>
  <c r="L13" i="1" s="1"/>
  <c r="J13" i="1"/>
  <c r="J24" i="1"/>
  <c r="P24" i="1"/>
  <c r="L24" i="1" s="1"/>
  <c r="J16" i="1"/>
  <c r="P16" i="1"/>
  <c r="L16" i="1" s="1"/>
  <c r="J8" i="1"/>
  <c r="P8" i="1"/>
  <c r="L8" i="1" s="1"/>
  <c r="N20" i="1" s="1"/>
  <c r="J12" i="1"/>
  <c r="P12" i="1"/>
  <c r="L12" i="1" s="1"/>
  <c r="P21" i="1"/>
  <c r="L21" i="1" s="1"/>
  <c r="J21" i="1"/>
  <c r="J20" i="1"/>
  <c r="P20" i="1"/>
  <c r="L20" i="1" s="1"/>
  <c r="N26" i="1"/>
  <c r="N7" i="1"/>
  <c r="N12" i="1"/>
  <c r="N13" i="1"/>
  <c r="P9" i="1"/>
  <c r="L9" i="1" s="1"/>
  <c r="J9" i="1"/>
  <c r="N11" i="1"/>
  <c r="N18" i="1"/>
  <c r="U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8" i="1" l="1"/>
  <c r="N14" i="1"/>
  <c r="N24" i="1"/>
  <c r="N25" i="1"/>
  <c r="N10" i="1"/>
  <c r="N21" i="1"/>
  <c r="N23" i="1"/>
  <c r="N17" i="1"/>
  <c r="N27" i="1"/>
  <c r="N19" i="1"/>
  <c r="N9" i="1"/>
  <c r="N8" i="1"/>
  <c r="R9" i="1"/>
  <c r="S9" i="1" s="1"/>
  <c r="R10" i="1"/>
  <c r="S10" i="1" s="1"/>
  <c r="R11" i="1"/>
  <c r="S11" i="1" s="1"/>
  <c r="R13" i="1"/>
  <c r="S13" i="1" s="1"/>
  <c r="R12" i="1"/>
  <c r="S12" i="1" s="1"/>
  <c r="R14" i="1"/>
  <c r="S14" i="1" s="1"/>
  <c r="R15" i="1"/>
  <c r="S15" i="1" s="1"/>
  <c r="R17" i="1"/>
  <c r="S17" i="1" s="1"/>
  <c r="R18" i="1"/>
  <c r="S18" i="1" s="1"/>
  <c r="R19" i="1"/>
  <c r="S19" i="1" s="1"/>
  <c r="R21" i="1"/>
  <c r="S21" i="1" s="1"/>
  <c r="R22" i="1"/>
  <c r="S22" i="1" s="1"/>
  <c r="R23" i="1"/>
  <c r="S23" i="1" s="1"/>
  <c r="R25" i="1"/>
  <c r="S25" i="1" s="1"/>
  <c r="R24" i="1"/>
  <c r="S24" i="1" s="1"/>
  <c r="R26" i="1"/>
  <c r="S26" i="1" s="1"/>
  <c r="R27" i="1"/>
  <c r="S27" i="1" s="1"/>
  <c r="R8" i="1"/>
  <c r="S8" i="1" s="1"/>
  <c r="R16" i="1"/>
  <c r="S16" i="1" s="1"/>
  <c r="R20" i="1"/>
  <c r="S20" i="1" s="1"/>
  <c r="N16" i="1"/>
  <c r="N15" i="1"/>
  <c r="R7" i="1"/>
  <c r="S7" i="1" s="1"/>
  <c r="R30" i="1"/>
  <c r="S30" i="1" s="1"/>
  <c r="R34" i="1"/>
  <c r="S34" i="1" s="1"/>
  <c r="R38" i="1"/>
  <c r="S38" i="1" s="1"/>
  <c r="R42" i="1"/>
  <c r="S42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  <c r="N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<sst xmlns="http://schemas.openxmlformats.org/spreadsheetml/2006/main" count="266" uniqueCount="174">
  <si>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</si>
  <si>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</si>
  <si>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</si>
  <si>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</si>
  <si>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</si>
  <si>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</si>
  <si>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</si>
  <si>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</si>
  <si>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</si>
  <si>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</si>
  <si>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</si>
  <si>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</si>
  <si>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</si>
  <si>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</si>
  <si>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</si>
  <si>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</si>
  <si>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</si>
  <si>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</si>
  <si>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</si>
  <si>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</si>
  <si>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</si>
  <si>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</si>
  <si>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</si>
  <si>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</si>
  <si>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</si>
  <si>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</si>
  <si>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</si>
  <si>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</si>
  <si>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</si>
  <si>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</si>
  <si>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</si>
  <si>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</si>
  <si>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</si>
  <si>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</si>
  <si>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</si>
  <si>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</si>
  <si>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</si>
  <si>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</si>
  <si>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</si>
  <si>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</si>
  <si>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</si>
  <si>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</si>
  <si>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</si>
  <si>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</si>
  <si>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</si>
  <si>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</si>
  <si>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</si>
  <si>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</si>
  <si>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</si>
  <si>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</si>
  <si>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</si>
  <si>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</si>
  <si>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</si>
  <si>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</si>
  <si>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</si>
  <si>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</si>
  <si>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</si>
  <si>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</si>
  <si>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</si>
  <si>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</si>
  <si>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</si>
  <si>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</si>
  <si>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</si>
  <si>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</si>
  <si>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</si>
  <si>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</si>
  <si>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</si>
  <si>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</si>
  <si>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</si>
  <si>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</si>
  <si>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</si>
  <si>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</si>
  <si>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</si>
  <si>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</si>
  <si>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</si>
  <si>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</si>
  <si>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</si>
  <si>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</si>
  <si>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</si>
  <si>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</si>
  <si>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</si>
  <si>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</si>
  <si>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</si>
  <si>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</si>
  <si>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</si>
  <si>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</si>
  <si>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</si>
  <si>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</si>
  <si>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</si>
  <si>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</si>
  <si>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</si>
  <si>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</si>
  <si>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</si>
  <si>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</si>
  <si>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</si>
  <si>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</si>
  <si>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</si>
  <si>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</si>
  <si>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</si>
  <si>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</si>
  <si>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</si>
  <si>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</si>
  <si>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</si>
  <si>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</si>
  <si>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</si>
  <si>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</si>
  <si>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</si>
  <si>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</si>
  <si>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</si>
  <si>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</si>
  <si>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</si>
  <si>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</si>
  <si>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</si>
  <si>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</si>
  <si>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</si>
  <si>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</si>
  <si>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</si>
  <si>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</si>
  <si>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</si>
  <si>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</si>
  <si>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</si>
  <si>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</si>
  <si>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</si>
  <si>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</si>
  <si>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</si>
  <si>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</si>
  <si>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</si>
  <si>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</si>
  <si>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</si>
  <si>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</si>
  <si>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</si>
  <si>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</si>
  <si>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</si>
  <si>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</si>
  <si>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</si>
  <si>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</si>
  <si>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</si>
  <si>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</si>
  <si>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</si>
  <si>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</si>
  <si>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</si>
  <si>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</si>
  <si>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</si>
  <si>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</si>
  <si>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</si>
  <si>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</si>
  <si>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</si>
  <si>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</si>
  <si>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</si>
  <si>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JARAMILLO JARAMILLO FRANCISCO WBEIMAR</t>
  </si>
  <si>
    <t>LONDOÑO LOPERA DUVAN ANDRES</t>
  </si>
  <si>
    <t>HINCAPIE VILLA JUAN ESTIVEN</t>
  </si>
  <si>
    <t>DURANGO DAVID JOSE</t>
  </si>
  <si>
    <t>PARRA VILLA YUBER ALONSO</t>
  </si>
  <si>
    <t>LEON PEREZ RAUL ENRIQUE</t>
  </si>
  <si>
    <t>ARAQUE ARROYAVE JOSE ALBEIRO</t>
  </si>
  <si>
    <t>CALLE BOTERO ANDRES CAMILO</t>
  </si>
  <si>
    <t>SALDARRIAGA PARRA LUIS ALBERTO</t>
  </si>
  <si>
    <t>PALACIO ARIAS YORFAN ALEXIS</t>
  </si>
  <si>
    <t>GARCIA DAVID WILSON ALBERTO</t>
  </si>
  <si>
    <t>88XM</t>
  </si>
  <si>
    <t>GONZALEZ IPUANA RENE</t>
  </si>
  <si>
    <t>SUAREZ ESCUDERO JONATAN</t>
  </si>
  <si>
    <t>FLORES RINCON JORGE ALBERTO</t>
  </si>
  <si>
    <t>IBARGUEN GARRIDO JUAN ESTEBAN</t>
  </si>
  <si>
    <t>LOPERA ALVAREZ ESTIVEN</t>
  </si>
  <si>
    <t>GUTIERREZ ARICAPA DANIEL HUMBERTO</t>
  </si>
  <si>
    <t>MARULANDA JARAMILLO DAWER ANDRES</t>
  </si>
  <si>
    <t xml:space="preserve">HERNANDEZ MACIAS GILBERTO </t>
  </si>
  <si>
    <t xml:space="preserve">MACEA ARBELAEZ MATEO </t>
  </si>
  <si>
    <t xml:space="preserve">2 Descuentos (Usuario desubicado y conduct) </t>
  </si>
  <si>
    <t xml:space="preserve">2 Descuentos (Conduct y despachador) </t>
  </si>
  <si>
    <t xml:space="preserve">1 Descuento (Despachador) </t>
  </si>
  <si>
    <t>PROMEDIO X VIAJE 18.4 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</si>
</sst>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0</c:formatCode>
                <c:ptCount val="21"/>
                <c:pt idx="0" formatCode="General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21</c:v>
                </c:pt>
                <c:pt idx="10">
                  <c:v>23</c:v>
                </c:pt>
                <c:pt idx="11">
                  <c:v>27</c:v>
                </c:pt>
                <c:pt idx="12">
                  <c:v>29</c:v>
                </c:pt>
                <c:pt idx="13" formatCode="General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40</c:v>
                </c:pt>
                <c:pt idx="18">
                  <c:v>41</c:v>
                </c:pt>
                <c:pt idx="19">
                  <c:v>42</c:v>
                </c:pt>
                <c:pt idx="20">
                  <c:v>43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16.363636363636363</c:v>
                </c:pt>
                <c:pt idx="1">
                  <c:v>18.899999999999999</c:v>
                </c:pt>
                <c:pt idx="2">
                  <c:v>18.100000000000001</c:v>
                </c:pt>
                <c:pt idx="3">
                  <c:v>13.75</c:v>
                </c:pt>
                <c:pt idx="4">
                  <c:v>20.818181818181817</c:v>
                </c:pt>
                <c:pt idx="5">
                  <c:v>26.125</c:v>
                </c:pt>
                <c:pt idx="6">
                  <c:v>23.25</c:v>
                </c:pt>
                <c:pt idx="7">
                  <c:v>17.8</c:v>
                </c:pt>
                <c:pt idx="8">
                  <c:v>17.166666666666668</c:v>
                </c:pt>
                <c:pt idx="9">
                  <c:v>17.100000000000001</c:v>
                </c:pt>
                <c:pt idx="10">
                  <c:v>19.444444444444443</c:v>
                </c:pt>
                <c:pt idx="11">
                  <c:v>15.8</c:v>
                </c:pt>
                <c:pt idx="12">
                  <c:v>18.444444444444443</c:v>
                </c:pt>
                <c:pt idx="13">
                  <c:v>16.111111111111111</c:v>
                </c:pt>
                <c:pt idx="14">
                  <c:v>16.3</c:v>
                </c:pt>
                <c:pt idx="15">
                  <c:v>22.625</c:v>
                </c:pt>
                <c:pt idx="16">
                  <c:v>18.600000000000001</c:v>
                </c:pt>
                <c:pt idx="17">
                  <c:v>15.636363636363637</c:v>
                </c:pt>
                <c:pt idx="18">
                  <c:v>20.454545454545453</c:v>
                </c:pt>
                <c:pt idx="19">
                  <c:v>16</c:v>
                </c:pt>
                <c:pt idx="20">
                  <c:v>20.444444444444443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51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18.4 USUARIOS" dataDxfId="50" totalsRowDxfId="3"/>
    <tableColumn id="9" xr3:uid="{00000000-0010-0000-0000-000009000000}" name="VALOR OPERACIÓN" dataDxfId="49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8" dataDxfId="47" totalsRowDxfId="46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5" totalsRowDxfId="44"/>
    <tableColumn id="2" xr3:uid="{7E9A4909-E53D-4F94-80A1-A675A394CC57}" name="VEH" totalsRowLabel="4" dataDxfId="43" totalsRowDxfId="42"/>
    <tableColumn id="3" xr3:uid="{32EB6A87-92EF-4CA2-B1E8-104D5D2326F5}" name="CONDUCTOR" totalsRowLabel="Vehs " dataDxfId="41" totalsRowDxfId="40"/>
    <tableColumn id="4" xr3:uid="{72FB169E-4910-4353-AF10-07DA297F0CD5}" name="VIAJES" totalsRowFunction="sum" dataDxfId="39" totalsRowDxfId="38"/>
    <tableColumn id="5" xr3:uid="{F323DE89-3087-4D39-B0ED-15680CB2FE01}" name="VIAJES PERD." totalsRowFunction="sum" dataDxfId="37" totalsRowDxfId="36"/>
    <tableColumn id="6" xr3:uid="{FF87B711-9A02-4FB5-B21F-73198A4385A8}" name="USUARIOS" totalsRowFunction="sum" dataDxfId="35" totalsRowDxfId="34" dataCellStyle="Millares"/>
    <tableColumn id="12" xr3:uid="{60E0DB3A-B7E4-44B6-BB26-D54278C24006}" name="PROM X VIAJE" totalsRowFunction="average" dataDxfId="33" totalsRowDxfId="32" dataCellStyle="Millares"/>
    <tableColumn id="7" xr3:uid="{12134CBA-AEEC-4025-BB5C-89B13D8F91D4}" name="PROM DE USUARIOS" totalsRowFunction="sum" dataDxfId="31" totalsRowDxfId="30" dataCellStyle="Millares"/>
    <tableColumn id="8" xr3:uid="{F35B2CED-DE3E-48D9-8E47-198F9B4F56C9}" name="NOVEDADES" dataDxfId="29" totalsRowDxfId="28"/>
    <tableColumn id="9" xr3:uid="{4BD57B08-79CF-4422-A880-91A289697DC2}" name="VALOR OPERACIÓN" dataDxfId="27" totalsRowDxfId="26" dataCellStyle="Millares"/>
    <tableColumn id="10" xr3:uid="{E8B6C5A5-759D-4901-BD5D-0ADA9540975C}" name="CLASIFIC." dataDxfId="25" totalsRowDxfId="24"/>
    <tableColumn id="11" xr3:uid="{CFA53866-4E21-473F-9C2D-8FB2962BACB5}" name="DIFER. MICRO - BUS " totalsRowFunction="sum" dataDxfId="23" totalsRowDxfId="22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topLeftCell="A3" zoomScaleNormal="100" workbookViewId="0">
      <selection activeCell="D11" sqref="D11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40.12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5" t="s">
        <v>144</v>
      </c>
      <c r="E1" s="365"/>
      <c r="F1" s="365"/>
      <c r="G1" s="365"/>
      <c r="H1" s="365"/>
      <c r="I1" s="19"/>
      <c r="J1" s="338"/>
      <c r="K1" s="195"/>
      <c r="L1"/>
    </row>
    <row r="2" spans="1:32" ht="49.5" thickBot="1" x14ac:dyDescent="0.35">
      <c r="D2" s="366" t="s">
        <v>143</v>
      </c>
      <c r="E2" s="366"/>
      <c r="F2" s="366"/>
      <c r="G2" s="366"/>
      <c r="H2" s="366"/>
      <c r="I2" s="366"/>
      <c r="J2" s="366"/>
      <c r="K2" s="366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8"/>
      <c r="K3" s="195"/>
      <c r="L3" s="197"/>
      <c r="Q3" s="55">
        <f>+SUM(G6:G1839)/2</f>
        <v>3651</v>
      </c>
      <c r="R3" s="55">
        <f>+SUM(E6:E1839)/2</f>
        <v>198</v>
      </c>
      <c r="S3" s="55">
        <f>+Q3-R3</f>
        <v>3453</v>
      </c>
      <c r="T3" s="56">
        <f>+S3/R3</f>
        <v>17.439393939393938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45970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160</v>
      </c>
      <c r="C7" s="137">
        <v>1</v>
      </c>
      <c r="D7" s="151" t="s">
        <v>151</v>
      </c>
      <c r="E7" s="150">
        <v>11</v>
      </c>
      <c r="F7" s="150">
        <v>0</v>
      </c>
      <c r="G7" s="165">
        <v>180</v>
      </c>
      <c r="H7" s="226">
        <f t="shared" ref="H7" si="0">+G7/E7</f>
        <v>16.363636363636363</v>
      </c>
      <c r="I7" s="227">
        <f>+(SUM($G$7:$G$1048576)/SUM($E$7:$E$1048576))*E7</f>
        <v>202.83333333333331</v>
      </c>
      <c r="J7" s="363">
        <f>+Tabla2[[#This Row],[PROM DE USUARIOS]]-Tabla2[[#This Row],[USUARIOS]]</f>
        <v>22.833333333333314</v>
      </c>
      <c r="K7" s="151" t="s">
        <v>170</v>
      </c>
      <c r="L7" s="163">
        <f t="shared" ref="L7" si="1">P7*585</f>
        <v>112222.49999999999</v>
      </c>
      <c r="M7" s="162" t="str">
        <f>+VLOOKUP(C7,Lista!B:D,3,0)</f>
        <v>MICRO</v>
      </c>
      <c r="N7" s="373">
        <f>+(SUMIFS(G:G,M:M,"MICRO",E:E,"&gt;0")*100)/COUNTIF($E$7:$E$27,"&gt;0")</f>
        <v>9823.8095238095229</v>
      </c>
      <c r="O7" s="50">
        <f>+(E7*1)-V7</f>
        <v>11</v>
      </c>
      <c r="P7" s="47">
        <f t="shared" ref="P7" si="2">+I7-O7-W7</f>
        <v>191.83333333333331</v>
      </c>
      <c r="Q7" s="49">
        <f>+G7-O7</f>
        <v>169</v>
      </c>
      <c r="R7" s="51">
        <f>+E7*$T$3</f>
        <v>191.83333333333331</v>
      </c>
      <c r="S7" s="46">
        <f t="shared" ref="S7" si="3">+R7*550</f>
        <v>105508.33333333333</v>
      </c>
      <c r="T7" t="str">
        <f t="shared" ref="T7" si="4">+IF(K7&lt;&gt;"",K7,"")</f>
        <v xml:space="preserve">2 Descuentos (Usuario desubicado y conduct) </v>
      </c>
      <c r="U7">
        <f>+RANK(H7,$H$6:$H$1048576,1)</f>
        <v>7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160</v>
      </c>
      <c r="C8" s="166">
        <v>3</v>
      </c>
      <c r="D8" s="151" t="s">
        <v>161</v>
      </c>
      <c r="E8" s="150">
        <v>10</v>
      </c>
      <c r="F8" s="150">
        <v>0</v>
      </c>
      <c r="G8" s="165">
        <v>189</v>
      </c>
      <c r="H8" s="226">
        <f t="shared" ref="H8:H27" si="5">+G8/E8</f>
        <v>18.899999999999999</v>
      </c>
      <c r="I8" s="227">
        <f>+(SUM($G$7:$G$1048576)/SUM($E$7:$E$1048576))*E8</f>
        <v>184.39393939393938</v>
      </c>
      <c r="J8" s="363">
        <f>+Tabla2[[#This Row],[PROM DE USUARIOS]]-Tabla2[[#This Row],[USUARIOS]]</f>
        <v>-4.6060606060606233</v>
      </c>
      <c r="K8" s="151"/>
      <c r="L8" s="163">
        <f t="shared" ref="L8:L27" si="6">P8*585</f>
        <v>102020.45454545453</v>
      </c>
      <c r="M8" s="162" t="str">
        <f>+VLOOKUP(C8,Lista!B:D,3,0)</f>
        <v>MICRO</v>
      </c>
      <c r="N8" s="373">
        <f>+(SUMIFS(G:G,M:M,"MICRO",E:E,"&gt;0")*100)/COUNTIF($E$7:$E$27,"&gt;0")</f>
        <v>9823.8095238095229</v>
      </c>
      <c r="O8" s="50">
        <f>+(E8*1)-V8</f>
        <v>10</v>
      </c>
      <c r="P8" s="47">
        <f t="shared" ref="P8:P27" si="7">+I8-O8-W8</f>
        <v>174.39393939393938</v>
      </c>
      <c r="Q8" s="49">
        <f>+G8-O8</f>
        <v>179</v>
      </c>
      <c r="R8" s="51">
        <f>+E8*$T$3</f>
        <v>174.39393939393938</v>
      </c>
      <c r="S8" s="46">
        <f t="shared" ref="S8:S27" si="8">+R8*550</f>
        <v>95916.666666666657</v>
      </c>
      <c r="T8" t="str">
        <f t="shared" ref="T8:T27" si="9">+IF(K8&lt;&gt;"",K8,"")</f>
        <v/>
      </c>
      <c r="U8">
        <f>+RANK(H8,$H$6:$H$1048576,1)</f>
        <v>15</v>
      </c>
      <c r="Y8" t="str">
        <f>TRIM(Tabla2[[#This Row],[CONDUCTOR]])</f>
        <v>GONZALEZ IPUANA RENE</v>
      </c>
    </row>
    <row r="9" spans="1:32" x14ac:dyDescent="0.2">
      <c r="B9" s="136" t="s">
        <v>160</v>
      </c>
      <c r="C9" s="166">
        <v>5</v>
      </c>
      <c r="D9" s="151" t="s">
        <v>150</v>
      </c>
      <c r="E9" s="150">
        <v>10</v>
      </c>
      <c r="F9" s="150">
        <v>0</v>
      </c>
      <c r="G9" s="165">
        <v>181</v>
      </c>
      <c r="H9" s="226">
        <f t="shared" si="5"/>
        <v>18.100000000000001</v>
      </c>
      <c r="I9" s="227">
        <f>+(SUM($G$7:$G$1048576)/SUM($E$7:$E$1048576))*E9</f>
        <v>184.39393939393938</v>
      </c>
      <c r="J9" s="363">
        <f>+Tabla2[[#This Row],[PROM DE USUARIOS]]-Tabla2[[#This Row],[USUARIOS]]</f>
        <v>3.3939393939393767</v>
      </c>
      <c r="K9" s="151"/>
      <c r="L9" s="163">
        <f t="shared" si="6"/>
        <v>102020.45454545453</v>
      </c>
      <c r="M9" s="162">
        <f>+VLOOKUP(C9,Lista!B:D,3,0)</f>
        <v>0</v>
      </c>
      <c r="N9" s="373">
        <f>+(SUMIFS(G:G,M:M,"MICRO",E:E,"&gt;0")*100)/COUNTIF($E$7:$E$27,"&gt;0")</f>
        <v>9823.8095238095229</v>
      </c>
      <c r="O9" s="50">
        <f>+(E9*1)-V9</f>
        <v>10</v>
      </c>
      <c r="P9" s="47">
        <f t="shared" si="7"/>
        <v>174.39393939393938</v>
      </c>
      <c r="Q9" s="49">
        <f>+G9-O9</f>
        <v>171</v>
      </c>
      <c r="R9" s="51">
        <f>+E9*$T$3</f>
        <v>174.39393939393938</v>
      </c>
      <c r="S9" s="46">
        <f t="shared" si="8"/>
        <v>95916.666666666657</v>
      </c>
      <c r="T9" t="str">
        <f t="shared" si="9"/>
        <v/>
      </c>
      <c r="U9">
        <f>+RANK(H9,$H$6:$H$1048576,1)</f>
        <v>11</v>
      </c>
      <c r="Y9" t="str">
        <f>TRIM(Tabla2[[#This Row],[CONDUCTOR]])</f>
        <v>LONDOÑO LOPERA DUVAN ANDRES</v>
      </c>
    </row>
    <row r="10" spans="1:32" x14ac:dyDescent="0.2">
      <c r="B10" s="136" t="s">
        <v>160</v>
      </c>
      <c r="C10" s="166">
        <v>7</v>
      </c>
      <c r="D10" s="151" t="s">
        <v>158</v>
      </c>
      <c r="E10" s="150">
        <v>8</v>
      </c>
      <c r="F10" s="150">
        <v>0</v>
      </c>
      <c r="G10" s="165">
        <v>110</v>
      </c>
      <c r="H10" s="226">
        <f t="shared" si="5"/>
        <v>13.75</v>
      </c>
      <c r="I10" s="227">
        <f>+(SUM($G$7:$G$1048576)/SUM($E$7:$E$1048576))*E10</f>
        <v>147.5151515151515</v>
      </c>
      <c r="J10" s="363">
        <f>+Tabla2[[#This Row],[PROM DE USUARIOS]]-Tabla2[[#This Row],[USUARIOS]]</f>
        <v>37.515151515151501</v>
      </c>
      <c r="K10" s="151"/>
      <c r="L10" s="163">
        <f t="shared" si="6"/>
        <v>81616.363636363632</v>
      </c>
      <c r="M10" s="162">
        <f>+VLOOKUP(C10,Lista!B:D,3,0)</f>
        <v>0</v>
      </c>
      <c r="N10" s="373">
        <f>+(SUMIFS(G:G,M:M,"MICRO",E:E,"&gt;0")*100)/COUNTIF($E$7:$E$27,"&gt;0")</f>
        <v>9823.8095238095229</v>
      </c>
      <c r="O10" s="50">
        <f>+(E10*1)-V10</f>
        <v>8</v>
      </c>
      <c r="P10" s="47">
        <f t="shared" si="7"/>
        <v>139.5151515151515</v>
      </c>
      <c r="Q10" s="49">
        <f>+G10-O10</f>
        <v>102</v>
      </c>
      <c r="R10" s="51">
        <f>+E10*$T$3</f>
        <v>139.5151515151515</v>
      </c>
      <c r="S10" s="46">
        <f t="shared" si="8"/>
        <v>76733.333333333328</v>
      </c>
      <c r="T10" t="str">
        <f t="shared" si="9"/>
        <v/>
      </c>
      <c r="U10">
        <f>+RANK(H10,$H$6:$H$1048576,1)</f>
        <v>1</v>
      </c>
      <c r="Y10" t="str">
        <f>TRIM(Tabla2[[#This Row],[CONDUCTOR]])</f>
        <v>PALACIO ARIAS YORFAN ALEXIS</v>
      </c>
    </row>
    <row r="11" spans="1:32" x14ac:dyDescent="0.2">
      <c r="B11" s="136" t="s">
        <v>160</v>
      </c>
      <c r="C11" s="166">
        <v>9</v>
      </c>
      <c r="D11" s="151" t="s">
        <v>148</v>
      </c>
      <c r="E11" s="150">
        <v>11</v>
      </c>
      <c r="F11" s="150">
        <v>0</v>
      </c>
      <c r="G11" s="165">
        <v>229</v>
      </c>
      <c r="H11" s="226">
        <f t="shared" si="5"/>
        <v>20.818181818181817</v>
      </c>
      <c r="I11" s="227">
        <f>+(SUM($G$7:$G$1048576)/SUM($E$7:$E$1048576))*E11</f>
        <v>202.83333333333331</v>
      </c>
      <c r="J11" s="363">
        <f>+Tabla2[[#This Row],[PROM DE USUARIOS]]-Tabla2[[#This Row],[USUARIOS]]</f>
        <v>-26.166666666666686</v>
      </c>
      <c r="K11" s="151" t="s">
        <v>171</v>
      </c>
      <c r="L11" s="163">
        <f t="shared" si="6"/>
        <v>112222.49999999999</v>
      </c>
      <c r="M11" s="162" t="str">
        <f>+VLOOKUP(C11,Lista!B:D,3,0)</f>
        <v>MICRO</v>
      </c>
      <c r="N11" s="373">
        <f>+(SUMIFS(G:G,M:M,"MICRO",E:E,"&gt;0")*100)/COUNTIF($E$7:$E$27,"&gt;0")</f>
        <v>9823.8095238095229</v>
      </c>
      <c r="O11" s="50">
        <f>+(E11*1)-V11</f>
        <v>11</v>
      </c>
      <c r="P11" s="47">
        <f t="shared" si="7"/>
        <v>191.83333333333331</v>
      </c>
      <c r="Q11" s="49">
        <f>+G11-O11</f>
        <v>218</v>
      </c>
      <c r="R11" s="51">
        <f>+E11*$T$3</f>
        <v>191.83333333333331</v>
      </c>
      <c r="S11" s="46">
        <f t="shared" si="8"/>
        <v>105508.33333333333</v>
      </c>
      <c r="T11" t="str">
        <f t="shared" si="9"/>
        <v xml:space="preserve">2 Descuentos (Conduct y despachador) </v>
      </c>
      <c r="U11">
        <f>+RANK(H11,$H$6:$H$1048576,1)</f>
        <v>19</v>
      </c>
      <c r="Y11" t="str">
        <f>TRIM(Tabla2[[#This Row],[CONDUCTOR]])</f>
        <v>CARTAGENA RAMIREZ FREDY ALONSO</v>
      </c>
    </row>
    <row r="12" spans="1:32" x14ac:dyDescent="0.2">
      <c r="B12" s="136" t="s">
        <v>160</v>
      </c>
      <c r="C12" s="166">
        <v>11</v>
      </c>
      <c r="D12" s="151" t="s">
        <v>162</v>
      </c>
      <c r="E12" s="150">
        <v>8</v>
      </c>
      <c r="F12" s="150">
        <v>0</v>
      </c>
      <c r="G12" s="146">
        <v>209</v>
      </c>
      <c r="H12" s="226">
        <f t="shared" si="5"/>
        <v>26.125</v>
      </c>
      <c r="I12" s="227">
        <f>+(SUM($G$7:$G$1048576)/SUM($E$7:$E$1048576))*E12</f>
        <v>147.5151515151515</v>
      </c>
      <c r="J12" s="363">
        <f>+Tabla2[[#This Row],[PROM DE USUARIOS]]-Tabla2[[#This Row],[USUARIOS]]</f>
        <v>-61.484848484848499</v>
      </c>
      <c r="K12" s="151"/>
      <c r="L12" s="163">
        <f t="shared" si="6"/>
        <v>81616.363636363632</v>
      </c>
      <c r="M12" s="162" t="str">
        <f>+VLOOKUP(C12,Lista!B:D,3,0)</f>
        <v>MICRO</v>
      </c>
      <c r="N12" s="373">
        <f>+(SUMIFS(G:G,M:M,"MICRO",E:E,"&gt;0")*100)/COUNTIF($E$7:$E$27,"&gt;0")</f>
        <v>9823.8095238095229</v>
      </c>
      <c r="O12" s="50">
        <f>+(E12*1)-V12</f>
        <v>8</v>
      </c>
      <c r="P12" s="47">
        <f t="shared" si="7"/>
        <v>139.5151515151515</v>
      </c>
      <c r="Q12" s="49">
        <f>+G12-O12</f>
        <v>201</v>
      </c>
      <c r="R12" s="51">
        <f>+E12*$T$3</f>
        <v>139.5151515151515</v>
      </c>
      <c r="S12" s="46">
        <f t="shared" si="8"/>
        <v>76733.333333333328</v>
      </c>
      <c r="T12" t="str">
        <f t="shared" si="9"/>
        <v/>
      </c>
      <c r="U12">
        <f>+RANK(H12,$H$6:$H$1048576,1)</f>
        <v>22</v>
      </c>
      <c r="Y12" t="str">
        <f>TRIM(Tabla2[[#This Row],[CONDUCTOR]])</f>
        <v>SUAREZ ESCUDERO JONATAN</v>
      </c>
    </row>
    <row r="13" spans="1:32" x14ac:dyDescent="0.2">
      <c r="B13" s="136" t="s">
        <v>160</v>
      </c>
      <c r="C13" s="166">
        <v>15</v>
      </c>
      <c r="D13" s="151" t="s">
        <v>168</v>
      </c>
      <c r="E13" s="150">
        <v>8</v>
      </c>
      <c r="F13" s="150">
        <v>0</v>
      </c>
      <c r="G13" s="146">
        <v>186</v>
      </c>
      <c r="H13" s="226">
        <f t="shared" si="5"/>
        <v>23.25</v>
      </c>
      <c r="I13" s="227">
        <f>+(SUM($G$7:$G$1048576)/SUM($E$7:$E$1048576))*E13</f>
        <v>147.5151515151515</v>
      </c>
      <c r="J13" s="363">
        <f>+Tabla2[[#This Row],[PROM DE USUARIOS]]-Tabla2[[#This Row],[USUARIOS]]</f>
        <v>-38.484848484848499</v>
      </c>
      <c r="K13" s="151" t="s">
        <v>171</v>
      </c>
      <c r="L13" s="163">
        <f t="shared" si="6"/>
        <v>81616.363636363632</v>
      </c>
      <c r="M13" s="162">
        <f>+VLOOKUP(C13,Lista!B:D,3,0)</f>
        <v>0</v>
      </c>
      <c r="N13" s="373">
        <f>+(SUMIFS(G:G,M:M,"MICRO",E:E,"&gt;0")*100)/COUNTIF($E$7:$E$27,"&gt;0")</f>
        <v>9823.8095238095229</v>
      </c>
      <c r="O13" s="50">
        <f>+(E13*1)-V13</f>
        <v>8</v>
      </c>
      <c r="P13" s="47">
        <f t="shared" si="7"/>
        <v>139.5151515151515</v>
      </c>
      <c r="Q13" s="49">
        <f>+G13-O13</f>
        <v>178</v>
      </c>
      <c r="R13" s="51">
        <f>+E13*$T$3</f>
        <v>139.5151515151515</v>
      </c>
      <c r="S13" s="46">
        <f t="shared" si="8"/>
        <v>76733.333333333328</v>
      </c>
      <c r="T13" t="str">
        <f t="shared" si="9"/>
        <v xml:space="preserve">2 Descuentos (Conduct y despachador) </v>
      </c>
      <c r="U13">
        <f>+RANK(H13,$H$6:$H$1048576,1)</f>
        <v>21</v>
      </c>
      <c r="Y13" t="str">
        <f>TRIM(Tabla2[[#This Row],[CONDUCTOR]])</f>
        <v>HERNANDEZ MACIAS GILBERTO</v>
      </c>
    </row>
    <row r="14" spans="1:32" x14ac:dyDescent="0.2">
      <c r="B14" s="136" t="s">
        <v>160</v>
      </c>
      <c r="C14" s="166">
        <v>17</v>
      </c>
      <c r="D14" s="151" t="s">
        <v>153</v>
      </c>
      <c r="E14" s="150">
        <v>10</v>
      </c>
      <c r="F14" s="150">
        <v>0</v>
      </c>
      <c r="G14" s="165">
        <v>178</v>
      </c>
      <c r="H14" s="226">
        <f t="shared" si="5"/>
        <v>17.8</v>
      </c>
      <c r="I14" s="227">
        <f>+(SUM($G$7:$G$1048576)/SUM($E$7:$E$1048576))*E14</f>
        <v>184.39393939393938</v>
      </c>
      <c r="J14" s="363">
        <f>+Tabla2[[#This Row],[PROM DE USUARIOS]]-Tabla2[[#This Row],[USUARIOS]]</f>
        <v>6.3939393939393767</v>
      </c>
      <c r="K14" s="151"/>
      <c r="L14" s="163">
        <f t="shared" si="6"/>
        <v>102020.45454545453</v>
      </c>
      <c r="M14" s="162" t="str">
        <f>+VLOOKUP(C14,Lista!B:D,3,0)</f>
        <v>MICRO</v>
      </c>
      <c r="N14" s="373">
        <f>+(SUMIFS(G:G,M:M,"MICRO",E:E,"&gt;0")*100)/COUNTIF($E$7:$E$27,"&gt;0")</f>
        <v>9823.8095238095229</v>
      </c>
      <c r="O14" s="50">
        <f>+(E14*1)-V14</f>
        <v>10</v>
      </c>
      <c r="P14" s="47">
        <f t="shared" si="7"/>
        <v>174.39393939393938</v>
      </c>
      <c r="Q14" s="49">
        <f>+G14-O14</f>
        <v>168</v>
      </c>
      <c r="R14" s="51">
        <f>+E14*$T$3</f>
        <v>174.39393939393938</v>
      </c>
      <c r="S14" s="46">
        <f t="shared" si="8"/>
        <v>95916.666666666657</v>
      </c>
      <c r="T14" t="str">
        <f t="shared" si="9"/>
        <v/>
      </c>
      <c r="U14">
        <f>+RANK(H14,$H$6:$H$1048576,1)</f>
        <v>10</v>
      </c>
      <c r="Y14" t="str">
        <f>TRIM(Tabla2[[#This Row],[CONDUCTOR]])</f>
        <v>PARRA VILLA YUBER ALONSO</v>
      </c>
    </row>
    <row r="15" spans="1:32" x14ac:dyDescent="0.2">
      <c r="B15" s="136" t="s">
        <v>160</v>
      </c>
      <c r="C15" s="166">
        <v>19</v>
      </c>
      <c r="D15" s="151" t="s">
        <v>169</v>
      </c>
      <c r="E15" s="150">
        <v>6</v>
      </c>
      <c r="F15" s="150"/>
      <c r="G15" s="165">
        <v>103</v>
      </c>
      <c r="H15" s="226">
        <f t="shared" si="5"/>
        <v>17.166666666666668</v>
      </c>
      <c r="I15" s="227">
        <f>+(SUM($G$7:$G$1048576)/SUM($E$7:$E$1048576))*E15</f>
        <v>110.63636363636363</v>
      </c>
      <c r="J15" s="363">
        <f>+Tabla2[[#This Row],[PROM DE USUARIOS]]-Tabla2[[#This Row],[USUARIOS]]</f>
        <v>7.636363636363626</v>
      </c>
      <c r="K15" s="151"/>
      <c r="L15" s="163">
        <f t="shared" si="6"/>
        <v>61212.272727272721</v>
      </c>
      <c r="M15" s="162" t="str">
        <f>+VLOOKUP(C15,Lista!B:D,3,0)</f>
        <v>MICRO</v>
      </c>
      <c r="N15" s="373">
        <f>+(SUMIFS(G:G,M:M,"MICRO",E:E,"&gt;0")*100)/COUNTIF($E$7:$E$27,"&gt;0")</f>
        <v>9823.8095238095229</v>
      </c>
      <c r="O15" s="50">
        <f>+(E15*1)-V15</f>
        <v>6</v>
      </c>
      <c r="P15" s="47">
        <f t="shared" si="7"/>
        <v>104.63636363636363</v>
      </c>
      <c r="Q15" s="49">
        <f>+G15-O15</f>
        <v>97</v>
      </c>
      <c r="R15" s="51">
        <f>+E15*$T$3</f>
        <v>104.63636363636363</v>
      </c>
      <c r="S15" s="46">
        <f t="shared" si="8"/>
        <v>57549.999999999993</v>
      </c>
      <c r="T15" t="str">
        <f t="shared" si="9"/>
        <v/>
      </c>
      <c r="U15">
        <f>+RANK(H15,$H$6:$H$1048576,1)</f>
        <v>9</v>
      </c>
      <c r="Y15" t="str">
        <f>TRIM(Tabla2[[#This Row],[CONDUCTOR]])</f>
        <v>MACEA ARBELAEZ MATEO</v>
      </c>
    </row>
    <row r="16" spans="1:32" x14ac:dyDescent="0.2">
      <c r="B16" s="136" t="s">
        <v>160</v>
      </c>
      <c r="C16" s="166">
        <v>21</v>
      </c>
      <c r="D16" s="151" t="s">
        <v>152</v>
      </c>
      <c r="E16" s="150">
        <v>10</v>
      </c>
      <c r="F16" s="150">
        <v>0</v>
      </c>
      <c r="G16" s="165">
        <v>171</v>
      </c>
      <c r="H16" s="226">
        <f t="shared" si="5"/>
        <v>17.100000000000001</v>
      </c>
      <c r="I16" s="227">
        <f>+(SUM($G$7:$G$1048576)/SUM($E$7:$E$1048576))*E16</f>
        <v>184.39393939393938</v>
      </c>
      <c r="J16" s="363">
        <f>+Tabla2[[#This Row],[PROM DE USUARIOS]]-Tabla2[[#This Row],[USUARIOS]]</f>
        <v>13.393939393939377</v>
      </c>
      <c r="K16" s="151"/>
      <c r="L16" s="163">
        <f t="shared" si="6"/>
        <v>102020.45454545453</v>
      </c>
      <c r="M16" s="162" t="str">
        <f>+VLOOKUP(C16,Lista!B:D,3,0)</f>
        <v>MICRO</v>
      </c>
      <c r="N16" s="373">
        <f>+(SUMIFS(G:G,M:M,"MICRO",E:E,"&gt;0")*100)/COUNTIF($E$7:$E$27,"&gt;0")</f>
        <v>9823.8095238095229</v>
      </c>
      <c r="O16" s="50">
        <f>+(E16*1)-V16</f>
        <v>10</v>
      </c>
      <c r="P16" s="47">
        <f t="shared" si="7"/>
        <v>174.39393939393938</v>
      </c>
      <c r="Q16" s="49">
        <f>+G16-O16</f>
        <v>161</v>
      </c>
      <c r="R16" s="51">
        <f>+E16*$T$3</f>
        <v>174.39393939393938</v>
      </c>
      <c r="S16" s="46">
        <f t="shared" si="8"/>
        <v>95916.666666666657</v>
      </c>
      <c r="T16" t="str">
        <f t="shared" si="9"/>
        <v/>
      </c>
      <c r="U16">
        <f>+RANK(H16,$H$6:$H$1048576,1)</f>
        <v>8</v>
      </c>
      <c r="Y16" t="str">
        <f>TRIM(Tabla2[[#This Row],[CONDUCTOR]])</f>
        <v>DURANGO DAVID JOSE</v>
      </c>
    </row>
    <row r="17" spans="2:25" x14ac:dyDescent="0.2">
      <c r="B17" s="136" t="s">
        <v>160</v>
      </c>
      <c r="C17" s="166">
        <v>23</v>
      </c>
      <c r="D17" s="151" t="s">
        <v>157</v>
      </c>
      <c r="E17" s="150">
        <v>9</v>
      </c>
      <c r="F17" s="150">
        <v>0</v>
      </c>
      <c r="G17" s="165">
        <v>175</v>
      </c>
      <c r="H17" s="226">
        <f t="shared" si="5"/>
        <v>19.444444444444443</v>
      </c>
      <c r="I17" s="227">
        <f>+(SUM($G$7:$G$1048576)/SUM($E$7:$E$1048576))*E17</f>
        <v>165.95454545454544</v>
      </c>
      <c r="J17" s="363">
        <f>+Tabla2[[#This Row],[PROM DE USUARIOS]]-Tabla2[[#This Row],[USUARIOS]]</f>
        <v>-9.045454545454561</v>
      </c>
      <c r="K17" s="151" t="s">
        <v>172</v>
      </c>
      <c r="L17" s="163">
        <f t="shared" si="6"/>
        <v>91818.409090909088</v>
      </c>
      <c r="M17" s="162" t="str">
        <f>+VLOOKUP(C17,Lista!B:D,3,0)</f>
        <v xml:space="preserve">MICRO </v>
      </c>
      <c r="N17" s="373">
        <f>+(SUMIFS(G:G,M:M,"MICRO",E:E,"&gt;0")*100)/COUNTIF($E$7:$E$27,"&gt;0")</f>
        <v>9823.8095238095229</v>
      </c>
      <c r="O17" s="50">
        <f>+(E17*1)-V17</f>
        <v>9</v>
      </c>
      <c r="P17" s="47">
        <f t="shared" si="7"/>
        <v>156.95454545454544</v>
      </c>
      <c r="Q17" s="49">
        <f>+G17-O17</f>
        <v>166</v>
      </c>
      <c r="R17" s="51">
        <f>+E17*$T$3</f>
        <v>156.95454545454544</v>
      </c>
      <c r="S17" s="46">
        <f t="shared" si="8"/>
        <v>86324.999999999985</v>
      </c>
      <c r="T17" t="str">
        <f t="shared" si="9"/>
        <v xml:space="preserve">1 Descuento (Despachador) </v>
      </c>
      <c r="U17">
        <f>+RANK(H17,$H$6:$H$1048576,1)</f>
        <v>16</v>
      </c>
      <c r="Y17" t="str">
        <f>TRIM(Tabla2[[#This Row],[CONDUCTOR]])</f>
        <v>SALDARRIAGA PARRA LUIS ALBERTO</v>
      </c>
    </row>
    <row r="18" spans="2:25" x14ac:dyDescent="0.2">
      <c r="B18" s="136" t="s">
        <v>160</v>
      </c>
      <c r="C18" s="166">
        <v>27</v>
      </c>
      <c r="D18" s="151" t="s">
        <v>163</v>
      </c>
      <c r="E18" s="150">
        <v>10</v>
      </c>
      <c r="F18" s="150">
        <v>0</v>
      </c>
      <c r="G18" s="165">
        <v>158</v>
      </c>
      <c r="H18" s="226">
        <f t="shared" si="5"/>
        <v>15.8</v>
      </c>
      <c r="I18" s="227">
        <f>+(SUM($G$7:$G$1048576)/SUM($E$7:$E$1048576))*E18</f>
        <v>184.39393939393938</v>
      </c>
      <c r="J18" s="363">
        <f>+Tabla2[[#This Row],[PROM DE USUARIOS]]-Tabla2[[#This Row],[USUARIOS]]</f>
        <v>26.393939393939377</v>
      </c>
      <c r="K18" s="151"/>
      <c r="L18" s="163">
        <f t="shared" si="6"/>
        <v>102020.45454545453</v>
      </c>
      <c r="M18" s="162" t="str">
        <f>+VLOOKUP(C18,Lista!B:D,3,0)</f>
        <v>MICRO</v>
      </c>
      <c r="N18" s="373">
        <f>+(SUMIFS(G:G,M:M,"MICRO",E:E,"&gt;0")*100)/COUNTIF($E$7:$E$27,"&gt;0")</f>
        <v>9823.8095238095229</v>
      </c>
      <c r="O18" s="50">
        <f>+(E18*1)-V18</f>
        <v>10</v>
      </c>
      <c r="P18" s="47">
        <f t="shared" si="7"/>
        <v>174.39393939393938</v>
      </c>
      <c r="Q18" s="49">
        <f>+G18-O18</f>
        <v>148</v>
      </c>
      <c r="R18" s="51">
        <f>+E18*$T$3</f>
        <v>174.39393939393938</v>
      </c>
      <c r="S18" s="46">
        <f t="shared" si="8"/>
        <v>95916.666666666657</v>
      </c>
      <c r="T18" t="str">
        <f t="shared" si="9"/>
        <v/>
      </c>
      <c r="U18">
        <f>+RANK(H18,$H$6:$H$1048576,1)</f>
        <v>3</v>
      </c>
      <c r="Y18" t="str">
        <f>TRIM(Tabla2[[#This Row],[CONDUCTOR]])</f>
        <v>FLORES RINCON JORGE ALBERTO</v>
      </c>
    </row>
    <row r="19" spans="2:25" x14ac:dyDescent="0.2">
      <c r="B19" s="136" t="s">
        <v>160</v>
      </c>
      <c r="C19" s="166">
        <v>29</v>
      </c>
      <c r="D19" s="151" t="s">
        <v>154</v>
      </c>
      <c r="E19" s="150">
        <v>9</v>
      </c>
      <c r="F19" s="150">
        <v>0</v>
      </c>
      <c r="G19" s="146">
        <v>166</v>
      </c>
      <c r="H19" s="226">
        <f t="shared" si="5"/>
        <v>18.444444444444443</v>
      </c>
      <c r="I19" s="227">
        <f>+(SUM($G$7:$G$1048576)/SUM($E$7:$E$1048576))*E19</f>
        <v>165.95454545454544</v>
      </c>
      <c r="J19" s="363">
        <f>+Tabla2[[#This Row],[PROM DE USUARIOS]]-Tabla2[[#This Row],[USUARIOS]]</f>
        <v>-4.5454545454560957E-2</v>
      </c>
      <c r="K19" s="151"/>
      <c r="L19" s="163">
        <f t="shared" si="6"/>
        <v>91818.409090909088</v>
      </c>
      <c r="M19" s="162" t="str">
        <f>+VLOOKUP(C19,Lista!B:D,3,0)</f>
        <v>MICRO</v>
      </c>
      <c r="N19" s="373">
        <f>+(SUMIFS(G:G,M:M,"MICRO",E:E,"&gt;0")*100)/COUNTIF($E$7:$E$27,"&gt;0")</f>
        <v>9823.8095238095229</v>
      </c>
      <c r="O19" s="50">
        <f>+(E19*1)-V19</f>
        <v>9</v>
      </c>
      <c r="P19" s="47">
        <f t="shared" si="7"/>
        <v>156.95454545454544</v>
      </c>
      <c r="Q19" s="49">
        <f>+G19-O19</f>
        <v>157</v>
      </c>
      <c r="R19" s="51">
        <f>+E19*$T$3</f>
        <v>156.95454545454544</v>
      </c>
      <c r="S19" s="46">
        <f t="shared" si="8"/>
        <v>86324.999999999985</v>
      </c>
      <c r="T19" t="str">
        <f t="shared" si="9"/>
        <v/>
      </c>
      <c r="U19">
        <f>+RANK(H19,$H$6:$H$1048576,1)</f>
        <v>13</v>
      </c>
      <c r="Y19" t="str">
        <f>TRIM(Tabla2[[#This Row],[CONDUCTOR]])</f>
        <v>LEON PEREZ RAUL ENRIQUE</v>
      </c>
    </row>
    <row r="20" spans="2:25" x14ac:dyDescent="0.2">
      <c r="B20" s="136" t="s">
        <v>160</v>
      </c>
      <c r="C20" s="137">
        <v>31</v>
      </c>
      <c r="D20" s="151" t="s">
        <v>164</v>
      </c>
      <c r="E20" s="150">
        <v>9</v>
      </c>
      <c r="F20" s="150">
        <v>0</v>
      </c>
      <c r="G20" s="165">
        <v>145</v>
      </c>
      <c r="H20" s="226">
        <f t="shared" si="5"/>
        <v>16.111111111111111</v>
      </c>
      <c r="I20" s="227">
        <f>+(SUM($G$7:$G$1048576)/SUM($E$7:$E$1048576))*E20</f>
        <v>165.95454545454544</v>
      </c>
      <c r="J20" s="363">
        <f>+Tabla2[[#This Row],[PROM DE USUARIOS]]-Tabla2[[#This Row],[USUARIOS]]</f>
        <v>20.954545454545439</v>
      </c>
      <c r="K20" s="151" t="s">
        <v>131</v>
      </c>
      <c r="L20" s="163">
        <f t="shared" si="6"/>
        <v>91818.409090909088</v>
      </c>
      <c r="M20" s="162" t="str">
        <f>+VLOOKUP(C20,Lista!B:D,3,0)</f>
        <v>MICRO</v>
      </c>
      <c r="N20" s="373">
        <f>+(SUMIFS(G:G,M:M,"MICRO",E:E,"&gt;0")*100)/COUNTIF($E$7:$E$27,"&gt;0")</f>
        <v>9823.8095238095229</v>
      </c>
      <c r="O20" s="50">
        <f>+(E20*1)-V20</f>
        <v>9</v>
      </c>
      <c r="P20" s="47">
        <f t="shared" si="7"/>
        <v>156.95454545454544</v>
      </c>
      <c r="Q20" s="49">
        <f>+G20-O20</f>
        <v>136</v>
      </c>
      <c r="R20" s="51">
        <f>+E20*$T$3</f>
        <v>156.95454545454544</v>
      </c>
      <c r="S20" s="46">
        <f t="shared" si="8"/>
        <v>86324.999999999985</v>
      </c>
      <c r="T20" t="str">
        <f t="shared" si="9"/>
        <v xml:space="preserve">1 Descuento (Conduct) </v>
      </c>
      <c r="U20">
        <f>+RANK(H20,$H$6:$H$1048576,1)</f>
        <v>5</v>
      </c>
      <c r="Y20" t="str">
        <f>TRIM(Tabla2[[#This Row],[CONDUCTOR]])</f>
        <v>IBARGUEN GARRIDO JUAN ESTEBAN</v>
      </c>
    </row>
    <row r="21" spans="2:25" x14ac:dyDescent="0.2">
      <c r="B21" s="136" t="s">
        <v>160</v>
      </c>
      <c r="C21" s="166">
        <v>33</v>
      </c>
      <c r="D21" s="151" t="s">
        <v>167</v>
      </c>
      <c r="E21" s="150">
        <v>10</v>
      </c>
      <c r="F21" s="150">
        <v>0</v>
      </c>
      <c r="G21" s="165">
        <v>163</v>
      </c>
      <c r="H21" s="226">
        <f t="shared" si="5"/>
        <v>16.3</v>
      </c>
      <c r="I21" s="227">
        <f>+(SUM($G$7:$G$1048576)/SUM($E$7:$E$1048576))*E21</f>
        <v>184.39393939393938</v>
      </c>
      <c r="J21" s="363">
        <f>+Tabla2[[#This Row],[PROM DE USUARIOS]]-Tabla2[[#This Row],[USUARIOS]]</f>
        <v>21.393939393939377</v>
      </c>
      <c r="K21" s="151"/>
      <c r="L21" s="163">
        <f t="shared" si="6"/>
        <v>102020.45454545453</v>
      </c>
      <c r="M21" s="162" t="str">
        <f>+VLOOKUP(C21,Lista!B:D,3,0)</f>
        <v>MICRO</v>
      </c>
      <c r="N21" s="373">
        <f>+(SUMIFS(G:G,M:M,"MICRO",E:E,"&gt;0")*100)/COUNTIF($E$7:$E$27,"&gt;0")</f>
        <v>9823.8095238095229</v>
      </c>
      <c r="O21" s="50">
        <f>+(E21*1)-V21</f>
        <v>10</v>
      </c>
      <c r="P21" s="47">
        <f t="shared" si="7"/>
        <v>174.39393939393938</v>
      </c>
      <c r="Q21" s="49">
        <f>+G21-O21</f>
        <v>153</v>
      </c>
      <c r="R21" s="51">
        <f>+E21*$T$3</f>
        <v>174.39393939393938</v>
      </c>
      <c r="S21" s="46">
        <f t="shared" si="8"/>
        <v>95916.666666666657</v>
      </c>
      <c r="T21" t="str">
        <f t="shared" si="9"/>
        <v/>
      </c>
      <c r="U21">
        <f>+RANK(H21,$H$6:$H$1048576,1)</f>
        <v>6</v>
      </c>
      <c r="Y21" t="str">
        <f>TRIM(Tabla2[[#This Row],[CONDUCTOR]])</f>
        <v>MARULANDA JARAMILLO DAWER ANDRES</v>
      </c>
    </row>
    <row r="22" spans="2:25" x14ac:dyDescent="0.2">
      <c r="B22" s="136" t="s">
        <v>160</v>
      </c>
      <c r="C22" s="166">
        <v>35</v>
      </c>
      <c r="D22" s="151" t="s">
        <v>155</v>
      </c>
      <c r="E22" s="150">
        <v>8</v>
      </c>
      <c r="F22" s="150">
        <v>0</v>
      </c>
      <c r="G22" s="165">
        <v>181</v>
      </c>
      <c r="H22" s="226">
        <f t="shared" si="5"/>
        <v>22.625</v>
      </c>
      <c r="I22" s="227">
        <f>+(SUM($G$7:$G$1048576)/SUM($E$7:$E$1048576))*E22</f>
        <v>147.5151515151515</v>
      </c>
      <c r="J22" s="363">
        <f>+Tabla2[[#This Row],[PROM DE USUARIOS]]-Tabla2[[#This Row],[USUARIOS]]</f>
        <v>-33.484848484848499</v>
      </c>
      <c r="K22" s="151"/>
      <c r="L22" s="163">
        <f t="shared" si="6"/>
        <v>81616.363636363632</v>
      </c>
      <c r="M22" s="162">
        <f>+VLOOKUP(C22,Lista!B:D,3,0)</f>
        <v>0</v>
      </c>
      <c r="N22" s="373">
        <f>+(SUMIFS(G:G,M:M,"MICRO",E:E,"&gt;0")*100)/COUNTIF($E$7:$E$27,"&gt;0")</f>
        <v>9823.8095238095229</v>
      </c>
      <c r="O22" s="50">
        <f>+(E22*1)-V22</f>
        <v>8</v>
      </c>
      <c r="P22" s="47">
        <f t="shared" si="7"/>
        <v>139.5151515151515</v>
      </c>
      <c r="Q22" s="49">
        <f>+G22-O22</f>
        <v>173</v>
      </c>
      <c r="R22" s="51">
        <f>+E22*$T$3</f>
        <v>139.5151515151515</v>
      </c>
      <c r="S22" s="46">
        <f t="shared" si="8"/>
        <v>76733.333333333328</v>
      </c>
      <c r="T22" t="str">
        <f t="shared" si="9"/>
        <v/>
      </c>
      <c r="U22">
        <f>+RANK(H22,$H$6:$H$1048576,1)</f>
        <v>20</v>
      </c>
      <c r="Y22" t="str">
        <f>TRIM(Tabla2[[#This Row],[CONDUCTOR]])</f>
        <v>ARAQUE ARROYAVE JOSE ALBEIRO</v>
      </c>
    </row>
    <row r="23" spans="2:25" x14ac:dyDescent="0.2">
      <c r="B23" s="136" t="s">
        <v>160</v>
      </c>
      <c r="C23" s="166">
        <v>37</v>
      </c>
      <c r="D23" s="151" t="s">
        <v>166</v>
      </c>
      <c r="E23" s="150">
        <v>10</v>
      </c>
      <c r="F23" s="150">
        <v>0</v>
      </c>
      <c r="G23" s="165">
        <v>186</v>
      </c>
      <c r="H23" s="226">
        <f t="shared" si="5"/>
        <v>18.600000000000001</v>
      </c>
      <c r="I23" s="227">
        <f>+(SUM($G$7:$G$1048576)/SUM($E$7:$E$1048576))*E23</f>
        <v>184.39393939393938</v>
      </c>
      <c r="J23" s="363">
        <f>+Tabla2[[#This Row],[PROM DE USUARIOS]]-Tabla2[[#This Row],[USUARIOS]]</f>
        <v>-1.6060606060606233</v>
      </c>
      <c r="K23" s="151"/>
      <c r="L23" s="163">
        <f t="shared" si="6"/>
        <v>102020.45454545453</v>
      </c>
      <c r="M23" s="162">
        <f>+VLOOKUP(C23,Lista!B:D,3,0)</f>
        <v>0</v>
      </c>
      <c r="N23" s="373">
        <f>+(SUMIFS(G:G,M:M,"MICRO",E:E,"&gt;0")*100)/COUNTIF($E$7:$E$27,"&gt;0")</f>
        <v>9823.8095238095229</v>
      </c>
      <c r="O23" s="50">
        <f>+(E23*1)-V23</f>
        <v>10</v>
      </c>
      <c r="P23" s="47">
        <f t="shared" si="7"/>
        <v>174.39393939393938</v>
      </c>
      <c r="Q23" s="49">
        <f>+G23-O23</f>
        <v>176</v>
      </c>
      <c r="R23" s="51">
        <f>+E23*$T$3</f>
        <v>174.39393939393938</v>
      </c>
      <c r="S23" s="46">
        <f t="shared" si="8"/>
        <v>95916.666666666657</v>
      </c>
      <c r="T23" t="str">
        <f t="shared" si="9"/>
        <v/>
      </c>
      <c r="U23">
        <f>+RANK(H23,$H$6:$H$1048576,1)</f>
        <v>14</v>
      </c>
      <c r="Y23" t="str">
        <f>TRIM(Tabla2[[#This Row],[CONDUCTOR]])</f>
        <v>GUTIERREZ ARICAPA DANIEL HUMBERTO</v>
      </c>
    </row>
    <row r="24" spans="2:25" x14ac:dyDescent="0.2">
      <c r="B24" s="136" t="s">
        <v>160</v>
      </c>
      <c r="C24" s="166">
        <v>40</v>
      </c>
      <c r="D24" s="151" t="s">
        <v>149</v>
      </c>
      <c r="E24" s="150">
        <v>11</v>
      </c>
      <c r="F24" s="150">
        <v>0</v>
      </c>
      <c r="G24" s="165">
        <v>172</v>
      </c>
      <c r="H24" s="226">
        <f t="shared" si="5"/>
        <v>15.636363636363637</v>
      </c>
      <c r="I24" s="227">
        <f>+(SUM($G$7:$G$1048576)/SUM($E$7:$E$1048576))*E24</f>
        <v>202.83333333333331</v>
      </c>
      <c r="J24" s="363">
        <f>+Tabla2[[#This Row],[PROM DE USUARIOS]]-Tabla2[[#This Row],[USUARIOS]]</f>
        <v>30.833333333333314</v>
      </c>
      <c r="K24" s="151"/>
      <c r="L24" s="163">
        <f t="shared" si="6"/>
        <v>112222.49999999999</v>
      </c>
      <c r="M24" s="162" t="str">
        <f>+VLOOKUP(C24,Lista!B:D,3,0)</f>
        <v>MICRO</v>
      </c>
      <c r="N24" s="373">
        <f>+(SUMIFS(G:G,M:M,"MICRO",E:E,"&gt;0")*100)/COUNTIF($E$7:$E$27,"&gt;0")</f>
        <v>9823.8095238095229</v>
      </c>
      <c r="O24" s="50">
        <f>+(E24*1)-V24</f>
        <v>11</v>
      </c>
      <c r="P24" s="47">
        <f t="shared" si="7"/>
        <v>191.83333333333331</v>
      </c>
      <c r="Q24" s="49">
        <f>+G24-O24</f>
        <v>161</v>
      </c>
      <c r="R24" s="51">
        <f>+E24*$T$3</f>
        <v>191.83333333333331</v>
      </c>
      <c r="S24" s="46">
        <f t="shared" si="8"/>
        <v>105508.33333333333</v>
      </c>
      <c r="T24" t="str">
        <f t="shared" si="9"/>
        <v/>
      </c>
      <c r="U24">
        <f>+RANK(H24,$H$6:$H$1048576,1)</f>
        <v>2</v>
      </c>
      <c r="Y24" t="str">
        <f>TRIM(Tabla2[[#This Row],[CONDUCTOR]])</f>
        <v>JARAMILLO JARAMILLO FRANCISCO WBEIMAR</v>
      </c>
    </row>
    <row r="25" spans="2:25" x14ac:dyDescent="0.2">
      <c r="B25" s="136" t="s">
        <v>160</v>
      </c>
      <c r="C25" s="166">
        <v>41</v>
      </c>
      <c r="D25" s="151" t="s">
        <v>159</v>
      </c>
      <c r="E25" s="150">
        <v>11</v>
      </c>
      <c r="F25" s="150">
        <v>0</v>
      </c>
      <c r="G25" s="165">
        <v>225</v>
      </c>
      <c r="H25" s="226">
        <f t="shared" si="5"/>
        <v>20.454545454545453</v>
      </c>
      <c r="I25" s="227">
        <f>+(SUM($G$7:$G$1048576)/SUM($E$7:$E$1048576))*E25</f>
        <v>202.83333333333331</v>
      </c>
      <c r="J25" s="363">
        <f>+Tabla2[[#This Row],[PROM DE USUARIOS]]-Tabla2[[#This Row],[USUARIOS]]</f>
        <v>-22.166666666666686</v>
      </c>
      <c r="K25" s="151"/>
      <c r="L25" s="163">
        <f t="shared" si="6"/>
        <v>112222.49999999999</v>
      </c>
      <c r="M25" s="162">
        <f>+VLOOKUP(C25,Lista!B:D,3,0)</f>
        <v>0</v>
      </c>
      <c r="N25" s="373">
        <f>+(SUMIFS(G:G,M:M,"MICRO",E:E,"&gt;0")*100)/COUNTIF($E$7:$E$27,"&gt;0")</f>
        <v>9823.8095238095229</v>
      </c>
      <c r="O25" s="50">
        <f>+(E25*1)-V25</f>
        <v>11</v>
      </c>
      <c r="P25" s="47">
        <f t="shared" si="7"/>
        <v>191.83333333333331</v>
      </c>
      <c r="Q25" s="49">
        <f>+G25-O25</f>
        <v>214</v>
      </c>
      <c r="R25" s="51">
        <f>+E25*$T$3</f>
        <v>191.83333333333331</v>
      </c>
      <c r="S25" s="46">
        <f t="shared" si="8"/>
        <v>105508.33333333333</v>
      </c>
      <c r="T25" t="str">
        <f t="shared" si="9"/>
        <v/>
      </c>
      <c r="U25">
        <f>+RANK(H25,$H$6:$H$1048576,1)</f>
        <v>18</v>
      </c>
      <c r="Y25" t="str">
        <f>TRIM(Tabla2[[#This Row],[CONDUCTOR]])</f>
        <v>GARCIA DAVID WILSON ALBERTO</v>
      </c>
    </row>
    <row r="26" spans="2:25" x14ac:dyDescent="0.2">
      <c r="B26" s="136" t="s">
        <v>160</v>
      </c>
      <c r="C26" s="166">
        <v>42</v>
      </c>
      <c r="D26" s="151" t="s">
        <v>165</v>
      </c>
      <c r="E26" s="150">
        <v>10</v>
      </c>
      <c r="F26" s="150">
        <v>0</v>
      </c>
      <c r="G26" s="165">
        <v>160</v>
      </c>
      <c r="H26" s="226">
        <f t="shared" si="5"/>
        <v>16</v>
      </c>
      <c r="I26" s="227">
        <f>+(SUM($G$7:$G$1048576)/SUM($E$7:$E$1048576))*E26</f>
        <v>184.39393939393938</v>
      </c>
      <c r="J26" s="363">
        <f>+Tabla2[[#This Row],[PROM DE USUARIOS]]-Tabla2[[#This Row],[USUARIOS]]</f>
        <v>24.393939393939377</v>
      </c>
      <c r="K26" s="151"/>
      <c r="L26" s="163">
        <f t="shared" si="6"/>
        <v>102020.45454545453</v>
      </c>
      <c r="M26" s="162">
        <f>+VLOOKUP(C26,Lista!B:D,3,0)</f>
        <v>0</v>
      </c>
      <c r="N26" s="373">
        <f>+(SUMIFS(G:G,M:M,"MICRO",E:E,"&gt;0")*100)/COUNTIF($E$7:$E$27,"&gt;0")</f>
        <v>9823.8095238095229</v>
      </c>
      <c r="O26" s="50">
        <f>+(E26*1)-V26</f>
        <v>10</v>
      </c>
      <c r="P26" s="47">
        <f t="shared" si="7"/>
        <v>174.39393939393938</v>
      </c>
      <c r="Q26" s="49">
        <f>+G26-O26</f>
        <v>150</v>
      </c>
      <c r="R26" s="51">
        <f>+E26*$T$3</f>
        <v>174.39393939393938</v>
      </c>
      <c r="S26" s="46">
        <f t="shared" si="8"/>
        <v>95916.666666666657</v>
      </c>
      <c r="T26" t="str">
        <f t="shared" si="9"/>
        <v/>
      </c>
      <c r="U26">
        <f>+RANK(H26,$H$6:$H$1048576,1)</f>
        <v>4</v>
      </c>
      <c r="Y26" t="str">
        <f>TRIM(Tabla2[[#This Row],[CONDUCTOR]])</f>
        <v>LOPERA ALVAREZ ESTIVEN</v>
      </c>
    </row>
    <row r="27" spans="2:25" x14ac:dyDescent="0.2">
      <c r="B27" s="136" t="s">
        <v>160</v>
      </c>
      <c r="C27" s="166">
        <v>43</v>
      </c>
      <c r="D27" s="151" t="s">
        <v>156</v>
      </c>
      <c r="E27" s="150">
        <v>9</v>
      </c>
      <c r="F27" s="150">
        <v>0</v>
      </c>
      <c r="G27" s="165">
        <v>184</v>
      </c>
      <c r="H27" s="226">
        <f t="shared" si="5"/>
        <v>20.444444444444443</v>
      </c>
      <c r="I27" s="227">
        <f>+(SUM($G$7:$G$1048576)/SUM($E$7:$E$1048576))*E27</f>
        <v>165.95454545454544</v>
      </c>
      <c r="J27" s="363">
        <f>+Tabla2[[#This Row],[PROM DE USUARIOS]]-Tabla2[[#This Row],[USUARIOS]]</f>
        <v>-18.045454545454561</v>
      </c>
      <c r="K27" s="151"/>
      <c r="L27" s="163">
        <f t="shared" si="6"/>
        <v>91818.409090909088</v>
      </c>
      <c r="M27" s="162">
        <f>+VLOOKUP(C27,Lista!B:D,3,0)</f>
        <v>0</v>
      </c>
      <c r="N27" s="373">
        <f>+(SUMIFS(G:G,M:M,"MICRO",E:E,"&gt;0")*100)/COUNTIF($E$7:$E$27,"&gt;0")</f>
        <v>9823.8095238095229</v>
      </c>
      <c r="O27" s="50">
        <f>+(E27*1)-V27</f>
        <v>9</v>
      </c>
      <c r="P27" s="47">
        <f t="shared" si="7"/>
        <v>156.95454545454544</v>
      </c>
      <c r="Q27" s="49">
        <f>+G27-O27</f>
        <v>175</v>
      </c>
      <c r="R27" s="51">
        <f>+E27*$T$3</f>
        <v>156.95454545454544</v>
      </c>
      <c r="S27" s="46">
        <f t="shared" si="8"/>
        <v>86324.999999999985</v>
      </c>
      <c r="T27" t="str">
        <f t="shared" si="9"/>
        <v/>
      </c>
      <c r="U27">
        <f>+RANK(H27,$H$6:$H$1048576,1)</f>
        <v>17</v>
      </c>
      <c r="Y27" t="str">
        <f>TRIM(Tabla2[[#This Row],[CONDUCTOR]])</f>
        <v>CALLE BOTERO ANDRES CAMILO</v>
      </c>
    </row>
    <row r="28" spans="2:25" x14ac:dyDescent="0.2">
      <c r="B28" s="232"/>
      <c r="C28" s="239">
        <f>SUBTOTAL(102,Tabla2[VEH])</f>
        <v>21</v>
      </c>
      <c r="D28" s="233" t="s">
        <v>129</v>
      </c>
      <c r="E28" s="234">
        <f>SUBTOTAL(109,Tabla2[VIAJES])</f>
        <v>198</v>
      </c>
      <c r="F28" s="234">
        <f>SUBTOTAL(109,Tabla2[VIAJES PERD.])</f>
        <v>0</v>
      </c>
      <c r="G28" s="240">
        <f>SUBTOTAL(109,Tabla2[USUARIOS])</f>
        <v>3651</v>
      </c>
      <c r="H28" s="372">
        <f>+Tabla2[[#Totals],[USUARIOS]]/Tabla2[[#Totals],[VIAJES]]</f>
        <v>18.439393939393938</v>
      </c>
      <c r="I28" s="240">
        <f>SUBTOTAL(109,Tabla2[PROM DE USUARIOS])</f>
        <v>3651.0000000000005</v>
      </c>
      <c r="J28" s="371">
        <f>SUBTOTAL(109,Tabla2[RECIBE / ENTREGA])</f>
        <v>-3.4106051316484809E-13</v>
      </c>
      <c r="K28" s="235" t="s">
        <v>173</v>
      </c>
      <c r="L28" s="236"/>
      <c r="M28" s="237"/>
      <c r="N28" s="238">
        <f>SUBTOTAL(109,Tabla2[DIFER. MICRO - BUS ])</f>
        <v>206300.00000000003</v>
      </c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ref="S28:S45" si="10">+R28*550</f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0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0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0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0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0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0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0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0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0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0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0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0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0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0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0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0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10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8" si="11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11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si="11"/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+(E91*1)-V50</f>
        <v>0</v>
      </c>
      <c r="P50" s="134">
        <f>+I91-O50-W50</f>
        <v>0</v>
      </c>
      <c r="Q50" s="11">
        <f>+G91-O50</f>
        <v>0</v>
      </c>
      <c r="R50">
        <f>+E91*$T$3</f>
        <v>0</v>
      </c>
      <c r="S50">
        <f t="shared" ref="S50:S55" si="13">+R50*550</f>
        <v>0</v>
      </c>
      <c r="T50" t="str">
        <f>+IF(K91&lt;&gt;"",K91,"")</f>
        <v/>
      </c>
      <c r="U50" t="e">
        <f>+RANK(H91,$H$6:$H$1048576,1)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+(E92*1)-V51</f>
        <v>0</v>
      </c>
      <c r="P51" s="134">
        <f>+I92-O51-W51</f>
        <v>0</v>
      </c>
      <c r="Q51" s="11">
        <f>+G92-O51</f>
        <v>0</v>
      </c>
      <c r="R51">
        <f>+E92*$T$3</f>
        <v>0</v>
      </c>
      <c r="S51">
        <f t="shared" si="13"/>
        <v>0</v>
      </c>
      <c r="T51" t="str">
        <f>+IF(K92&lt;&gt;"",K92,"")</f>
        <v/>
      </c>
      <c r="U51" t="e">
        <f>+RANK(H92,$H$6:$H$1048576,1)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+(E93*1)-V52</f>
        <v>0</v>
      </c>
      <c r="P52" s="134">
        <f>+I93-O52-W52</f>
        <v>0</v>
      </c>
      <c r="Q52" s="11">
        <f>+G93-O52</f>
        <v>0</v>
      </c>
      <c r="R52">
        <f>+E93*$T$3</f>
        <v>0</v>
      </c>
      <c r="S52">
        <f t="shared" si="13"/>
        <v>0</v>
      </c>
      <c r="T52" t="str">
        <f>+IF(K93&lt;&gt;"",K93,"")</f>
        <v/>
      </c>
      <c r="U52" t="e">
        <f>+RANK(H93,$H$6:$H$1048576,1)</f>
        <v>#N/A</v>
      </c>
    </row>
    <row r="53" spans="2:21" x14ac:dyDescent="0.2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+(E94*1)-V53</f>
        <v>0</v>
      </c>
      <c r="P53" s="134">
        <f>+I94-O53-W53</f>
        <v>0</v>
      </c>
      <c r="Q53" s="11">
        <f>+G94-O53</f>
        <v>0</v>
      </c>
      <c r="R53">
        <f>+E94*$T$3</f>
        <v>0</v>
      </c>
      <c r="S53">
        <f t="shared" si="13"/>
        <v>0</v>
      </c>
      <c r="T53" t="str">
        <f>+IF(K94&lt;&gt;"",K94,"")</f>
        <v/>
      </c>
      <c r="U53" t="e">
        <f>+RANK(H94,$H$6:$H$1048576,1)</f>
        <v>#N/A</v>
      </c>
    </row>
    <row r="54" spans="2:21" x14ac:dyDescent="0.2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+(E95*1)-V54</f>
        <v>0</v>
      </c>
      <c r="P54" s="134">
        <f>+I95-O54-W54</f>
        <v>0</v>
      </c>
      <c r="Q54" s="11">
        <f>+G95-O54</f>
        <v>0</v>
      </c>
      <c r="R54">
        <f>+E95*$T$3</f>
        <v>0</v>
      </c>
      <c r="S54">
        <f t="shared" si="13"/>
        <v>0</v>
      </c>
      <c r="T54" t="str">
        <f>+IF(K95&lt;&gt;"",K95,"")</f>
        <v/>
      </c>
      <c r="U54" t="e">
        <f>+RANK(H95,$H$6:$H$1048576,1)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+(E96*1)-V55</f>
        <v>0</v>
      </c>
      <c r="P55" s="134">
        <f>+I96-O55-W55</f>
        <v>0</v>
      </c>
      <c r="Q55" s="11">
        <f>+G96-O55</f>
        <v>0</v>
      </c>
      <c r="R55">
        <f>+E96*$T$3</f>
        <v>0</v>
      </c>
      <c r="S55">
        <f t="shared" si="13"/>
        <v>0</v>
      </c>
      <c r="T55" t="str">
        <f>+IF(K96&lt;&gt;"",K96,"")</f>
        <v/>
      </c>
      <c r="U55" t="e">
        <f>+RANK(H96,$H$6:$H$1048576,1)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14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14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2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14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14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14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2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2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2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2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2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2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2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2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2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ht="15" x14ac:dyDescent="0.25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ht="15" x14ac:dyDescent="0.25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ht="15.75" x14ac:dyDescent="0.25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ht="15" x14ac:dyDescent="0.25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2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ht="15" x14ac:dyDescent="0.25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ht="15" x14ac:dyDescent="0.25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2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ht="15" x14ac:dyDescent="0.25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ht="15" x14ac:dyDescent="0.25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ht="15" x14ac:dyDescent="0.25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ht="15" x14ac:dyDescent="0.25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2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ht="15" x14ac:dyDescent="0.25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2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2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2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2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2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2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5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21" priority="175" operator="containsText" text="M">
      <formula>NOT(ISERROR(SEARCH("M",M7)))</formula>
    </cfRule>
  </conditionalFormatting>
  <conditionalFormatting sqref="U6">
    <cfRule type="cellIs" dxfId="20" priority="172" operator="between">
      <formula>1</formula>
      <formula>4</formula>
    </cfRule>
  </conditionalFormatting>
  <conditionalFormatting sqref="E29:E1158 E7:E27">
    <cfRule type="cellIs" dxfId="19" priority="170" operator="greaterThan">
      <formula>7</formula>
    </cfRule>
  </conditionalFormatting>
  <conditionalFormatting sqref="E1468:E4746">
    <cfRule type="cellIs" dxfId="18" priority="137" operator="greaterThan">
      <formula>7</formula>
    </cfRule>
  </conditionalFormatting>
  <conditionalFormatting sqref="I29:I1230 G29:G31 I7:I27">
    <cfRule type="cellIs" dxfId="17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16" priority="297711" operator="greaterThan">
      <formula>$H$28</formula>
    </cfRule>
  </conditionalFormatting>
  <conditionalFormatting sqref="L7:L1230">
    <cfRule type="top10" dxfId="15" priority="297747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112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113</v>
      </c>
      <c r="E2" s="369"/>
      <c r="F2" s="369"/>
      <c r="G2" s="369"/>
      <c r="H2" s="369"/>
      <c r="I2" s="369"/>
      <c r="J2" s="369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117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4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2025-11-10T05:21:23Z</cp:lastPrinted>
  <dcterms:created xsi:type="dcterms:W3CDTF">2021-05-05T13:25:05Z</dcterms:created>
  <dcterms:modified xsi:type="dcterms:W3CDTF">2025-11-10T05:38:03Z</dcterms:modified>
</cp:coreProperties>
</file>