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FCBEA97-B9DD-4F5B-9207-E01DBFF2905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Import!$B$6:$N$1850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G30" i="1"/>
  <c r="I7" i="1" s="1"/>
  <c r="F30" i="1"/>
  <c r="E30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H10" i="1"/>
  <c r="H29" i="1"/>
  <c r="H28" i="1"/>
  <c r="H25" i="1"/>
  <c r="H9" i="1"/>
  <c r="H8" i="1"/>
  <c r="H7" i="1"/>
  <c r="H12" i="1"/>
  <c r="H13" i="1"/>
  <c r="H24" i="1"/>
  <c r="H14" i="1"/>
  <c r="H23" i="1"/>
  <c r="H26" i="1"/>
  <c r="H15" i="1"/>
  <c r="H20" i="1"/>
  <c r="H16" i="1"/>
  <c r="H17" i="1"/>
  <c r="H21" i="1"/>
  <c r="H22" i="1"/>
  <c r="H18" i="1"/>
  <c r="H11" i="1"/>
  <c r="H19" i="1"/>
  <c r="H27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T45" i="1"/>
  <c r="T46" i="1"/>
  <c r="O45" i="1"/>
  <c r="Q45" i="1" s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H11" i="3"/>
  <c r="E13" i="3"/>
  <c r="D12" i="3"/>
  <c r="AP6" i="3"/>
  <c r="I22" i="1" l="1"/>
  <c r="I14" i="1"/>
  <c r="I28" i="1"/>
  <c r="J28" i="1" s="1"/>
  <c r="I18" i="1"/>
  <c r="P18" i="1" s="1"/>
  <c r="L18" i="1" s="1"/>
  <c r="I25" i="1"/>
  <c r="I16" i="1"/>
  <c r="P16" i="1" s="1"/>
  <c r="L16" i="1" s="1"/>
  <c r="I12" i="1"/>
  <c r="J12" i="1" s="1"/>
  <c r="I23" i="1"/>
  <c r="P23" i="1" s="1"/>
  <c r="L23" i="1" s="1"/>
  <c r="I27" i="1"/>
  <c r="I20" i="1"/>
  <c r="I10" i="1"/>
  <c r="J10" i="1" s="1"/>
  <c r="P25" i="1"/>
  <c r="L25" i="1" s="1"/>
  <c r="I19" i="1"/>
  <c r="I21" i="1"/>
  <c r="I15" i="1"/>
  <c r="J15" i="1" s="1"/>
  <c r="I24" i="1"/>
  <c r="J24" i="1" s="1"/>
  <c r="I8" i="1"/>
  <c r="I29" i="1"/>
  <c r="P29" i="1" s="1"/>
  <c r="L29" i="1" s="1"/>
  <c r="I11" i="1"/>
  <c r="J11" i="1" s="1"/>
  <c r="I17" i="1"/>
  <c r="J23" i="1" s="1"/>
  <c r="I26" i="1"/>
  <c r="J26" i="1" s="1"/>
  <c r="I13" i="1"/>
  <c r="P13" i="1" s="1"/>
  <c r="L13" i="1" s="1"/>
  <c r="I9" i="1"/>
  <c r="J9" i="1" s="1"/>
  <c r="H30" i="1"/>
  <c r="U16" i="1" s="1"/>
  <c r="N27" i="1"/>
  <c r="P20" i="1"/>
  <c r="N8" i="1"/>
  <c r="J27" i="1"/>
  <c r="N23" i="1"/>
  <c r="N19" i="1"/>
  <c r="N15" i="1"/>
  <c r="N11" i="1"/>
  <c r="N7" i="1"/>
  <c r="P8" i="1"/>
  <c r="L8" i="1" s="1"/>
  <c r="N26" i="1"/>
  <c r="N22" i="1"/>
  <c r="N18" i="1"/>
  <c r="N14" i="1"/>
  <c r="N10" i="1"/>
  <c r="J7" i="1"/>
  <c r="N29" i="1"/>
  <c r="N25" i="1"/>
  <c r="N21" i="1"/>
  <c r="N17" i="1"/>
  <c r="N13" i="1"/>
  <c r="N9" i="1"/>
  <c r="J22" i="1"/>
  <c r="J18" i="1"/>
  <c r="J14" i="1"/>
  <c r="N28" i="1"/>
  <c r="N24" i="1"/>
  <c r="N20" i="1"/>
  <c r="N16" i="1"/>
  <c r="N12" i="1"/>
  <c r="P27" i="1"/>
  <c r="L27" i="1" s="1"/>
  <c r="P19" i="1"/>
  <c r="L19" i="1" s="1"/>
  <c r="P7" i="1"/>
  <c r="L7" i="1" s="1"/>
  <c r="J29" i="1"/>
  <c r="J25" i="1"/>
  <c r="J13" i="1"/>
  <c r="P26" i="1"/>
  <c r="L26" i="1" s="1"/>
  <c r="P22" i="1"/>
  <c r="L22" i="1" s="1"/>
  <c r="P14" i="1"/>
  <c r="L14" i="1" s="1"/>
  <c r="J20" i="1"/>
  <c r="J16" i="1"/>
  <c r="J8" i="1"/>
  <c r="U40" i="1"/>
  <c r="U44" i="1"/>
  <c r="U41" i="1"/>
  <c r="U30" i="1"/>
  <c r="U42" i="1"/>
  <c r="U31" i="1"/>
  <c r="U43" i="1"/>
  <c r="P41" i="1"/>
  <c r="P37" i="1"/>
  <c r="P33" i="1"/>
  <c r="P44" i="1"/>
  <c r="P40" i="1"/>
  <c r="P36" i="1"/>
  <c r="P32" i="1"/>
  <c r="L20" i="1"/>
  <c r="P43" i="1"/>
  <c r="P39" i="1"/>
  <c r="P35" i="1"/>
  <c r="P31" i="1"/>
  <c r="P42" i="1"/>
  <c r="P38" i="1"/>
  <c r="P34" i="1"/>
  <c r="P30" i="1"/>
  <c r="U46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21" i="1" l="1"/>
  <c r="P10" i="1"/>
  <c r="L10" i="1" s="1"/>
  <c r="U12" i="1"/>
  <c r="U7" i="1"/>
  <c r="U26" i="1"/>
  <c r="U17" i="1"/>
  <c r="U8" i="1"/>
  <c r="U23" i="1"/>
  <c r="U14" i="1"/>
  <c r="U28" i="1"/>
  <c r="P24" i="1"/>
  <c r="L24" i="1" s="1"/>
  <c r="J17" i="1"/>
  <c r="U19" i="1"/>
  <c r="U10" i="1"/>
  <c r="U24" i="1"/>
  <c r="I30" i="1"/>
  <c r="P9" i="1"/>
  <c r="L9" i="1" s="1"/>
  <c r="P11" i="1"/>
  <c r="L11" i="1" s="1"/>
  <c r="P12" i="1"/>
  <c r="L12" i="1" s="1"/>
  <c r="P28" i="1"/>
  <c r="L28" i="1" s="1"/>
  <c r="P15" i="1"/>
  <c r="L15" i="1" s="1"/>
  <c r="U39" i="1"/>
  <c r="U38" i="1"/>
  <c r="U37" i="1"/>
  <c r="U36" i="1"/>
  <c r="J21" i="1"/>
  <c r="U15" i="1"/>
  <c r="U22" i="1"/>
  <c r="U29" i="1"/>
  <c r="U13" i="1"/>
  <c r="U20" i="1"/>
  <c r="U35" i="1"/>
  <c r="U34" i="1"/>
  <c r="U33" i="1"/>
  <c r="U32" i="1"/>
  <c r="U27" i="1"/>
  <c r="U11" i="1"/>
  <c r="U18" i="1"/>
  <c r="U25" i="1"/>
  <c r="U9" i="1"/>
  <c r="J19" i="1"/>
  <c r="P17" i="1"/>
  <c r="L17" i="1" s="1"/>
  <c r="P21" i="1"/>
  <c r="L21" i="1" s="1"/>
  <c r="N30" i="1"/>
  <c r="U45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30" i="1" l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32" i="1"/>
  <c r="S32" i="1" s="1"/>
  <c r="R36" i="1"/>
  <c r="S36" i="1" s="1"/>
  <c r="R40" i="1"/>
  <c r="S40" i="1" s="1"/>
  <c r="R44" i="1"/>
  <c r="S44" i="1" s="1"/>
  <c r="R33" i="1"/>
  <c r="S33" i="1" s="1"/>
  <c r="R37" i="1"/>
  <c r="S37" i="1" s="1"/>
  <c r="R41" i="1"/>
  <c r="S41" i="1" s="1"/>
  <c r="R46" i="1"/>
  <c r="S46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<sst xmlns="http://schemas.openxmlformats.org/spreadsheetml/2006/main" count="270" uniqueCount="176">
  <si>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</si>
  <si>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</si>
  <si>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</si>
  <si>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</si>
  <si>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</si>
  <si>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</si>
  <si>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</si>
  <si>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</si>
  <si>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</si>
  <si>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</si>
  <si>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</si>
  <si>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</si>
  <si>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</si>
  <si>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</si>
  <si>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</si>
  <si>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</si>
  <si>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</si>
  <si>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</si>
  <si>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</si>
  <si>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</si>
  <si>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</si>
  <si>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</si>
  <si>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</si>
  <si>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</si>
  <si>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</si>
  <si>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</si>
  <si>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</si>
  <si>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</si>
  <si>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</si>
  <si>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</si>
  <si>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</si>
  <si>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</si>
  <si>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</si>
  <si>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</si>
  <si>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</si>
  <si>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</si>
  <si>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</si>
  <si>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</si>
  <si>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</si>
  <si>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</si>
  <si>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</si>
  <si>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</si>
  <si>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</si>
  <si>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</si>
  <si>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</si>
  <si>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</si>
  <si>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</si>
  <si>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</si>
  <si>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</si>
  <si>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</si>
  <si>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</si>
  <si>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</si>
  <si>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</si>
  <si>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</si>
  <si>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</si>
  <si>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</si>
  <si>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</si>
  <si>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</si>
  <si>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</si>
  <si>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</si>
  <si>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</si>
  <si>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</si>
  <si>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</si>
  <si>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</si>
  <si>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</si>
  <si>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</si>
  <si>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</si>
  <si>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</si>
  <si>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</si>
  <si>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</si>
  <si>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</si>
  <si>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</si>
  <si>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</si>
  <si>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</si>
  <si>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</si>
  <si>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</si>
  <si>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</si>
  <si>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</si>
  <si>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</si>
  <si>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</si>
  <si>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</si>
  <si>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</si>
  <si>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</si>
  <si>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</si>
  <si>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</si>
  <si>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</si>
  <si>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</si>
  <si>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</si>
  <si>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</si>
  <si>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</si>
  <si>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</si>
  <si>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</si>
  <si>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</si>
  <si>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</si>
  <si>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</si>
  <si>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</si>
  <si>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</si>
  <si>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</si>
  <si>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</si>
  <si>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</si>
  <si>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</si>
  <si>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</si>
  <si>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</si>
  <si>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</si>
  <si>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</si>
  <si>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</si>
  <si>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</si>
  <si>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</si>
  <si>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</si>
  <si>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</si>
  <si>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</si>
  <si>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</si>
  <si>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</si>
  <si>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</si>
  <si>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</si>
  <si>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</si>
  <si>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</si>
  <si>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</si>
  <si>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</si>
  <si>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</si>
  <si>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</si>
  <si>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</si>
  <si>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</si>
  <si>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</si>
  <si>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</si>
  <si>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</si>
  <si>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</si>
  <si>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</si>
  <si>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</si>
  <si>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</si>
  <si>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</si>
  <si>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</si>
  <si>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</si>
  <si>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</si>
  <si>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</si>
  <si>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</si>
  <si>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</si>
  <si>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</si>
  <si>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</si>
  <si>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</si>
  <si>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</si>
  <si>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</si>
  <si>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</si>
  <si>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</si>
  <si>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</si>
  <si>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</si>
  <si>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</si>
  <si>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</si>
  <si>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LOPEZ PINEDA DANIEL ESTIVEN</t>
  </si>
  <si>
    <t>ALBERTO ARISTIZABAL RAFAEL</t>
  </si>
  <si>
    <t>OSORIO URREGO SANTIAGO</t>
  </si>
  <si>
    <t>AGUDELO GARCIA LLORDIN ELIAS</t>
  </si>
  <si>
    <t>QUIRAMA CASTAÑEDA JHON JADER</t>
  </si>
  <si>
    <t>SANCHEZ BETANCOURT FRANSCISCO</t>
  </si>
  <si>
    <t>VERENZUELA MARTINEZ ALEXANDER</t>
  </si>
  <si>
    <t>PEREZ GARCIA JUAN ESTEBAN</t>
  </si>
  <si>
    <t>JIMENEZ HERNANDEZ ESTEBAN CAMILO</t>
  </si>
  <si>
    <t>SUAREZ ESCUDERO JONATAN</t>
  </si>
  <si>
    <t>PARIAS MURIEL JHON FREDY</t>
  </si>
  <si>
    <t>CIRO MARIN RODRIGO ALBERTO</t>
  </si>
  <si>
    <t>VALENCIA MENDOZA JHON</t>
  </si>
  <si>
    <t>FRANCO CARVAJAL GERARDO ANTONIO</t>
  </si>
  <si>
    <t>DAVID  HENRY GIOVANNY</t>
  </si>
  <si>
    <t>88XM</t>
  </si>
  <si>
    <t>MARIN ALZATE KEVIN ANDRES</t>
  </si>
  <si>
    <t>JARAMILLO JARAMILLO FRANCISCO WBEIMAR</t>
  </si>
  <si>
    <t>LAYOS JIMENEZ JOHAN CAMILO</t>
  </si>
  <si>
    <t>PULGARIN GARCIA YONATHAN ANDRES</t>
  </si>
  <si>
    <t>HINCAPIE VILLA JUAN ESTIVEN</t>
  </si>
  <si>
    <t>LOPERA ALVAREZ ESTIVEN</t>
  </si>
  <si>
    <t>FLORES RINCON JORGE ALBERTO</t>
  </si>
  <si>
    <t xml:space="preserve">4 Descuentos (Transbordo y conduct) </t>
  </si>
  <si>
    <t xml:space="preserve">2 Descuentos (Usuarios desubicados) </t>
  </si>
  <si>
    <t xml:space="preserve">2 Descuentos (Despachador)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</si>
  <si>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</si>
  <si>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22.5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</si>
</sst>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Import!$C$7:$C$30</c:f>
              <c:numCache>
                <c:formatCode>0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 formatCode="General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30</c:v>
                </c:pt>
                <c:pt idx="18" formatCode="General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39</c:v>
                </c:pt>
                <c:pt idx="22">
                  <c:v>40</c:v>
                </c:pt>
              </c:numCache>
            </c:numRef>
          </c:cat>
          <c:val>
            <c:numRef>
              <c:f>Import!$H$7:$H$30</c:f>
              <c:numCache>
                <c:formatCode>_-* #,##0.0_-;\-* #,##0.0_-;_-* "-"??_-;_-@_-</c:formatCode>
                <c:ptCount val="23"/>
                <c:pt idx="0">
                  <c:v>24</c:v>
                </c:pt>
                <c:pt idx="1">
                  <c:v>19.625</c:v>
                </c:pt>
                <c:pt idx="2">
                  <c:v>24.3</c:v>
                </c:pt>
                <c:pt idx="3">
                  <c:v>21.625</c:v>
                </c:pt>
                <c:pt idx="4">
                  <c:v>23.888888888888889</c:v>
                </c:pt>
                <c:pt idx="5">
                  <c:v>22.444444444444443</c:v>
                </c:pt>
                <c:pt idx="6">
                  <c:v>21</c:v>
                </c:pt>
                <c:pt idx="7">
                  <c:v>17.75</c:v>
                </c:pt>
                <c:pt idx="8">
                  <c:v>20.222222222222221</c:v>
                </c:pt>
                <c:pt idx="9">
                  <c:v>21.777777777777779</c:v>
                </c:pt>
                <c:pt idx="10">
                  <c:v>23.3</c:v>
                </c:pt>
                <c:pt idx="11">
                  <c:v>26.9</c:v>
                </c:pt>
                <c:pt idx="12">
                  <c:v>28.8</c:v>
                </c:pt>
                <c:pt idx="13">
                  <c:v>19.571428571428573</c:v>
                </c:pt>
                <c:pt idx="14">
                  <c:v>21.4</c:v>
                </c:pt>
                <c:pt idx="15">
                  <c:v>22.09090909090909</c:v>
                </c:pt>
                <c:pt idx="16">
                  <c:v>23.833333333333332</c:v>
                </c:pt>
                <c:pt idx="17">
                  <c:v>20.399999999999999</c:v>
                </c:pt>
                <c:pt idx="18">
                  <c:v>23.5</c:v>
                </c:pt>
                <c:pt idx="19">
                  <c:v>27.411764705882351</c:v>
                </c:pt>
                <c:pt idx="20">
                  <c:v>18.222222222222221</c:v>
                </c:pt>
                <c:pt idx="21">
                  <c:v>19.5</c:v>
                </c:pt>
                <c:pt idx="22">
                  <c:v>27.333333333333332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30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22.5 USUARIOS 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+(SUMIFS(G:G,M:M,"MICRO",E:E,"&gt;0")*100)/COUNTIF($E$7:$E$29,"&gt;0")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50"/>
  <sheetViews>
    <sheetView showGridLines="0" tabSelected="1" showWhiteSpace="0" zoomScaleNormal="100" workbookViewId="0">
      <selection activeCell="K3" sqref="K3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40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9" t="s">
        <v>144</v>
      </c>
      <c r="E1" s="369"/>
      <c r="F1" s="369"/>
      <c r="G1" s="369"/>
      <c r="H1" s="369"/>
      <c r="I1" s="19"/>
      <c r="J1" s="338"/>
      <c r="K1" s="195"/>
      <c r="L1"/>
    </row>
    <row r="2" spans="1:32" ht="49.5" thickBot="1" x14ac:dyDescent="0.35">
      <c r="D2" s="370" t="s">
        <v>143</v>
      </c>
      <c r="E2" s="370"/>
      <c r="F2" s="370"/>
      <c r="G2" s="370"/>
      <c r="H2" s="370"/>
      <c r="I2" s="370"/>
      <c r="J2" s="370"/>
      <c r="K2" s="370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1"/>
      <c r="C3" s="371"/>
      <c r="D3" s="371"/>
      <c r="E3" s="371"/>
      <c r="F3" s="371"/>
      <c r="G3" s="241"/>
      <c r="H3" s="243"/>
      <c r="I3" s="19"/>
      <c r="J3" s="338"/>
      <c r="K3" s="195"/>
      <c r="L3" s="197"/>
      <c r="Q3" s="55">
        <f>+SUM(G6:G1841)/2</f>
        <v>4358</v>
      </c>
      <c r="R3" s="55">
        <f>+SUM(E6:E1841)/2</f>
        <v>193.5</v>
      </c>
      <c r="S3" s="55">
        <f>+Q3-R3</f>
        <v>4164.5</v>
      </c>
      <c r="T3" s="56">
        <f>+S3/R3</f>
        <v>21.521963824289404</v>
      </c>
      <c r="V3" s="15"/>
      <c r="X3" s="15"/>
      <c r="Z3" s="15"/>
      <c r="AB3" s="15"/>
      <c r="AD3" s="15"/>
      <c r="AF3" s="15"/>
    </row>
    <row r="4" spans="1:32" x14ac:dyDescent="0.2">
      <c r="B4" s="371"/>
      <c r="C4" s="371"/>
      <c r="D4" s="371"/>
      <c r="E4" s="371"/>
      <c r="F4" s="371"/>
      <c r="G4" s="194">
        <v>45977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163</v>
      </c>
      <c r="C7" s="166">
        <v>1</v>
      </c>
      <c r="D7" s="151" t="s">
        <v>168</v>
      </c>
      <c r="E7" s="150">
        <v>9</v>
      </c>
      <c r="F7" s="150">
        <v>0</v>
      </c>
      <c r="G7" s="165">
        <v>216</v>
      </c>
      <c r="H7" s="226">
        <f t="shared" ref="H7:H29" si="0">+G7/E7</f>
        <v>24</v>
      </c>
      <c r="I7" s="227">
        <f t="shared" ref="I7:I29" si="1">+(SUM($G$7:$G$1048576)/SUM($E$7:$E$1048576))*E7</f>
        <v>202.69767441860463</v>
      </c>
      <c r="J7" s="363">
        <f>+Tabla2[[#This Row],[PROM DE USUARIOS]]-Tabla2[[#This Row],[USUARIOS]]</f>
        <v>-13.302325581395365</v>
      </c>
      <c r="K7" s="151"/>
      <c r="L7" s="163">
        <f t="shared" ref="L7:L29" si="2">P7*585</f>
        <v>113313.13953488371</v>
      </c>
      <c r="M7" s="162" t="str">
        <f>+VLOOKUP(C7,Lista!B:D,3,0)</f>
        <v>MICRO</v>
      </c>
      <c r="N7" s="368">
        <f t="shared" ref="N7:N29" si="3">+(SUMIFS(G:G,M:M,"MICRO",E:E,"&gt;0")*100)/COUNTIF($E$7:$E$29,"&gt;0")</f>
        <v>16086.95652173913</v>
      </c>
      <c r="O7" s="50">
        <f t="shared" ref="O7:O29" si="4">+(E7*1)-V7</f>
        <v>9</v>
      </c>
      <c r="P7" s="47">
        <f t="shared" ref="P7:P29" si="5">+I7-O7-W7</f>
        <v>193.69767441860463</v>
      </c>
      <c r="Q7" s="49">
        <f t="shared" ref="Q7:Q29" si="6">+G7-O7</f>
        <v>207</v>
      </c>
      <c r="R7" s="51">
        <f t="shared" ref="R7:R29" si="7">+E7*$T$3</f>
        <v>193.69767441860463</v>
      </c>
      <c r="S7" s="46">
        <f t="shared" ref="S7:S29" si="8">+R7*550</f>
        <v>106533.72093023255</v>
      </c>
      <c r="T7" t="str">
        <f t="shared" ref="T7:T29" si="9">+IF(K7&lt;&gt;"",K7,"")</f>
        <v/>
      </c>
      <c r="U7">
        <f t="shared" ref="U7:U29" si="10">+RANK(H7,$H$6:$H$1048576,1)</f>
        <v>19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163</v>
      </c>
      <c r="C8" s="166">
        <v>2</v>
      </c>
      <c r="D8" s="151" t="s">
        <v>158</v>
      </c>
      <c r="E8" s="150">
        <v>8</v>
      </c>
      <c r="F8" s="150">
        <v>0</v>
      </c>
      <c r="G8" s="165">
        <v>157</v>
      </c>
      <c r="H8" s="226">
        <f t="shared" si="0"/>
        <v>19.625</v>
      </c>
      <c r="I8" s="227">
        <f t="shared" si="1"/>
        <v>180.17571059431523</v>
      </c>
      <c r="J8" s="363">
        <f>+Tabla2[[#This Row],[PROM DE USUARIOS]]-Tabla2[[#This Row],[USUARIOS]]</f>
        <v>23.175710594315234</v>
      </c>
      <c r="K8" s="151" t="s">
        <v>171</v>
      </c>
      <c r="L8" s="163">
        <f t="shared" si="2"/>
        <v>100722.79069767441</v>
      </c>
      <c r="M8" s="162">
        <f>+VLOOKUP(C8,Lista!B:D,3,0)</f>
        <v>0</v>
      </c>
      <c r="N8" s="368">
        <f t="shared" si="3"/>
        <v>16086.95652173913</v>
      </c>
      <c r="O8" s="50">
        <f t="shared" si="4"/>
        <v>8</v>
      </c>
      <c r="P8" s="47">
        <f t="shared" si="5"/>
        <v>172.17571059431523</v>
      </c>
      <c r="Q8" s="49">
        <f t="shared" si="6"/>
        <v>149</v>
      </c>
      <c r="R8" s="51">
        <f t="shared" si="7"/>
        <v>172.17571059431523</v>
      </c>
      <c r="S8" s="46">
        <f t="shared" si="8"/>
        <v>94696.640826873379</v>
      </c>
      <c r="T8" t="str">
        <f t="shared" si="9"/>
        <v xml:space="preserve">4 Descuentos (Transbordo y conduct) </v>
      </c>
      <c r="U8">
        <f t="shared" si="10"/>
        <v>5</v>
      </c>
      <c r="Y8" t="str">
        <f>TRIM(Tabla2[[#This Row],[CONDUCTOR]])</f>
        <v>PARIAS MURIEL JHON FREDY</v>
      </c>
    </row>
    <row r="9" spans="1:32" x14ac:dyDescent="0.2">
      <c r="B9" s="136" t="s">
        <v>163</v>
      </c>
      <c r="C9" s="166">
        <v>4</v>
      </c>
      <c r="D9" s="151" t="s">
        <v>153</v>
      </c>
      <c r="E9" s="150">
        <v>10</v>
      </c>
      <c r="F9" s="150">
        <v>0</v>
      </c>
      <c r="G9" s="165">
        <v>243</v>
      </c>
      <c r="H9" s="226">
        <f t="shared" si="0"/>
        <v>24.3</v>
      </c>
      <c r="I9" s="227">
        <f t="shared" si="1"/>
        <v>225.21963824289404</v>
      </c>
      <c r="J9" s="363">
        <f>+Tabla2[[#This Row],[PROM DE USUARIOS]]-Tabla2[[#This Row],[USUARIOS]]</f>
        <v>-17.780361757105965</v>
      </c>
      <c r="K9" s="151"/>
      <c r="L9" s="163">
        <f t="shared" si="2"/>
        <v>125903.48837209301</v>
      </c>
      <c r="M9" s="162" t="str">
        <f>+VLOOKUP(C9,Lista!B:D,3,0)</f>
        <v>MICRO</v>
      </c>
      <c r="N9" s="368">
        <f t="shared" si="3"/>
        <v>16086.95652173913</v>
      </c>
      <c r="O9" s="50">
        <f t="shared" si="4"/>
        <v>10</v>
      </c>
      <c r="P9" s="47">
        <f t="shared" si="5"/>
        <v>215.21963824289404</v>
      </c>
      <c r="Q9" s="49">
        <f t="shared" si="6"/>
        <v>233</v>
      </c>
      <c r="R9" s="51">
        <f t="shared" si="7"/>
        <v>215.21963824289404</v>
      </c>
      <c r="S9" s="46">
        <f t="shared" si="8"/>
        <v>118370.80103359172</v>
      </c>
      <c r="T9" t="str">
        <f t="shared" si="9"/>
        <v/>
      </c>
      <c r="U9">
        <f t="shared" si="10"/>
        <v>20</v>
      </c>
      <c r="Y9" t="str">
        <f>TRIM(Tabla2[[#This Row],[CONDUCTOR]])</f>
        <v>SANCHEZ BETANCOURT FRANSCISCO</v>
      </c>
    </row>
    <row r="10" spans="1:32" x14ac:dyDescent="0.2">
      <c r="B10" s="136" t="s">
        <v>163</v>
      </c>
      <c r="C10" s="137">
        <v>6</v>
      </c>
      <c r="D10" s="151" t="s">
        <v>148</v>
      </c>
      <c r="E10" s="150">
        <v>8</v>
      </c>
      <c r="F10" s="150">
        <v>0</v>
      </c>
      <c r="G10" s="146">
        <v>173</v>
      </c>
      <c r="H10" s="226">
        <f t="shared" si="0"/>
        <v>21.625</v>
      </c>
      <c r="I10" s="227">
        <f t="shared" si="1"/>
        <v>180.17571059431523</v>
      </c>
      <c r="J10" s="363">
        <f>+Tabla2[[#This Row],[PROM DE USUARIOS]]-Tabla2[[#This Row],[USUARIOS]]</f>
        <v>7.1757105943152339</v>
      </c>
      <c r="K10" s="151"/>
      <c r="L10" s="163">
        <f t="shared" si="2"/>
        <v>100722.79069767441</v>
      </c>
      <c r="M10" s="162" t="str">
        <f>+VLOOKUP(C10,Lista!B:D,3,0)</f>
        <v>MICRO</v>
      </c>
      <c r="N10" s="368">
        <f t="shared" si="3"/>
        <v>16086.95652173913</v>
      </c>
      <c r="O10" s="50">
        <f t="shared" si="4"/>
        <v>8</v>
      </c>
      <c r="P10" s="47">
        <f t="shared" si="5"/>
        <v>172.17571059431523</v>
      </c>
      <c r="Q10" s="49">
        <f t="shared" si="6"/>
        <v>165</v>
      </c>
      <c r="R10" s="51">
        <f t="shared" si="7"/>
        <v>172.17571059431523</v>
      </c>
      <c r="S10" s="46">
        <f t="shared" si="8"/>
        <v>94696.640826873379</v>
      </c>
      <c r="T10" t="str">
        <f t="shared" si="9"/>
        <v/>
      </c>
      <c r="U10">
        <f t="shared" si="10"/>
        <v>10</v>
      </c>
      <c r="Y10" t="str">
        <f>TRIM(Tabla2[[#This Row],[CONDUCTOR]])</f>
        <v>LOPEZ PINEDA DANIEL ESTIVEN</v>
      </c>
    </row>
    <row r="11" spans="1:32" x14ac:dyDescent="0.2">
      <c r="B11" s="136" t="s">
        <v>163</v>
      </c>
      <c r="C11" s="166">
        <v>8</v>
      </c>
      <c r="D11" s="151" t="s">
        <v>154</v>
      </c>
      <c r="E11" s="150">
        <v>9</v>
      </c>
      <c r="F11" s="150">
        <v>0</v>
      </c>
      <c r="G11" s="165">
        <v>215</v>
      </c>
      <c r="H11" s="226">
        <f t="shared" si="0"/>
        <v>23.888888888888889</v>
      </c>
      <c r="I11" s="227">
        <f t="shared" si="1"/>
        <v>202.69767441860463</v>
      </c>
      <c r="J11" s="363">
        <f>+Tabla2[[#This Row],[PROM DE USUARIOS]]-Tabla2[[#This Row],[USUARIOS]]</f>
        <v>-12.302325581395365</v>
      </c>
      <c r="K11" s="151"/>
      <c r="L11" s="163">
        <f t="shared" si="2"/>
        <v>113313.13953488371</v>
      </c>
      <c r="M11" s="162">
        <f>+VLOOKUP(C11,Lista!B:D,3,0)</f>
        <v>0</v>
      </c>
      <c r="N11" s="368">
        <f t="shared" si="3"/>
        <v>16086.95652173913</v>
      </c>
      <c r="O11" s="50">
        <f t="shared" si="4"/>
        <v>9</v>
      </c>
      <c r="P11" s="47">
        <f t="shared" si="5"/>
        <v>193.69767441860463</v>
      </c>
      <c r="Q11" s="49">
        <f t="shared" si="6"/>
        <v>206</v>
      </c>
      <c r="R11" s="51">
        <f t="shared" si="7"/>
        <v>193.69767441860463</v>
      </c>
      <c r="S11" s="46">
        <f t="shared" si="8"/>
        <v>106533.72093023255</v>
      </c>
      <c r="T11" t="str">
        <f t="shared" si="9"/>
        <v/>
      </c>
      <c r="U11">
        <f t="shared" si="10"/>
        <v>18</v>
      </c>
      <c r="Y11" t="str">
        <f>TRIM(Tabla2[[#This Row],[CONDUCTOR]])</f>
        <v>VERENZUELA MARTINEZ ALEXANDER</v>
      </c>
    </row>
    <row r="12" spans="1:32" x14ac:dyDescent="0.2">
      <c r="B12" s="136" t="s">
        <v>163</v>
      </c>
      <c r="C12" s="166">
        <v>10</v>
      </c>
      <c r="D12" s="151" t="s">
        <v>164</v>
      </c>
      <c r="E12" s="150">
        <v>9</v>
      </c>
      <c r="F12" s="150">
        <v>0</v>
      </c>
      <c r="G12" s="165">
        <v>202</v>
      </c>
      <c r="H12" s="226">
        <f t="shared" si="0"/>
        <v>22.444444444444443</v>
      </c>
      <c r="I12" s="227">
        <f t="shared" si="1"/>
        <v>202.69767441860463</v>
      </c>
      <c r="J12" s="363">
        <f>+Tabla2[[#This Row],[PROM DE USUARIOS]]-Tabla2[[#This Row],[USUARIOS]]</f>
        <v>0.69767441860463464</v>
      </c>
      <c r="K12" s="151"/>
      <c r="L12" s="163">
        <f t="shared" si="2"/>
        <v>113313.13953488371</v>
      </c>
      <c r="M12" s="162" t="str">
        <f>+VLOOKUP(C12,Lista!B:D,3,0)</f>
        <v>MICRO</v>
      </c>
      <c r="N12" s="368">
        <f t="shared" si="3"/>
        <v>16086.95652173913</v>
      </c>
      <c r="O12" s="50">
        <f t="shared" si="4"/>
        <v>9</v>
      </c>
      <c r="P12" s="47">
        <f t="shared" si="5"/>
        <v>193.69767441860463</v>
      </c>
      <c r="Q12" s="49">
        <f t="shared" si="6"/>
        <v>193</v>
      </c>
      <c r="R12" s="51">
        <f t="shared" si="7"/>
        <v>193.69767441860463</v>
      </c>
      <c r="S12" s="46">
        <f t="shared" si="8"/>
        <v>106533.72093023255</v>
      </c>
      <c r="T12" t="str">
        <f t="shared" si="9"/>
        <v/>
      </c>
      <c r="U12">
        <f t="shared" si="10"/>
        <v>13</v>
      </c>
      <c r="Y12" t="str">
        <f>TRIM(Tabla2[[#This Row],[CONDUCTOR]])</f>
        <v>MARIN ALZATE KEVIN ANDRES</v>
      </c>
    </row>
    <row r="13" spans="1:32" x14ac:dyDescent="0.2">
      <c r="B13" s="136" t="s">
        <v>163</v>
      </c>
      <c r="C13" s="166">
        <v>11</v>
      </c>
      <c r="D13" s="151" t="s">
        <v>157</v>
      </c>
      <c r="E13" s="150">
        <v>5</v>
      </c>
      <c r="F13" s="150">
        <v>0</v>
      </c>
      <c r="G13" s="165">
        <v>105</v>
      </c>
      <c r="H13" s="226">
        <f t="shared" si="0"/>
        <v>21</v>
      </c>
      <c r="I13" s="227">
        <f t="shared" si="1"/>
        <v>112.60981912144702</v>
      </c>
      <c r="J13" s="363">
        <f>+Tabla2[[#This Row],[PROM DE USUARIOS]]-Tabla2[[#This Row],[USUARIOS]]</f>
        <v>7.6098191214470177</v>
      </c>
      <c r="K13" s="151"/>
      <c r="L13" s="163">
        <f t="shared" si="2"/>
        <v>62951.744186046504</v>
      </c>
      <c r="M13" s="162" t="str">
        <f>+VLOOKUP(C13,Lista!B:D,3,0)</f>
        <v>MICRO</v>
      </c>
      <c r="N13" s="368">
        <f t="shared" si="3"/>
        <v>16086.95652173913</v>
      </c>
      <c r="O13" s="50">
        <f t="shared" si="4"/>
        <v>5</v>
      </c>
      <c r="P13" s="47">
        <f t="shared" si="5"/>
        <v>107.60981912144702</v>
      </c>
      <c r="Q13" s="49">
        <f t="shared" si="6"/>
        <v>100</v>
      </c>
      <c r="R13" s="51">
        <f t="shared" si="7"/>
        <v>107.60981912144702</v>
      </c>
      <c r="S13" s="46">
        <f t="shared" si="8"/>
        <v>59185.40051679586</v>
      </c>
      <c r="T13" t="str">
        <f t="shared" si="9"/>
        <v/>
      </c>
      <c r="U13">
        <f t="shared" si="10"/>
        <v>8</v>
      </c>
      <c r="Y13" t="str">
        <f>TRIM(Tabla2[[#This Row],[CONDUCTOR]])</f>
        <v>SUAREZ ESCUDERO JONATAN</v>
      </c>
    </row>
    <row r="14" spans="1:32" x14ac:dyDescent="0.2">
      <c r="B14" s="136" t="s">
        <v>163</v>
      </c>
      <c r="C14" s="166">
        <v>14</v>
      </c>
      <c r="D14" s="151" t="s">
        <v>122</v>
      </c>
      <c r="E14" s="150">
        <v>8</v>
      </c>
      <c r="F14" s="150">
        <v>0</v>
      </c>
      <c r="G14" s="165">
        <v>142</v>
      </c>
      <c r="H14" s="226">
        <f t="shared" si="0"/>
        <v>17.75</v>
      </c>
      <c r="I14" s="227">
        <f t="shared" si="1"/>
        <v>180.17571059431523</v>
      </c>
      <c r="J14" s="363">
        <f>+Tabla2[[#This Row],[PROM DE USUARIOS]]-Tabla2[[#This Row],[USUARIOS]]</f>
        <v>38.175710594315234</v>
      </c>
      <c r="K14" s="151"/>
      <c r="L14" s="163">
        <f t="shared" si="2"/>
        <v>100722.79069767441</v>
      </c>
      <c r="M14" s="162">
        <f>+VLOOKUP(C14,Lista!B:D,3,0)</f>
        <v>0</v>
      </c>
      <c r="N14" s="368">
        <f t="shared" si="3"/>
        <v>16086.95652173913</v>
      </c>
      <c r="O14" s="50">
        <f t="shared" si="4"/>
        <v>8</v>
      </c>
      <c r="P14" s="47">
        <f t="shared" si="5"/>
        <v>172.17571059431523</v>
      </c>
      <c r="Q14" s="49">
        <f t="shared" si="6"/>
        <v>134</v>
      </c>
      <c r="R14" s="51">
        <f t="shared" si="7"/>
        <v>172.17571059431523</v>
      </c>
      <c r="S14" s="46">
        <f t="shared" si="8"/>
        <v>94696.640826873379</v>
      </c>
      <c r="T14" t="str">
        <f t="shared" si="9"/>
        <v/>
      </c>
      <c r="U14">
        <f t="shared" si="10"/>
        <v>1</v>
      </c>
      <c r="Y14" t="str">
        <f>TRIM(Tabla2[[#This Row],[CONDUCTOR]])</f>
        <v>DURANGO PAEZ GILDARDO</v>
      </c>
    </row>
    <row r="15" spans="1:32" x14ac:dyDescent="0.2">
      <c r="B15" s="136" t="s">
        <v>163</v>
      </c>
      <c r="C15" s="166">
        <v>16</v>
      </c>
      <c r="D15" s="151" t="s">
        <v>155</v>
      </c>
      <c r="E15" s="150">
        <v>9</v>
      </c>
      <c r="F15" s="150">
        <v>0</v>
      </c>
      <c r="G15" s="165">
        <v>182</v>
      </c>
      <c r="H15" s="226">
        <f t="shared" si="0"/>
        <v>20.222222222222221</v>
      </c>
      <c r="I15" s="227">
        <f t="shared" si="1"/>
        <v>202.69767441860463</v>
      </c>
      <c r="J15" s="363">
        <f>+Tabla2[[#This Row],[PROM DE USUARIOS]]-Tabla2[[#This Row],[USUARIOS]]</f>
        <v>20.697674418604635</v>
      </c>
      <c r="K15" s="151"/>
      <c r="L15" s="163">
        <f t="shared" si="2"/>
        <v>113313.13953488371</v>
      </c>
      <c r="M15" s="162" t="str">
        <f>+VLOOKUP(C15,Lista!B:D,3,0)</f>
        <v>MICRO</v>
      </c>
      <c r="N15" s="368">
        <f t="shared" si="3"/>
        <v>16086.95652173913</v>
      </c>
      <c r="O15" s="50">
        <f t="shared" si="4"/>
        <v>9</v>
      </c>
      <c r="P15" s="47">
        <f t="shared" si="5"/>
        <v>193.69767441860463</v>
      </c>
      <c r="Q15" s="49">
        <f t="shared" si="6"/>
        <v>173</v>
      </c>
      <c r="R15" s="51">
        <f t="shared" si="7"/>
        <v>193.69767441860463</v>
      </c>
      <c r="S15" s="46">
        <f t="shared" si="8"/>
        <v>106533.72093023255</v>
      </c>
      <c r="T15" t="str">
        <f t="shared" si="9"/>
        <v/>
      </c>
      <c r="U15">
        <f t="shared" si="10"/>
        <v>6</v>
      </c>
      <c r="Y15" t="str">
        <f>TRIM(Tabla2[[#This Row],[CONDUCTOR]])</f>
        <v>PEREZ GARCIA JUAN ESTEBAN</v>
      </c>
    </row>
    <row r="16" spans="1:32" x14ac:dyDescent="0.2">
      <c r="B16" s="136" t="s">
        <v>163</v>
      </c>
      <c r="C16" s="166">
        <v>18</v>
      </c>
      <c r="D16" s="151" t="s">
        <v>149</v>
      </c>
      <c r="E16" s="150">
        <v>9</v>
      </c>
      <c r="F16" s="150">
        <v>0</v>
      </c>
      <c r="G16" s="146">
        <v>196</v>
      </c>
      <c r="H16" s="226">
        <f t="shared" si="0"/>
        <v>21.777777777777779</v>
      </c>
      <c r="I16" s="364">
        <f t="shared" si="1"/>
        <v>202.69767441860463</v>
      </c>
      <c r="J16" s="363">
        <f>+Tabla2[[#This Row],[PROM DE USUARIOS]]-Tabla2[[#This Row],[USUARIOS]]</f>
        <v>6.6976744186046346</v>
      </c>
      <c r="K16" s="151" t="s">
        <v>172</v>
      </c>
      <c r="L16" s="163">
        <f t="shared" si="2"/>
        <v>113313.13953488371</v>
      </c>
      <c r="M16" s="162" t="str">
        <f>+VLOOKUP(C16,Lista!B:D,3,0)</f>
        <v>MICRO</v>
      </c>
      <c r="N16" s="368">
        <f t="shared" si="3"/>
        <v>16086.95652173913</v>
      </c>
      <c r="O16" s="50">
        <f t="shared" si="4"/>
        <v>9</v>
      </c>
      <c r="P16" s="47">
        <f t="shared" si="5"/>
        <v>193.69767441860463</v>
      </c>
      <c r="Q16" s="49">
        <f t="shared" si="6"/>
        <v>187</v>
      </c>
      <c r="R16" s="51">
        <f t="shared" si="7"/>
        <v>193.69767441860463</v>
      </c>
      <c r="S16" s="46">
        <f t="shared" si="8"/>
        <v>106533.72093023255</v>
      </c>
      <c r="T16" t="str">
        <f t="shared" si="9"/>
        <v xml:space="preserve">2 Descuentos (Usuarios desubicados) </v>
      </c>
      <c r="U16">
        <f t="shared" si="10"/>
        <v>11</v>
      </c>
      <c r="Y16" t="str">
        <f>TRIM(Tabla2[[#This Row],[CONDUCTOR]])</f>
        <v>ALBERTO ARISTIZABAL RAFAEL</v>
      </c>
    </row>
    <row r="17" spans="2:25" x14ac:dyDescent="0.2">
      <c r="B17" s="136" t="s">
        <v>163</v>
      </c>
      <c r="C17" s="166">
        <v>20</v>
      </c>
      <c r="D17" s="151" t="s">
        <v>160</v>
      </c>
      <c r="E17" s="150">
        <v>10</v>
      </c>
      <c r="F17" s="150">
        <v>0</v>
      </c>
      <c r="G17" s="165">
        <v>233</v>
      </c>
      <c r="H17" s="226">
        <f t="shared" si="0"/>
        <v>23.3</v>
      </c>
      <c r="I17" s="227">
        <f t="shared" si="1"/>
        <v>225.21963824289404</v>
      </c>
      <c r="J17" s="363">
        <f>+Tabla2[[#This Row],[PROM DE USUARIOS]]-Tabla2[[#This Row],[USUARIOS]]</f>
        <v>-7.7803617571059647</v>
      </c>
      <c r="K17" s="151"/>
      <c r="L17" s="163">
        <f t="shared" si="2"/>
        <v>125903.48837209301</v>
      </c>
      <c r="M17" s="162" t="str">
        <f>+VLOOKUP(C17,Lista!B:D,3,0)</f>
        <v>MICRO</v>
      </c>
      <c r="N17" s="368">
        <f t="shared" si="3"/>
        <v>16086.95652173913</v>
      </c>
      <c r="O17" s="50">
        <f t="shared" si="4"/>
        <v>10</v>
      </c>
      <c r="P17" s="47">
        <f t="shared" si="5"/>
        <v>215.21963824289404</v>
      </c>
      <c r="Q17" s="49">
        <f t="shared" si="6"/>
        <v>223</v>
      </c>
      <c r="R17" s="51">
        <f t="shared" si="7"/>
        <v>215.21963824289404</v>
      </c>
      <c r="S17" s="46">
        <f t="shared" si="8"/>
        <v>118370.80103359172</v>
      </c>
      <c r="T17" t="str">
        <f t="shared" si="9"/>
        <v/>
      </c>
      <c r="U17">
        <f t="shared" si="10"/>
        <v>15</v>
      </c>
      <c r="Y17" t="str">
        <f>TRIM(Tabla2[[#This Row],[CONDUCTOR]])</f>
        <v>VALENCIA MENDOZA JHON</v>
      </c>
    </row>
    <row r="18" spans="2:25" x14ac:dyDescent="0.2">
      <c r="B18" s="136" t="s">
        <v>163</v>
      </c>
      <c r="C18" s="166">
        <v>21</v>
      </c>
      <c r="D18" s="151" t="s">
        <v>162</v>
      </c>
      <c r="E18" s="150">
        <v>10</v>
      </c>
      <c r="F18" s="150">
        <v>0</v>
      </c>
      <c r="G18" s="165">
        <v>269</v>
      </c>
      <c r="H18" s="226">
        <f t="shared" si="0"/>
        <v>26.9</v>
      </c>
      <c r="I18" s="227">
        <f t="shared" si="1"/>
        <v>225.21963824289404</v>
      </c>
      <c r="J18" s="363">
        <f>+Tabla2[[#This Row],[PROM DE USUARIOS]]-Tabla2[[#This Row],[USUARIOS]]</f>
        <v>-43.780361757105965</v>
      </c>
      <c r="K18" s="151" t="s">
        <v>173</v>
      </c>
      <c r="L18" s="163">
        <f t="shared" si="2"/>
        <v>125903.48837209301</v>
      </c>
      <c r="M18" s="162" t="str">
        <f>+VLOOKUP(C18,Lista!B:D,3,0)</f>
        <v>MICRO</v>
      </c>
      <c r="N18" s="368">
        <f t="shared" si="3"/>
        <v>16086.95652173913</v>
      </c>
      <c r="O18" s="50">
        <f t="shared" si="4"/>
        <v>10</v>
      </c>
      <c r="P18" s="47">
        <f t="shared" si="5"/>
        <v>215.21963824289404</v>
      </c>
      <c r="Q18" s="49">
        <f t="shared" si="6"/>
        <v>259</v>
      </c>
      <c r="R18" s="51">
        <f t="shared" si="7"/>
        <v>215.21963824289404</v>
      </c>
      <c r="S18" s="46">
        <f t="shared" si="8"/>
        <v>118370.80103359172</v>
      </c>
      <c r="T18" t="str">
        <f t="shared" si="9"/>
        <v xml:space="preserve">2 Descuentos (Despachador) </v>
      </c>
      <c r="U18">
        <f t="shared" si="10"/>
        <v>21</v>
      </c>
      <c r="Y18" t="str">
        <f>TRIM(Tabla2[[#This Row],[CONDUCTOR]])</f>
        <v>DAVID HENRY GIOVANNY</v>
      </c>
    </row>
    <row r="19" spans="2:25" x14ac:dyDescent="0.2">
      <c r="B19" s="136" t="s">
        <v>163</v>
      </c>
      <c r="C19" s="166">
        <v>22</v>
      </c>
      <c r="D19" s="151" t="s">
        <v>152</v>
      </c>
      <c r="E19" s="150">
        <v>5</v>
      </c>
      <c r="F19" s="150">
        <v>0</v>
      </c>
      <c r="G19" s="146">
        <v>144</v>
      </c>
      <c r="H19" s="226">
        <f t="shared" si="0"/>
        <v>28.8</v>
      </c>
      <c r="I19" s="364">
        <f t="shared" si="1"/>
        <v>112.60981912144702</v>
      </c>
      <c r="J19" s="363">
        <f>+Tabla2[[#This Row],[PROM DE USUARIOS]]-Tabla2[[#This Row],[USUARIOS]]</f>
        <v>-31.390180878552982</v>
      </c>
      <c r="K19" s="151"/>
      <c r="L19" s="163">
        <f t="shared" si="2"/>
        <v>62951.744186046504</v>
      </c>
      <c r="M19" s="162">
        <f>+VLOOKUP(C19,Lista!B:D,3,0)</f>
        <v>0</v>
      </c>
      <c r="N19" s="368">
        <f t="shared" si="3"/>
        <v>16086.95652173913</v>
      </c>
      <c r="O19" s="50">
        <f t="shared" si="4"/>
        <v>5</v>
      </c>
      <c r="P19" s="47">
        <f t="shared" si="5"/>
        <v>107.60981912144702</v>
      </c>
      <c r="Q19" s="49">
        <f t="shared" si="6"/>
        <v>139</v>
      </c>
      <c r="R19" s="51">
        <f t="shared" si="7"/>
        <v>107.60981912144702</v>
      </c>
      <c r="S19" s="46">
        <f t="shared" si="8"/>
        <v>59185.40051679586</v>
      </c>
      <c r="T19" t="str">
        <f t="shared" si="9"/>
        <v/>
      </c>
      <c r="U19">
        <f t="shared" si="10"/>
        <v>24</v>
      </c>
      <c r="Y19" t="str">
        <f>TRIM(Tabla2[[#This Row],[CONDUCTOR]])</f>
        <v>QUIRAMA CASTAÑEDA JHON JADER</v>
      </c>
    </row>
    <row r="20" spans="2:25" x14ac:dyDescent="0.2">
      <c r="B20" s="136" t="s">
        <v>163</v>
      </c>
      <c r="C20" s="166">
        <v>24</v>
      </c>
      <c r="D20" s="151" t="s">
        <v>156</v>
      </c>
      <c r="E20" s="150">
        <v>7</v>
      </c>
      <c r="F20" s="150">
        <v>0</v>
      </c>
      <c r="G20" s="165">
        <v>137</v>
      </c>
      <c r="H20" s="226">
        <f t="shared" si="0"/>
        <v>19.571428571428573</v>
      </c>
      <c r="I20" s="227">
        <f t="shared" si="1"/>
        <v>157.65374677002583</v>
      </c>
      <c r="J20" s="363">
        <f>+Tabla2[[#This Row],[PROM DE USUARIOS]]-Tabla2[[#This Row],[USUARIOS]]</f>
        <v>20.653746770025833</v>
      </c>
      <c r="K20" s="151"/>
      <c r="L20" s="163">
        <f t="shared" si="2"/>
        <v>88132.441860465115</v>
      </c>
      <c r="M20" s="162" t="str">
        <f>+VLOOKUP(C20,Lista!B:D,3,0)</f>
        <v>MICRO</v>
      </c>
      <c r="N20" s="368">
        <f t="shared" si="3"/>
        <v>16086.95652173913</v>
      </c>
      <c r="O20" s="50">
        <f t="shared" si="4"/>
        <v>7</v>
      </c>
      <c r="P20" s="47">
        <f t="shared" si="5"/>
        <v>150.65374677002583</v>
      </c>
      <c r="Q20" s="49">
        <f t="shared" si="6"/>
        <v>130</v>
      </c>
      <c r="R20" s="51">
        <f t="shared" si="7"/>
        <v>150.65374677002583</v>
      </c>
      <c r="S20" s="46">
        <f t="shared" si="8"/>
        <v>82859.560723514209</v>
      </c>
      <c r="T20" t="str">
        <f t="shared" si="9"/>
        <v/>
      </c>
      <c r="U20">
        <f t="shared" si="10"/>
        <v>4</v>
      </c>
      <c r="Y20" t="str">
        <f>TRIM(Tabla2[[#This Row],[CONDUCTOR]])</f>
        <v>JIMENEZ HERNANDEZ ESTEBAN CAMILO</v>
      </c>
    </row>
    <row r="21" spans="2:25" x14ac:dyDescent="0.2">
      <c r="B21" s="136" t="s">
        <v>163</v>
      </c>
      <c r="C21" s="166">
        <v>26</v>
      </c>
      <c r="D21" s="151" t="s">
        <v>159</v>
      </c>
      <c r="E21" s="150">
        <v>10</v>
      </c>
      <c r="F21" s="150">
        <v>0</v>
      </c>
      <c r="G21" s="146">
        <v>214</v>
      </c>
      <c r="H21" s="226">
        <f t="shared" si="0"/>
        <v>21.4</v>
      </c>
      <c r="I21" s="364">
        <f t="shared" si="1"/>
        <v>225.21963824289404</v>
      </c>
      <c r="J21" s="363">
        <f>+Tabla2[[#This Row],[PROM DE USUARIOS]]-Tabla2[[#This Row],[USUARIOS]]</f>
        <v>11.219638242894035</v>
      </c>
      <c r="K21" s="151"/>
      <c r="L21" s="163">
        <f t="shared" si="2"/>
        <v>125903.48837209301</v>
      </c>
      <c r="M21" s="162" t="str">
        <f>+VLOOKUP(C21,Lista!B:D,3,0)</f>
        <v>MICRO</v>
      </c>
      <c r="N21" s="368">
        <f t="shared" si="3"/>
        <v>16086.95652173913</v>
      </c>
      <c r="O21" s="50">
        <f t="shared" si="4"/>
        <v>10</v>
      </c>
      <c r="P21" s="47">
        <f t="shared" si="5"/>
        <v>215.21963824289404</v>
      </c>
      <c r="Q21" s="49">
        <f t="shared" si="6"/>
        <v>204</v>
      </c>
      <c r="R21" s="51">
        <f t="shared" si="7"/>
        <v>215.21963824289404</v>
      </c>
      <c r="S21" s="46">
        <f t="shared" si="8"/>
        <v>118370.80103359172</v>
      </c>
      <c r="T21" t="str">
        <f t="shared" si="9"/>
        <v/>
      </c>
      <c r="U21">
        <f t="shared" si="10"/>
        <v>9</v>
      </c>
      <c r="Y21" t="str">
        <f>TRIM(Tabla2[[#This Row],[CONDUCTOR]])</f>
        <v>CIRO MARIN RODRIGO ALBERTO</v>
      </c>
    </row>
    <row r="22" spans="2:25" x14ac:dyDescent="0.2">
      <c r="B22" s="136" t="s">
        <v>163</v>
      </c>
      <c r="C22" s="166">
        <v>27</v>
      </c>
      <c r="D22" s="151" t="s">
        <v>170</v>
      </c>
      <c r="E22" s="150">
        <v>11</v>
      </c>
      <c r="F22" s="150">
        <v>0</v>
      </c>
      <c r="G22" s="165">
        <v>243</v>
      </c>
      <c r="H22" s="226">
        <f t="shared" si="0"/>
        <v>22.09090909090909</v>
      </c>
      <c r="I22" s="227">
        <f t="shared" si="1"/>
        <v>247.74160206718344</v>
      </c>
      <c r="J22" s="363">
        <f>+Tabla2[[#This Row],[PROM DE USUARIOS]]-Tabla2[[#This Row],[USUARIOS]]</f>
        <v>4.741602067183436</v>
      </c>
      <c r="K22" s="151"/>
      <c r="L22" s="163">
        <f t="shared" si="2"/>
        <v>138493.83720930232</v>
      </c>
      <c r="M22" s="162" t="str">
        <f>+VLOOKUP(C22,Lista!B:D,3,0)</f>
        <v>MICRO</v>
      </c>
      <c r="N22" s="368">
        <f t="shared" si="3"/>
        <v>16086.95652173913</v>
      </c>
      <c r="O22" s="50">
        <f t="shared" si="4"/>
        <v>11</v>
      </c>
      <c r="P22" s="47">
        <f t="shared" si="5"/>
        <v>236.74160206718344</v>
      </c>
      <c r="Q22" s="49">
        <f t="shared" si="6"/>
        <v>232</v>
      </c>
      <c r="R22" s="51">
        <f t="shared" si="7"/>
        <v>236.74160206718344</v>
      </c>
      <c r="S22" s="46">
        <f t="shared" si="8"/>
        <v>130207.88113695089</v>
      </c>
      <c r="T22" t="str">
        <f t="shared" si="9"/>
        <v/>
      </c>
      <c r="U22">
        <f t="shared" si="10"/>
        <v>12</v>
      </c>
      <c r="Y22" t="str">
        <f>TRIM(Tabla2[[#This Row],[CONDUCTOR]])</f>
        <v>FLORES RINCON JORGE ALBERTO</v>
      </c>
    </row>
    <row r="23" spans="2:25" x14ac:dyDescent="0.2">
      <c r="B23" s="136" t="s">
        <v>163</v>
      </c>
      <c r="C23" s="166">
        <v>28</v>
      </c>
      <c r="D23" s="151" t="s">
        <v>150</v>
      </c>
      <c r="E23" s="150">
        <v>6</v>
      </c>
      <c r="F23" s="150">
        <v>0</v>
      </c>
      <c r="G23" s="165">
        <v>143</v>
      </c>
      <c r="H23" s="226">
        <f t="shared" si="0"/>
        <v>23.833333333333332</v>
      </c>
      <c r="I23" s="227">
        <f t="shared" si="1"/>
        <v>135.13178294573643</v>
      </c>
      <c r="J23" s="363">
        <f>+Tabla2[[#This Row],[PROM DE USUARIOS]]-Tabla2[[#This Row],[USUARIOS]]</f>
        <v>-7.8682170542635674</v>
      </c>
      <c r="K23" s="151"/>
      <c r="L23" s="163">
        <f t="shared" si="2"/>
        <v>75542.093023255817</v>
      </c>
      <c r="M23" s="162" t="str">
        <f>+VLOOKUP(C23,Lista!B:D,3,0)</f>
        <v>MICRO</v>
      </c>
      <c r="N23" s="368">
        <f t="shared" si="3"/>
        <v>16086.95652173913</v>
      </c>
      <c r="O23" s="50">
        <f t="shared" si="4"/>
        <v>6</v>
      </c>
      <c r="P23" s="47">
        <f t="shared" si="5"/>
        <v>129.13178294573643</v>
      </c>
      <c r="Q23" s="49">
        <f t="shared" si="6"/>
        <v>137</v>
      </c>
      <c r="R23" s="51">
        <f t="shared" si="7"/>
        <v>129.13178294573643</v>
      </c>
      <c r="S23" s="46">
        <f t="shared" si="8"/>
        <v>71022.480620155038</v>
      </c>
      <c r="T23" t="str">
        <f t="shared" si="9"/>
        <v/>
      </c>
      <c r="U23">
        <f t="shared" si="10"/>
        <v>17</v>
      </c>
      <c r="Y23" t="str">
        <f>TRIM(Tabla2[[#This Row],[CONDUCTOR]])</f>
        <v>OSORIO URREGO SANTIAGO</v>
      </c>
    </row>
    <row r="24" spans="2:25" x14ac:dyDescent="0.2">
      <c r="B24" s="136" t="s">
        <v>163</v>
      </c>
      <c r="C24" s="166">
        <v>30</v>
      </c>
      <c r="D24" s="151" t="s">
        <v>151</v>
      </c>
      <c r="E24" s="150">
        <v>10</v>
      </c>
      <c r="F24" s="150">
        <v>0</v>
      </c>
      <c r="G24" s="165">
        <v>204</v>
      </c>
      <c r="H24" s="226">
        <f t="shared" si="0"/>
        <v>20.399999999999999</v>
      </c>
      <c r="I24" s="227">
        <f t="shared" si="1"/>
        <v>225.21963824289404</v>
      </c>
      <c r="J24" s="363">
        <f>+Tabla2[[#This Row],[PROM DE USUARIOS]]-Tabla2[[#This Row],[USUARIOS]]</f>
        <v>21.219638242894035</v>
      </c>
      <c r="K24" s="151" t="s">
        <v>172</v>
      </c>
      <c r="L24" s="163">
        <f t="shared" si="2"/>
        <v>125903.48837209301</v>
      </c>
      <c r="M24" s="162" t="str">
        <f>+VLOOKUP(C24,Lista!B:D,3,0)</f>
        <v>MICRO</v>
      </c>
      <c r="N24" s="368">
        <f t="shared" si="3"/>
        <v>16086.95652173913</v>
      </c>
      <c r="O24" s="50">
        <f t="shared" si="4"/>
        <v>10</v>
      </c>
      <c r="P24" s="47">
        <f t="shared" si="5"/>
        <v>215.21963824289404</v>
      </c>
      <c r="Q24" s="49">
        <f t="shared" si="6"/>
        <v>194</v>
      </c>
      <c r="R24" s="51">
        <f t="shared" si="7"/>
        <v>215.21963824289404</v>
      </c>
      <c r="S24" s="46">
        <f t="shared" si="8"/>
        <v>118370.80103359172</v>
      </c>
      <c r="T24" t="str">
        <f t="shared" si="9"/>
        <v xml:space="preserve">2 Descuentos (Usuarios desubicados) </v>
      </c>
      <c r="U24">
        <f t="shared" si="10"/>
        <v>7</v>
      </c>
      <c r="Y24" t="str">
        <f>TRIM(Tabla2[[#This Row],[CONDUCTOR]])</f>
        <v>AGUDELO GARCIA LLORDIN ELIAS</v>
      </c>
    </row>
    <row r="25" spans="2:25" x14ac:dyDescent="0.2">
      <c r="B25" s="136" t="s">
        <v>163</v>
      </c>
      <c r="C25" s="137">
        <v>32</v>
      </c>
      <c r="D25" s="151" t="s">
        <v>166</v>
      </c>
      <c r="E25" s="150">
        <v>6</v>
      </c>
      <c r="F25" s="150">
        <v>0</v>
      </c>
      <c r="G25" s="146">
        <v>141</v>
      </c>
      <c r="H25" s="226">
        <f t="shared" si="0"/>
        <v>23.5</v>
      </c>
      <c r="I25" s="227">
        <f t="shared" si="1"/>
        <v>135.13178294573643</v>
      </c>
      <c r="J25" s="363">
        <f>+Tabla2[[#This Row],[PROM DE USUARIOS]]-Tabla2[[#This Row],[USUARIOS]]</f>
        <v>-5.8682170542635674</v>
      </c>
      <c r="K25" s="151"/>
      <c r="L25" s="163">
        <f t="shared" si="2"/>
        <v>75542.093023255817</v>
      </c>
      <c r="M25" s="162" t="str">
        <f>+VLOOKUP(C25,Lista!B:D,3,0)</f>
        <v>MICRO</v>
      </c>
      <c r="N25" s="368">
        <f t="shared" si="3"/>
        <v>16086.95652173913</v>
      </c>
      <c r="O25" s="50">
        <f t="shared" si="4"/>
        <v>6</v>
      </c>
      <c r="P25" s="47">
        <f t="shared" si="5"/>
        <v>129.13178294573643</v>
      </c>
      <c r="Q25" s="49">
        <f t="shared" si="6"/>
        <v>135</v>
      </c>
      <c r="R25" s="51">
        <f t="shared" si="7"/>
        <v>129.13178294573643</v>
      </c>
      <c r="S25" s="46">
        <f t="shared" si="8"/>
        <v>71022.480620155038</v>
      </c>
      <c r="T25" t="str">
        <f t="shared" si="9"/>
        <v/>
      </c>
      <c r="U25">
        <f t="shared" si="10"/>
        <v>16</v>
      </c>
      <c r="Y25" t="str">
        <f>TRIM(Tabla2[[#This Row],[CONDUCTOR]])</f>
        <v>LAYOS JIMENEZ JOHAN CAMILO</v>
      </c>
    </row>
    <row r="26" spans="2:25" x14ac:dyDescent="0.2">
      <c r="B26" s="136" t="s">
        <v>163</v>
      </c>
      <c r="C26" s="166">
        <v>34</v>
      </c>
      <c r="D26" s="151" t="s">
        <v>169</v>
      </c>
      <c r="E26" s="150">
        <v>8.5</v>
      </c>
      <c r="F26" s="150">
        <v>0.5</v>
      </c>
      <c r="G26" s="165">
        <v>233</v>
      </c>
      <c r="H26" s="226">
        <f t="shared" si="0"/>
        <v>27.411764705882351</v>
      </c>
      <c r="I26" s="227">
        <f t="shared" si="1"/>
        <v>191.43669250645993</v>
      </c>
      <c r="J26" s="363">
        <f>+Tabla2[[#This Row],[PROM DE USUARIOS]]-Tabla2[[#This Row],[USUARIOS]]</f>
        <v>-41.563307493540066</v>
      </c>
      <c r="K26" s="151" t="s">
        <v>174</v>
      </c>
      <c r="L26" s="163">
        <f t="shared" si="2"/>
        <v>107017.96511627907</v>
      </c>
      <c r="M26" s="162" t="str">
        <f>+VLOOKUP(C26,Lista!B:D,3,0)</f>
        <v>MICRO</v>
      </c>
      <c r="N26" s="368">
        <f t="shared" si="3"/>
        <v>16086.95652173913</v>
      </c>
      <c r="O26" s="50">
        <f t="shared" si="4"/>
        <v>8.5</v>
      </c>
      <c r="P26" s="47">
        <f t="shared" si="5"/>
        <v>182.93669250645993</v>
      </c>
      <c r="Q26" s="49">
        <f t="shared" si="6"/>
        <v>224.5</v>
      </c>
      <c r="R26" s="51">
        <f t="shared" si="7"/>
        <v>182.93669250645993</v>
      </c>
      <c r="S26" s="46">
        <f t="shared" si="8"/>
        <v>100615.18087855296</v>
      </c>
      <c r="T26" t="str">
        <f t="shared" si="9"/>
        <v xml:space="preserve">1 Descuento (Despachador) </v>
      </c>
      <c r="U26">
        <f t="shared" si="10"/>
        <v>23</v>
      </c>
      <c r="Y26" t="str">
        <f>TRIM(Tabla2[[#This Row],[CONDUCTOR]])</f>
        <v>LOPERA ALVAREZ ESTIVEN</v>
      </c>
    </row>
    <row r="27" spans="2:25" x14ac:dyDescent="0.2">
      <c r="B27" s="136" t="s">
        <v>163</v>
      </c>
      <c r="C27" s="166">
        <v>36</v>
      </c>
      <c r="D27" s="151" t="s">
        <v>165</v>
      </c>
      <c r="E27" s="150">
        <v>9</v>
      </c>
      <c r="F27" s="150">
        <v>0</v>
      </c>
      <c r="G27" s="146">
        <v>164</v>
      </c>
      <c r="H27" s="226">
        <f t="shared" si="0"/>
        <v>18.222222222222221</v>
      </c>
      <c r="I27" s="227">
        <f t="shared" si="1"/>
        <v>202.69767441860463</v>
      </c>
      <c r="J27" s="363">
        <f>+Tabla2[[#This Row],[PROM DE USUARIOS]]-Tabla2[[#This Row],[USUARIOS]]</f>
        <v>38.697674418604635</v>
      </c>
      <c r="K27" s="151"/>
      <c r="L27" s="163">
        <f t="shared" si="2"/>
        <v>113313.13953488371</v>
      </c>
      <c r="M27" s="162" t="str">
        <f>+VLOOKUP(C27,Lista!B:D,3,0)</f>
        <v>MICRO</v>
      </c>
      <c r="N27" s="368">
        <f t="shared" si="3"/>
        <v>16086.95652173913</v>
      </c>
      <c r="O27" s="50">
        <f t="shared" si="4"/>
        <v>9</v>
      </c>
      <c r="P27" s="47">
        <f t="shared" si="5"/>
        <v>193.69767441860463</v>
      </c>
      <c r="Q27" s="49">
        <f t="shared" si="6"/>
        <v>155</v>
      </c>
      <c r="R27" s="51">
        <f t="shared" si="7"/>
        <v>193.69767441860463</v>
      </c>
      <c r="S27" s="46">
        <f t="shared" si="8"/>
        <v>106533.72093023255</v>
      </c>
      <c r="T27" t="str">
        <f t="shared" si="9"/>
        <v/>
      </c>
      <c r="U27">
        <f t="shared" si="10"/>
        <v>2</v>
      </c>
      <c r="Y27" t="str">
        <f>TRIM(Tabla2[[#This Row],[CONDUCTOR]])</f>
        <v>JARAMILLO JARAMILLO FRANCISCO WBEIMAR</v>
      </c>
    </row>
    <row r="28" spans="2:25" x14ac:dyDescent="0.2">
      <c r="B28" s="136" t="s">
        <v>163</v>
      </c>
      <c r="C28" s="166">
        <v>39</v>
      </c>
      <c r="D28" s="151" t="s">
        <v>167</v>
      </c>
      <c r="E28" s="150">
        <v>8</v>
      </c>
      <c r="F28" s="150">
        <v>0</v>
      </c>
      <c r="G28" s="165">
        <v>156</v>
      </c>
      <c r="H28" s="226">
        <f t="shared" si="0"/>
        <v>19.5</v>
      </c>
      <c r="I28" s="227">
        <f t="shared" si="1"/>
        <v>180.17571059431523</v>
      </c>
      <c r="J28" s="363">
        <f>+Tabla2[[#This Row],[PROM DE USUARIOS]]-Tabla2[[#This Row],[USUARIOS]]</f>
        <v>24.175710594315234</v>
      </c>
      <c r="K28" s="151"/>
      <c r="L28" s="163">
        <f t="shared" si="2"/>
        <v>100722.79069767441</v>
      </c>
      <c r="M28" s="162" t="str">
        <f>+VLOOKUP(C28,Lista!B:D,3,0)</f>
        <v>MICRO</v>
      </c>
      <c r="N28" s="368">
        <f t="shared" si="3"/>
        <v>16086.95652173913</v>
      </c>
      <c r="O28" s="50">
        <f t="shared" si="4"/>
        <v>8</v>
      </c>
      <c r="P28" s="47">
        <f t="shared" si="5"/>
        <v>172.17571059431523</v>
      </c>
      <c r="Q28" s="49">
        <f t="shared" si="6"/>
        <v>148</v>
      </c>
      <c r="R28" s="51">
        <f t="shared" si="7"/>
        <v>172.17571059431523</v>
      </c>
      <c r="S28" s="46">
        <f t="shared" si="8"/>
        <v>94696.640826873379</v>
      </c>
      <c r="T28" t="str">
        <f t="shared" si="9"/>
        <v/>
      </c>
      <c r="U28">
        <f t="shared" si="10"/>
        <v>3</v>
      </c>
      <c r="Y28" t="str">
        <f>TRIM(Tabla2[[#This Row],[CONDUCTOR]])</f>
        <v>PULGARIN GARCIA YONATHAN ANDRES</v>
      </c>
    </row>
    <row r="29" spans="2:25" x14ac:dyDescent="0.2">
      <c r="B29" s="136" t="s">
        <v>163</v>
      </c>
      <c r="C29" s="166">
        <v>40</v>
      </c>
      <c r="D29" s="151" t="s">
        <v>161</v>
      </c>
      <c r="E29" s="150">
        <v>9</v>
      </c>
      <c r="F29" s="150">
        <v>0</v>
      </c>
      <c r="G29" s="146">
        <v>246</v>
      </c>
      <c r="H29" s="226">
        <f t="shared" si="0"/>
        <v>27.333333333333332</v>
      </c>
      <c r="I29" s="227">
        <f t="shared" si="1"/>
        <v>202.69767441860463</v>
      </c>
      <c r="J29" s="363">
        <f>+Tabla2[[#This Row],[PROM DE USUARIOS]]-Tabla2[[#This Row],[USUARIOS]]</f>
        <v>-43.302325581395365</v>
      </c>
      <c r="K29" s="151"/>
      <c r="L29" s="163">
        <f t="shared" si="2"/>
        <v>113313.13953488371</v>
      </c>
      <c r="M29" s="162" t="str">
        <f>+VLOOKUP(C29,Lista!B:D,3,0)</f>
        <v>MICRO</v>
      </c>
      <c r="N29" s="368">
        <f t="shared" si="3"/>
        <v>16086.95652173913</v>
      </c>
      <c r="O29" s="50">
        <f t="shared" si="4"/>
        <v>9</v>
      </c>
      <c r="P29" s="47">
        <f t="shared" si="5"/>
        <v>193.69767441860463</v>
      </c>
      <c r="Q29" s="49">
        <f t="shared" si="6"/>
        <v>237</v>
      </c>
      <c r="R29" s="51">
        <f t="shared" si="7"/>
        <v>193.69767441860463</v>
      </c>
      <c r="S29" s="46">
        <f t="shared" si="8"/>
        <v>106533.72093023255</v>
      </c>
      <c r="T29" t="str">
        <f t="shared" si="9"/>
        <v/>
      </c>
      <c r="U29">
        <f t="shared" si="10"/>
        <v>22</v>
      </c>
      <c r="Y29" t="str">
        <f>TRIM(Tabla2[[#This Row],[CONDUCTOR]])</f>
        <v>FRANCO CARVAJAL GERARDO ANTONIO</v>
      </c>
    </row>
    <row r="30" spans="2:25" s="2" customFormat="1" x14ac:dyDescent="0.2">
      <c r="B30" s="232"/>
      <c r="C30" s="239">
        <f>SUBTOTAL(102,Tabla2[VEH])</f>
        <v>23</v>
      </c>
      <c r="D30" s="233" t="s">
        <v>129</v>
      </c>
      <c r="E30" s="234">
        <f>SUBTOTAL(109,Tabla2[VIAJES])</f>
        <v>193.5</v>
      </c>
      <c r="F30" s="234">
        <f>SUBTOTAL(109,Tabla2[VIAJES PERD.])</f>
        <v>0.5</v>
      </c>
      <c r="G30" s="240">
        <f>SUBTOTAL(109,Tabla2[USUARIOS])</f>
        <v>4358</v>
      </c>
      <c r="H30" s="367">
        <f>+Tabla2[[#Totals],[USUARIOS]]/Tabla2[[#Totals],[VIAJES]]</f>
        <v>22.521963824289404</v>
      </c>
      <c r="I30" s="240">
        <f>SUBTOTAL(109,Tabla2[PROM DE USUARIOS])</f>
        <v>4358.0000000000018</v>
      </c>
      <c r="J30" s="366">
        <f>SUBTOTAL(109,Tabla2[RECIBE / ENTREGA])</f>
        <v>-3.4106051316484809E-13</v>
      </c>
      <c r="K30" s="235" t="s">
        <v>175</v>
      </c>
      <c r="L30" s="236"/>
      <c r="M30" s="237"/>
      <c r="N30" s="238">
        <f>SUBTOTAL(109,Tabla2[DIFER. MICRO - BUS ])</f>
        <v>370000.00000000006</v>
      </c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ref="S30:S44" si="11">+R30*550</f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1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1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4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1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1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1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1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1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1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55"/>
      <c r="D39" s="247"/>
      <c r="E39" s="248"/>
      <c r="F39" s="248"/>
      <c r="G39" s="199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1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1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1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1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1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1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:S46" si="12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12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 t="shared" ref="O50:O55" si="16">+(E93*1)-V50</f>
        <v>0</v>
      </c>
      <c r="P50" s="134">
        <f t="shared" ref="P50:P55" si="17">+I93-O50-W50</f>
        <v>0</v>
      </c>
      <c r="Q50" s="11">
        <f t="shared" ref="Q50:Q55" si="18">+G93-O50</f>
        <v>0</v>
      </c>
      <c r="R50">
        <f t="shared" ref="R50:R55" si="19">+E93*$T$3</f>
        <v>0</v>
      </c>
      <c r="S50">
        <f t="shared" ref="S50:S55" si="20">+R50*550</f>
        <v>0</v>
      </c>
      <c r="T50" t="str">
        <f t="shared" ref="T50:T55" si="21">+IF(K93&lt;&gt;"",K93,"")</f>
        <v/>
      </c>
      <c r="U50" t="e">
        <f t="shared" ref="U50:U55" si="22">+RANK(H93,$H$6:$H$1048576,1)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16"/>
        <v>0</v>
      </c>
      <c r="P51" s="134">
        <f t="shared" si="17"/>
        <v>0</v>
      </c>
      <c r="Q51" s="11">
        <f t="shared" si="18"/>
        <v>0</v>
      </c>
      <c r="R51">
        <f t="shared" si="19"/>
        <v>0</v>
      </c>
      <c r="S51">
        <f t="shared" si="20"/>
        <v>0</v>
      </c>
      <c r="T51" t="str">
        <f t="shared" si="21"/>
        <v/>
      </c>
      <c r="U51" t="e">
        <f t="shared" si="22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16"/>
        <v>0</v>
      </c>
      <c r="P52" s="134">
        <f t="shared" si="17"/>
        <v>0</v>
      </c>
      <c r="Q52" s="11">
        <f t="shared" si="18"/>
        <v>0</v>
      </c>
      <c r="R52">
        <f t="shared" si="19"/>
        <v>0</v>
      </c>
      <c r="S52">
        <f t="shared" si="20"/>
        <v>0</v>
      </c>
      <c r="T52" t="str">
        <f t="shared" si="21"/>
        <v/>
      </c>
      <c r="U52" t="e">
        <f t="shared" si="22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16"/>
        <v>0</v>
      </c>
      <c r="P53" s="134">
        <f t="shared" si="17"/>
        <v>0</v>
      </c>
      <c r="Q53" s="11">
        <f t="shared" si="18"/>
        <v>0</v>
      </c>
      <c r="R53">
        <f t="shared" si="19"/>
        <v>0</v>
      </c>
      <c r="S53">
        <f t="shared" si="20"/>
        <v>0</v>
      </c>
      <c r="T53" t="str">
        <f t="shared" si="21"/>
        <v/>
      </c>
      <c r="U53" t="e">
        <f t="shared" si="22"/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 t="shared" si="16"/>
        <v>0</v>
      </c>
      <c r="P54" s="134">
        <f t="shared" si="17"/>
        <v>0</v>
      </c>
      <c r="Q54" s="11">
        <f t="shared" si="18"/>
        <v>0</v>
      </c>
      <c r="R54">
        <f t="shared" si="19"/>
        <v>0</v>
      </c>
      <c r="S54">
        <f t="shared" si="20"/>
        <v>0</v>
      </c>
      <c r="T54" t="str">
        <f t="shared" si="21"/>
        <v/>
      </c>
      <c r="U54" t="e">
        <f t="shared" si="22"/>
        <v>#N/A</v>
      </c>
    </row>
    <row r="55" spans="2:21" x14ac:dyDescent="0.2">
      <c r="B55" s="245"/>
      <c r="C55" s="255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 t="shared" si="16"/>
        <v>0</v>
      </c>
      <c r="P55" s="134">
        <f t="shared" si="17"/>
        <v>0</v>
      </c>
      <c r="Q55" s="11">
        <f t="shared" si="18"/>
        <v>0</v>
      </c>
      <c r="R55">
        <f t="shared" si="19"/>
        <v>0</v>
      </c>
      <c r="S55">
        <f t="shared" si="20"/>
        <v>0</v>
      </c>
      <c r="T55" t="str">
        <f t="shared" si="21"/>
        <v/>
      </c>
      <c r="U55" t="e">
        <f t="shared" si="22"/>
        <v>#N/A</v>
      </c>
    </row>
    <row r="56" spans="2:21" x14ac:dyDescent="0.2">
      <c r="B56" s="245"/>
      <c r="C56" s="246"/>
      <c r="D56" s="247"/>
      <c r="E56" s="248"/>
      <c r="F56" s="248"/>
      <c r="G56" s="256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55"/>
      <c r="D62" s="247"/>
      <c r="E62" s="248"/>
      <c r="F62" s="248"/>
      <c r="G62" s="199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254"/>
      <c r="H63" s="257"/>
      <c r="I63" s="222"/>
      <c r="J63" s="343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+(E62*1)-V65</f>
        <v>0</v>
      </c>
      <c r="P65" s="134">
        <f>+I62-O65-W65</f>
        <v>0</v>
      </c>
      <c r="Q65" s="11">
        <f>+G62-O65</f>
        <v>0</v>
      </c>
      <c r="R65">
        <f>+E62*$T$3</f>
        <v>0</v>
      </c>
      <c r="S65">
        <f t="shared" si="23"/>
        <v>0</v>
      </c>
      <c r="T65" t="str">
        <f>+IF(K62&lt;&gt;"",K62,"")</f>
        <v/>
      </c>
      <c r="U65" t="e">
        <f>+RANK(H62,$H$6:$H$1048576,1)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+(E63*1)-V66</f>
        <v>0</v>
      </c>
      <c r="P66" s="134">
        <f>+I63-O66-W66</f>
        <v>0</v>
      </c>
      <c r="Q66" s="11">
        <f>+G63-O66</f>
        <v>0</v>
      </c>
      <c r="R66">
        <f>+E63*$T$3</f>
        <v>0</v>
      </c>
      <c r="S66">
        <f t="shared" si="23"/>
        <v>0</v>
      </c>
      <c r="T66" t="str">
        <f>+IF(K63&lt;&gt;"",K63,"")</f>
        <v/>
      </c>
      <c r="U66" t="e">
        <f>+RANK(H63,$H$6:$H$1048576,1)</f>
        <v>#N/A</v>
      </c>
    </row>
    <row r="67" spans="2:21" x14ac:dyDescent="0.2">
      <c r="B67" s="245"/>
      <c r="C67" s="255"/>
      <c r="D67" s="247"/>
      <c r="E67" s="248"/>
      <c r="F67" s="248"/>
      <c r="G67" s="199"/>
      <c r="H67" s="257"/>
      <c r="I67" s="222"/>
      <c r="J67" s="343"/>
      <c r="K67" s="247"/>
      <c r="L67" s="203"/>
      <c r="M67" s="253"/>
      <c r="N67" s="258"/>
      <c r="O67">
        <f>+(E64*1)-V67</f>
        <v>0</v>
      </c>
      <c r="P67" s="134">
        <f>+I64-O67-W67</f>
        <v>0</v>
      </c>
      <c r="Q67" s="11">
        <f>+G64-O67</f>
        <v>0</v>
      </c>
      <c r="R67">
        <f>+E64*$T$3</f>
        <v>0</v>
      </c>
      <c r="S67">
        <f t="shared" si="23"/>
        <v>0</v>
      </c>
      <c r="T67" t="str">
        <f>+IF(K64&lt;&gt;"",K64,"")</f>
        <v/>
      </c>
      <c r="U67" t="e">
        <f>+RANK(H64,$H$6:$H$1048576,1)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+(E65*1)-V68</f>
        <v>0</v>
      </c>
      <c r="P68" s="134">
        <f>+I65-O68-W68</f>
        <v>0</v>
      </c>
      <c r="Q68" s="11">
        <f>+G65-O68</f>
        <v>0</v>
      </c>
      <c r="R68">
        <f>+E65*$T$3</f>
        <v>0</v>
      </c>
      <c r="S68">
        <f t="shared" si="23"/>
        <v>0</v>
      </c>
      <c r="T68" t="str">
        <f>+IF(K65&lt;&gt;"",K65,"")</f>
        <v/>
      </c>
      <c r="U68" t="e">
        <f>+RANK(H65,$H$6:$H$1048576,1)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58"/>
      <c r="O69">
        <f>+(E66*1)-V69</f>
        <v>0</v>
      </c>
      <c r="P69" s="134">
        <f>+I66-O69-W69</f>
        <v>0</v>
      </c>
      <c r="Q69" s="11">
        <f>+G66-O69</f>
        <v>0</v>
      </c>
      <c r="R69">
        <f>+E66*$T$3</f>
        <v>0</v>
      </c>
      <c r="S69">
        <f t="shared" si="23"/>
        <v>0</v>
      </c>
      <c r="T69" t="str">
        <f>+IF(K66&lt;&gt;"",K66,"")</f>
        <v/>
      </c>
      <c r="U69" t="e">
        <f>+RANK(H66,$H$6:$H$1048576,1)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03"/>
      <c r="M75" s="253"/>
      <c r="N75" s="258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9"/>
      <c r="I81" s="260"/>
      <c r="J81" s="344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6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03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5"/>
      <c r="E106" s="248"/>
      <c r="F106" s="248"/>
      <c r="G106" s="261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7"/>
      <c r="I111" s="222"/>
      <c r="J111" s="343"/>
      <c r="K111" s="262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55"/>
      <c r="D113" s="247"/>
      <c r="E113" s="248"/>
      <c r="F113" s="248"/>
      <c r="G113" s="199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7"/>
      <c r="E124" s="248"/>
      <c r="F124" s="248"/>
      <c r="G124" s="199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0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5"/>
      <c r="E126" s="248"/>
      <c r="F126" s="248"/>
      <c r="G126" s="201"/>
      <c r="H126" s="20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51"/>
      <c r="J140" s="341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55"/>
      <c r="D146" s="247"/>
      <c r="E146" s="248"/>
      <c r="F146" s="248"/>
      <c r="G146" s="199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58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03"/>
      <c r="M177" s="253"/>
      <c r="N177" s="258"/>
    </row>
    <row r="178" spans="2:14" x14ac:dyDescent="0.2">
      <c r="B178" s="245"/>
      <c r="C178" s="246"/>
      <c r="D178" s="247"/>
      <c r="E178" s="248"/>
      <c r="F178" s="248"/>
      <c r="G178" s="254"/>
      <c r="H178" s="250"/>
      <c r="I178" s="221"/>
      <c r="J178" s="342"/>
      <c r="K178" s="247"/>
      <c r="L178" s="252"/>
      <c r="M178" s="253"/>
      <c r="N178" s="258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44"/>
      <c r="I189" s="222"/>
      <c r="J189" s="343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5"/>
      <c r="E202" s="248"/>
      <c r="F202" s="248"/>
      <c r="G202" s="261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5"/>
      <c r="E208" s="248"/>
      <c r="F208" s="248"/>
      <c r="G208" s="261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261"/>
      <c r="H211" s="263"/>
      <c r="I211" s="260"/>
      <c r="J211" s="344"/>
      <c r="K211" s="247"/>
      <c r="L211" s="252"/>
      <c r="M211" s="253"/>
      <c r="N211" s="203"/>
    </row>
    <row r="212" spans="2:14" x14ac:dyDescent="0.2">
      <c r="B212" s="245"/>
      <c r="C212" s="246"/>
      <c r="D212" s="245"/>
      <c r="E212" s="248"/>
      <c r="F212" s="248"/>
      <c r="G212" s="261"/>
      <c r="H212" s="200"/>
      <c r="I212" s="221"/>
      <c r="J212" s="342"/>
      <c r="K212" s="245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55"/>
      <c r="D221" s="247"/>
      <c r="E221" s="248"/>
      <c r="F221" s="248"/>
      <c r="G221" s="199"/>
      <c r="H221" s="244"/>
      <c r="I221" s="222"/>
      <c r="J221" s="343"/>
      <c r="K221" s="247"/>
      <c r="L221" s="252"/>
      <c r="M221" s="253"/>
      <c r="N221" s="203"/>
    </row>
    <row r="222" spans="2:14" x14ac:dyDescent="0.2">
      <c r="B222" s="245"/>
      <c r="C222" s="255"/>
      <c r="D222" s="247"/>
      <c r="E222" s="248"/>
      <c r="F222" s="248"/>
      <c r="G222" s="199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55"/>
      <c r="D245" s="247"/>
      <c r="E245" s="248"/>
      <c r="F245" s="248"/>
      <c r="G245" s="261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62"/>
      <c r="L246" s="252"/>
      <c r="M246" s="253"/>
      <c r="N246" s="203"/>
    </row>
    <row r="247" spans="2:14" x14ac:dyDescent="0.2">
      <c r="B247" s="245"/>
      <c r="C247" s="255"/>
      <c r="D247" s="245"/>
      <c r="E247" s="248"/>
      <c r="F247" s="248"/>
      <c r="G247" s="201"/>
      <c r="H247" s="200"/>
      <c r="I247" s="221"/>
      <c r="J247" s="342"/>
      <c r="K247" s="262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5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5"/>
      <c r="E251" s="248"/>
      <c r="F251" s="248"/>
      <c r="G251" s="261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55"/>
      <c r="D252" s="247"/>
      <c r="E252" s="248"/>
      <c r="F252" s="248"/>
      <c r="G252" s="199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55"/>
      <c r="D257" s="245"/>
      <c r="E257" s="248"/>
      <c r="F257" s="248"/>
      <c r="G257" s="201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5"/>
      <c r="E258" s="248"/>
      <c r="F258" s="248"/>
      <c r="G258" s="261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199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5"/>
      <c r="E263" s="248"/>
      <c r="F263" s="248"/>
      <c r="G263" s="26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4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4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5"/>
      <c r="E286" s="248"/>
      <c r="F286" s="248"/>
      <c r="G286" s="261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4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7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55"/>
      <c r="D359" s="247"/>
      <c r="E359" s="248"/>
      <c r="F359" s="248"/>
      <c r="G359" s="199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55"/>
      <c r="D365" s="247"/>
      <c r="E365" s="248"/>
      <c r="F365" s="248"/>
      <c r="G365" s="199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55"/>
      <c r="D370" s="247"/>
      <c r="E370" s="248"/>
      <c r="F370" s="248"/>
      <c r="G370" s="199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5"/>
      <c r="E391" s="248"/>
      <c r="F391" s="248"/>
      <c r="G391" s="261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55"/>
      <c r="D401" s="247"/>
      <c r="E401" s="248"/>
      <c r="F401" s="248"/>
      <c r="G401" s="199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5"/>
      <c r="E413" s="248"/>
      <c r="F413" s="248"/>
      <c r="G413" s="261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4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55"/>
      <c r="D430" s="247"/>
      <c r="E430" s="248"/>
      <c r="F430" s="248"/>
      <c r="G430" s="199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68"/>
      <c r="F434" s="268"/>
      <c r="G434" s="269"/>
      <c r="H434" s="270"/>
      <c r="I434" s="271"/>
      <c r="J434" s="346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55"/>
      <c r="D437" s="247"/>
      <c r="E437" s="248"/>
      <c r="F437" s="248"/>
      <c r="G437" s="199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4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199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5"/>
      <c r="E473" s="248"/>
      <c r="F473" s="248"/>
      <c r="G473" s="261"/>
      <c r="H473" s="202"/>
      <c r="I473" s="223"/>
      <c r="J473" s="345"/>
      <c r="K473" s="264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4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4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55"/>
      <c r="D486" s="247"/>
      <c r="E486" s="248"/>
      <c r="F486" s="248"/>
      <c r="G486" s="199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7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5"/>
      <c r="E506" s="248"/>
      <c r="F506" s="272"/>
      <c r="G506" s="261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55"/>
      <c r="D513" s="247"/>
      <c r="E513" s="248"/>
      <c r="F513" s="248"/>
      <c r="G513" s="199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48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5"/>
      <c r="E529" s="248"/>
      <c r="F529" s="248"/>
      <c r="G529" s="261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5"/>
      <c r="E549" s="248"/>
      <c r="F549" s="248"/>
      <c r="G549" s="201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5"/>
      <c r="E555" s="248"/>
      <c r="F555" s="248"/>
      <c r="G555" s="201"/>
      <c r="H555" s="202"/>
      <c r="I555" s="223"/>
      <c r="J555" s="345"/>
      <c r="K555" s="264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7"/>
      <c r="E568" s="248"/>
      <c r="F568" s="248"/>
      <c r="G568" s="199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5"/>
      <c r="E577" s="248"/>
      <c r="F577" s="248"/>
      <c r="G577" s="261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5"/>
      <c r="E587" s="248"/>
      <c r="F587" s="248"/>
      <c r="G587" s="201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4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5"/>
      <c r="E599" s="248"/>
      <c r="F599" s="248"/>
      <c r="G599" s="261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4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7"/>
      <c r="E625" s="248"/>
      <c r="F625" s="248"/>
      <c r="G625" s="199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5"/>
      <c r="E660" s="248"/>
      <c r="F660" s="248"/>
      <c r="G660" s="261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55"/>
      <c r="D665" s="247"/>
      <c r="E665" s="248"/>
      <c r="F665" s="248"/>
      <c r="G665" s="199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5"/>
      <c r="E668" s="248"/>
      <c r="F668" s="248"/>
      <c r="G668" s="261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4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5"/>
      <c r="E684" s="248"/>
      <c r="F684" s="248"/>
      <c r="G684" s="20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55"/>
      <c r="D691" s="247"/>
      <c r="E691" s="248"/>
      <c r="F691" s="248"/>
      <c r="G691" s="199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55"/>
      <c r="D711" s="247"/>
      <c r="E711" s="248"/>
      <c r="F711" s="248"/>
      <c r="G711" s="199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73"/>
    </row>
    <row r="724" spans="2:14" x14ac:dyDescent="0.2">
      <c r="B724" s="245"/>
      <c r="C724" s="255"/>
      <c r="D724" s="245"/>
      <c r="E724" s="248"/>
      <c r="F724" s="248"/>
      <c r="G724" s="201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4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5"/>
      <c r="E743" s="248"/>
      <c r="F743" s="248"/>
      <c r="G743" s="26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5"/>
      <c r="E748" s="248"/>
      <c r="F748" s="248"/>
      <c r="G748" s="261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55"/>
      <c r="D749" s="245"/>
      <c r="E749" s="248"/>
      <c r="F749" s="248"/>
      <c r="G749" s="201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55"/>
      <c r="D761" s="247"/>
      <c r="E761" s="248"/>
      <c r="F761" s="248"/>
      <c r="G761" s="254"/>
      <c r="H761" s="202"/>
      <c r="I761" s="223"/>
      <c r="J761" s="345"/>
      <c r="K761" s="264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55"/>
      <c r="D769" s="247"/>
      <c r="E769" s="248"/>
      <c r="F769" s="248"/>
      <c r="G769" s="199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199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4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5"/>
      <c r="E791" s="248"/>
      <c r="F791" s="248"/>
      <c r="G791" s="261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55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55"/>
      <c r="D809" s="247"/>
      <c r="E809" s="248"/>
      <c r="F809" s="248"/>
      <c r="G809" s="199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5"/>
      <c r="E820" s="248"/>
      <c r="F820" s="248"/>
      <c r="G820" s="261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4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5"/>
      <c r="E829" s="248"/>
      <c r="F829" s="248"/>
      <c r="G829" s="261"/>
      <c r="H829" s="202"/>
      <c r="I829" s="223"/>
      <c r="J829" s="345"/>
      <c r="K829" s="264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7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55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199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199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55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74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5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199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254"/>
      <c r="H885" s="202"/>
      <c r="I885" s="223"/>
      <c r="J885" s="345"/>
      <c r="K885" s="267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199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199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199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199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5"/>
      <c r="E998" s="248"/>
      <c r="F998" s="248"/>
      <c r="G998" s="26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01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4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01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5"/>
      <c r="E1031" s="248"/>
      <c r="F1031" s="248"/>
      <c r="G1031" s="261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5"/>
      <c r="E1044" s="248"/>
      <c r="F1044" s="248"/>
      <c r="G1044" s="261"/>
      <c r="H1044" s="202"/>
      <c r="I1044" s="223"/>
      <c r="J1044" s="345"/>
      <c r="K1044" s="264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03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5"/>
      <c r="E1072" s="275"/>
      <c r="F1072" s="275"/>
      <c r="G1072" s="205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199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5"/>
      <c r="E1080" s="248"/>
      <c r="F1080" s="248"/>
      <c r="G1080" s="205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199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03"/>
      <c r="M1101" s="253"/>
      <c r="N1101" s="203"/>
    </row>
    <row r="1102" spans="2:14" x14ac:dyDescent="0.2">
      <c r="B1102" s="245"/>
      <c r="C1102" s="255"/>
      <c r="D1102" s="245"/>
      <c r="E1102" s="248"/>
      <c r="F1102" s="248"/>
      <c r="G1102" s="205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199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5"/>
      <c r="E1111" s="248"/>
      <c r="F1111" s="248"/>
      <c r="G1111" s="206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76"/>
      <c r="D1122" s="276"/>
      <c r="E1122" s="248"/>
      <c r="F1122" s="277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5"/>
      <c r="E1124" s="248"/>
      <c r="F1124" s="248"/>
      <c r="G1124" s="201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4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5"/>
      <c r="E1131" s="248"/>
      <c r="F1131" s="248"/>
      <c r="G1131" s="261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74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199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6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199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5"/>
      <c r="E1146" s="275"/>
      <c r="F1146" s="275"/>
      <c r="G1146" s="205"/>
      <c r="H1146" s="202"/>
      <c r="I1146" s="223"/>
      <c r="J1146" s="345"/>
      <c r="K1146" s="274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74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5"/>
      <c r="E1173" s="248"/>
      <c r="F1173" s="248"/>
      <c r="G1173" s="261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74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199"/>
      <c r="H1184" s="202"/>
      <c r="I1184" s="223"/>
      <c r="J1184" s="345"/>
      <c r="K1184" s="278"/>
      <c r="L1184" s="252"/>
      <c r="M1184" s="253"/>
      <c r="N1184" s="204"/>
    </row>
    <row r="1185" spans="2:14" x14ac:dyDescent="0.2">
      <c r="B1185" s="245"/>
      <c r="C1185" s="255"/>
      <c r="D1185" s="245"/>
      <c r="E1185" s="275"/>
      <c r="F1185" s="275"/>
      <c r="G1185" s="205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5"/>
      <c r="E1193" s="248"/>
      <c r="F1193" s="248"/>
      <c r="G1193" s="205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01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48"/>
      <c r="F1199" s="248"/>
      <c r="G1199" s="206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80"/>
      <c r="D1216" s="281"/>
      <c r="E1216" s="275"/>
      <c r="F1216" s="275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03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46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76"/>
      <c r="D1226" s="276"/>
      <c r="E1226" s="277"/>
      <c r="F1226" s="277"/>
      <c r="G1226" s="209"/>
      <c r="H1226" s="207"/>
      <c r="I1226" s="221"/>
      <c r="J1226" s="342"/>
      <c r="K1226" s="282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5"/>
      <c r="E1230" s="248"/>
      <c r="F1230" s="248"/>
      <c r="G1230" s="261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05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46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10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61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0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x14ac:dyDescent="0.2">
      <c r="B1249" s="37"/>
      <c r="C1249" s="286"/>
      <c r="D1249" s="37"/>
      <c r="E1249" s="60"/>
      <c r="F1249" s="60"/>
      <c r="G1249" s="213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78"/>
      <c r="D1250" s="109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283"/>
      <c r="D1252" s="109"/>
      <c r="E1252" s="68"/>
      <c r="F1252" s="68"/>
      <c r="G1252" s="28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7"/>
      <c r="C1253" s="66"/>
      <c r="D1253" s="287"/>
      <c r="E1253" s="68"/>
      <c r="F1253" s="68"/>
      <c r="G1253" s="214"/>
      <c r="H1253" s="211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8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78"/>
      <c r="D1259" s="109"/>
      <c r="E1259" s="68"/>
      <c r="F1259" s="68"/>
      <c r="G1259" s="21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78"/>
      <c r="D1266" s="109"/>
      <c r="E1266" s="68"/>
      <c r="F1266" s="68"/>
      <c r="G1266" s="21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1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16"/>
      <c r="M1273" s="116"/>
      <c r="N1273" s="212"/>
    </row>
    <row r="1274" spans="2:14" ht="15" x14ac:dyDescent="0.25">
      <c r="B1274" s="65"/>
      <c r="C1274" s="78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16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16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9"/>
      <c r="D1287" s="290"/>
      <c r="E1287" s="291"/>
      <c r="F1287" s="291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x14ac:dyDescent="0.2">
      <c r="B1291" s="30"/>
      <c r="C1291" s="78"/>
      <c r="D1291" s="109"/>
      <c r="E1291" s="68"/>
      <c r="F1291" s="68"/>
      <c r="G1291" s="288"/>
      <c r="H1291" s="211"/>
      <c r="I1291" s="224"/>
      <c r="J1291" s="347"/>
      <c r="K1291" s="80"/>
      <c r="L1291" s="285"/>
      <c r="M1291" s="116"/>
      <c r="N1291" s="212"/>
    </row>
    <row r="1292" spans="2:14" ht="15" x14ac:dyDescent="0.25">
      <c r="B1292" s="30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1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30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292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1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1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8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13"/>
      <c r="H1336" s="215"/>
      <c r="I1336" s="293"/>
      <c r="J1336" s="348"/>
      <c r="K1336" s="69"/>
      <c r="L1336" s="285"/>
      <c r="M1336" s="116"/>
      <c r="N1336" s="212"/>
    </row>
    <row r="1337" spans="2:14" x14ac:dyDescent="0.2">
      <c r="B1337" s="292"/>
      <c r="C1337" s="78"/>
      <c r="D1337" s="109"/>
      <c r="E1337" s="68"/>
      <c r="F1337" s="68"/>
      <c r="G1337" s="288"/>
      <c r="H1337" s="211"/>
      <c r="I1337" s="224"/>
      <c r="J1337" s="347"/>
      <c r="K1337" s="80"/>
      <c r="L1337" s="216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8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289"/>
      <c r="D1339" s="290"/>
      <c r="E1339" s="294"/>
      <c r="F1339" s="295"/>
      <c r="G1339" s="296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297"/>
      <c r="F1342" s="298"/>
      <c r="G1342" s="299"/>
      <c r="H1342" s="300"/>
      <c r="I1342" s="301"/>
      <c r="J1342" s="349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14"/>
      <c r="H1345" s="215"/>
      <c r="I1345" s="293"/>
      <c r="J1345" s="348"/>
      <c r="K1345" s="69"/>
      <c r="L1345" s="216"/>
      <c r="M1345" s="116"/>
      <c r="N1345" s="212"/>
    </row>
    <row r="1346" spans="2:14" ht="15" x14ac:dyDescent="0.25">
      <c r="B1346" s="292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289"/>
      <c r="D1348" s="290"/>
      <c r="E1348" s="291"/>
      <c r="F1348" s="284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66"/>
      <c r="D1349" s="109"/>
      <c r="E1349" s="68"/>
      <c r="F1349" s="77"/>
      <c r="G1349" s="296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78"/>
      <c r="D1352" s="109"/>
      <c r="E1352" s="68"/>
      <c r="F1352" s="77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66"/>
      <c r="D1357" s="109"/>
      <c r="E1357" s="68"/>
      <c r="F1357" s="77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8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91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1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68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14"/>
      <c r="H1370" s="215"/>
      <c r="I1370" s="293"/>
      <c r="J1370" s="348"/>
      <c r="K1370" s="69"/>
      <c r="L1370" s="285"/>
      <c r="M1370" s="116"/>
      <c r="N1370" s="212"/>
    </row>
    <row r="1371" spans="2:14" x14ac:dyDescent="0.2">
      <c r="B1371" s="65"/>
      <c r="C1371" s="78"/>
      <c r="D1371" s="109"/>
      <c r="E1371" s="68"/>
      <c r="F1371" s="77"/>
      <c r="G1371" s="302"/>
      <c r="H1371" s="211"/>
      <c r="I1371" s="224"/>
      <c r="J1371" s="347"/>
      <c r="K1371" s="80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289"/>
      <c r="D1378" s="290"/>
      <c r="E1378" s="291"/>
      <c r="F1378" s="304"/>
      <c r="G1378" s="284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68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78"/>
      <c r="D1398" s="109"/>
      <c r="E1398" s="68"/>
      <c r="F1398" s="77"/>
      <c r="G1398" s="214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68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23"/>
      <c r="D1416" s="37"/>
      <c r="E1416" s="60"/>
      <c r="F1416" s="26"/>
      <c r="G1416" s="2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65"/>
      <c r="C1418" s="78"/>
      <c r="D1418" s="109"/>
      <c r="E1418" s="68"/>
      <c r="F1418" s="77"/>
      <c r="G1418" s="305"/>
      <c r="H1418" s="215"/>
      <c r="I1418" s="293"/>
      <c r="J1418" s="348"/>
      <c r="K1418" s="69"/>
      <c r="L1418" s="216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302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23"/>
      <c r="D1426" s="37"/>
      <c r="E1426" s="60"/>
      <c r="F1426" s="26"/>
      <c r="G1426" s="10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23"/>
      <c r="D1429" s="290"/>
      <c r="E1429" s="291"/>
      <c r="F1429" s="304"/>
      <c r="G1429" s="28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80"/>
      <c r="L1432" s="285"/>
      <c r="M1432" s="116"/>
      <c r="N1432" s="212"/>
    </row>
    <row r="1433" spans="2:14" ht="15" x14ac:dyDescent="0.25">
      <c r="B1433" s="91"/>
      <c r="C1433" s="23"/>
      <c r="D1433" s="37"/>
      <c r="E1433" s="60"/>
      <c r="F1433" s="26"/>
      <c r="G1433" s="10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27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290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86"/>
      <c r="D1444" s="286"/>
      <c r="E1444" s="306"/>
      <c r="F1444" s="307"/>
      <c r="G1444" s="307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78"/>
      <c r="D1445" s="109"/>
      <c r="E1445" s="68"/>
      <c r="F1445" s="77"/>
      <c r="G1445" s="214"/>
      <c r="H1445" s="215"/>
      <c r="I1445" s="293"/>
      <c r="J1445" s="348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78"/>
      <c r="D1454" s="109"/>
      <c r="E1454" s="68"/>
      <c r="F1454" s="77"/>
      <c r="G1454" s="308"/>
      <c r="H1454" s="215"/>
      <c r="I1454" s="293"/>
      <c r="J1454" s="348"/>
      <c r="K1454" s="69"/>
      <c r="L1454" s="216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9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310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78"/>
      <c r="D1463" s="109"/>
      <c r="E1463" s="68"/>
      <c r="F1463" s="77"/>
      <c r="G1463" s="311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68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296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91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11"/>
      <c r="H1470" s="312"/>
      <c r="I1470" s="313"/>
      <c r="J1470" s="352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312"/>
      <c r="I1476" s="313"/>
      <c r="J1476" s="352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6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.75" x14ac:dyDescent="0.25">
      <c r="B1484" s="315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.75" x14ac:dyDescent="0.25">
      <c r="B1485" s="31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126"/>
      <c r="M1485" s="116"/>
      <c r="N1485" s="217"/>
    </row>
    <row r="1486" spans="2:14" ht="15.75" x14ac:dyDescent="0.25">
      <c r="B1486" s="314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1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7"/>
    </row>
    <row r="1488" spans="2:14" ht="15" x14ac:dyDescent="0.25">
      <c r="B1488" s="91"/>
      <c r="C1488" s="316"/>
      <c r="D1488" s="65"/>
      <c r="E1488" s="68"/>
      <c r="F1488" s="117"/>
      <c r="G1488" s="117"/>
      <c r="H1488" s="121"/>
      <c r="I1488" s="107"/>
      <c r="J1488" s="351"/>
      <c r="K1488" s="69"/>
      <c r="L1488" s="126"/>
      <c r="M1488" s="116"/>
      <c r="N1488" s="217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78"/>
      <c r="D1494" s="109"/>
      <c r="E1494" s="68"/>
      <c r="F1494" s="77"/>
      <c r="G1494" s="311"/>
      <c r="H1494" s="312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107"/>
      <c r="J1501" s="351"/>
      <c r="K1501" s="69"/>
      <c r="L1501" s="285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313"/>
      <c r="J1507" s="352"/>
      <c r="K1507" s="69"/>
      <c r="L1507" s="21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7"/>
    </row>
    <row r="1509" spans="2:14" ht="15" x14ac:dyDescent="0.25">
      <c r="B1509" s="91"/>
      <c r="C1509" s="66"/>
      <c r="D1509" s="109"/>
      <c r="E1509" s="68"/>
      <c r="F1509" s="77"/>
      <c r="G1509" s="104"/>
      <c r="H1509" s="123"/>
      <c r="I1509" s="107"/>
      <c r="J1509" s="351"/>
      <c r="K1509" s="69"/>
      <c r="L1509" s="126"/>
      <c r="M1509" s="116"/>
      <c r="N1509" s="217"/>
    </row>
    <row r="1510" spans="2:14" ht="15" x14ac:dyDescent="0.25">
      <c r="B1510" s="91"/>
      <c r="C1510" s="66"/>
      <c r="D1510" s="109"/>
      <c r="E1510" s="68"/>
      <c r="F1510" s="77"/>
      <c r="G1510" s="104"/>
      <c r="H1510" s="121"/>
      <c r="I1510" s="107"/>
      <c r="J1510" s="351"/>
      <c r="K1510" s="80"/>
      <c r="L1510" s="126"/>
      <c r="M1510" s="117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3"/>
      <c r="I1511" s="107"/>
      <c r="J1511" s="351"/>
      <c r="K1511" s="80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68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316"/>
      <c r="D1513" s="65"/>
      <c r="E1513" s="68"/>
      <c r="F1513" s="117"/>
      <c r="G1513" s="117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37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78"/>
      <c r="D1525" s="109"/>
      <c r="E1525" s="68"/>
      <c r="F1525" s="77"/>
      <c r="G1525" s="311"/>
      <c r="H1525" s="312"/>
      <c r="I1525" s="107"/>
      <c r="J1525" s="351"/>
      <c r="K1525" s="69"/>
      <c r="L1525" s="126"/>
      <c r="M1525" s="116"/>
      <c r="N1525" s="217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65"/>
      <c r="C1530" s="78"/>
      <c r="D1530" s="109"/>
      <c r="E1530" s="68"/>
      <c r="F1530" s="77"/>
      <c r="G1530" s="311"/>
      <c r="H1530" s="312"/>
      <c r="I1530" s="313"/>
      <c r="J1530" s="352"/>
      <c r="K1530" s="69"/>
      <c r="L1530" s="216"/>
      <c r="M1530" s="116"/>
      <c r="N1530" s="212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68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123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2">
      <c r="B1545" s="91"/>
      <c r="C1545" s="66"/>
      <c r="D1545" s="109"/>
      <c r="E1545" s="68"/>
      <c r="F1545" s="77"/>
      <c r="G1545" s="104"/>
      <c r="H1545" s="121"/>
      <c r="I1545" s="129"/>
      <c r="J1545" s="353"/>
      <c r="K1545" s="80"/>
      <c r="L1545" s="126"/>
      <c r="M1545" s="116"/>
      <c r="N1545" s="2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317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317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65"/>
      <c r="C1556" s="78"/>
      <c r="D1556" s="109"/>
      <c r="E1556" s="68"/>
      <c r="F1556" s="77"/>
      <c r="G1556" s="311"/>
      <c r="H1556" s="312"/>
      <c r="I1556" s="313"/>
      <c r="J1556" s="352"/>
      <c r="K1556" s="69"/>
      <c r="L1556" s="216"/>
      <c r="M1556" s="116"/>
      <c r="N1556" s="212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1"/>
      <c r="K1561" s="79"/>
      <c r="L1561" s="126"/>
      <c r="M1561" s="115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3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68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3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91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0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118"/>
      <c r="M1584" s="116"/>
      <c r="N1584" s="3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318"/>
      <c r="M1588" s="116"/>
      <c r="N1588" s="318"/>
    </row>
    <row r="1589" spans="2:14" ht="15" x14ac:dyDescent="0.25">
      <c r="B1589" s="65"/>
      <c r="C1589" s="66"/>
      <c r="D1589" s="109"/>
      <c r="E1589" s="68"/>
      <c r="F1589" s="68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66"/>
      <c r="D1595" s="109"/>
      <c r="E1595" s="68"/>
      <c r="F1595" s="77"/>
      <c r="G1595" s="311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3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91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318"/>
      <c r="M1605" s="116"/>
      <c r="N1605" s="318"/>
    </row>
    <row r="1606" spans="2:14" ht="15" x14ac:dyDescent="0.25">
      <c r="B1606" s="91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3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18"/>
      <c r="M1611" s="116"/>
      <c r="N1611" s="318"/>
    </row>
    <row r="1612" spans="2:14" ht="15" x14ac:dyDescent="0.25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9"/>
    </row>
    <row r="1614" spans="2:14" ht="15" x14ac:dyDescent="0.25">
      <c r="B1614" s="91"/>
      <c r="C1614" s="66"/>
      <c r="D1614" s="109"/>
      <c r="E1614" s="68"/>
      <c r="F1614" s="68"/>
      <c r="G1614" s="104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91"/>
      <c r="C1616" s="78"/>
      <c r="D1616" s="109"/>
      <c r="E1616" s="68"/>
      <c r="F1616" s="77"/>
      <c r="G1616" s="311"/>
      <c r="H1616" s="123"/>
      <c r="I1616" s="107"/>
      <c r="J1616" s="351"/>
      <c r="K1616" s="69"/>
      <c r="L1616" s="120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65"/>
      <c r="C1619" s="78"/>
      <c r="D1619" s="109"/>
      <c r="E1619" s="68"/>
      <c r="F1619" s="77"/>
      <c r="G1619" s="311"/>
      <c r="H1619" s="312"/>
      <c r="I1619" s="313"/>
      <c r="J1619" s="352"/>
      <c r="K1619" s="69"/>
      <c r="L1619" s="318"/>
      <c r="M1619" s="116"/>
      <c r="N1619" s="3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311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120"/>
      <c r="M1627" s="116"/>
      <c r="N1627" s="219"/>
    </row>
    <row r="1628" spans="2:14" ht="15" x14ac:dyDescent="0.25">
      <c r="B1628" s="91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68"/>
      <c r="G1634" s="311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318"/>
      <c r="M1636" s="116"/>
      <c r="N1636" s="319"/>
    </row>
    <row r="1637" spans="2:14" ht="15" x14ac:dyDescent="0.25">
      <c r="B1637" s="37"/>
      <c r="C1637" s="78"/>
      <c r="D1637" s="109"/>
      <c r="E1637" s="68"/>
      <c r="F1637" s="77"/>
      <c r="G1637" s="311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37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37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65"/>
      <c r="C1644" s="78"/>
      <c r="D1644" s="109"/>
      <c r="E1644" s="68"/>
      <c r="F1644" s="77"/>
      <c r="G1644" s="311"/>
      <c r="H1644" s="312"/>
      <c r="I1644" s="313"/>
      <c r="J1644" s="352"/>
      <c r="K1644" s="69"/>
      <c r="L1644" s="318"/>
      <c r="M1644" s="116"/>
      <c r="N1644" s="3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68"/>
      <c r="G1647" s="104"/>
      <c r="H1647" s="121"/>
      <c r="I1647" s="107"/>
      <c r="J1647" s="351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79"/>
      <c r="L1654" s="120"/>
      <c r="M1654" s="115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114"/>
      <c r="L1657" s="118"/>
      <c r="M1657" s="117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18"/>
      <c r="M1664" s="116"/>
      <c r="N1664" s="319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91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91"/>
      <c r="C1668" s="66"/>
      <c r="D1668" s="109"/>
      <c r="E1668" s="68"/>
      <c r="F1668" s="68"/>
      <c r="G1668" s="104"/>
      <c r="H1668" s="121"/>
      <c r="I1668" s="107"/>
      <c r="J1668" s="351"/>
      <c r="K1668" s="69"/>
      <c r="L1668" s="118"/>
      <c r="M1668" s="116"/>
      <c r="N1668" s="320"/>
    </row>
    <row r="1669" spans="2:14" ht="15" x14ac:dyDescent="0.25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ht="15" x14ac:dyDescent="0.25">
      <c r="B1670" s="91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116"/>
      <c r="N1673" s="319"/>
    </row>
    <row r="1674" spans="2:14" ht="15" x14ac:dyDescent="0.25">
      <c r="B1674" s="65"/>
      <c r="C1674" s="78"/>
      <c r="D1674" s="109"/>
      <c r="E1674" s="68"/>
      <c r="F1674" s="77"/>
      <c r="G1674" s="311"/>
      <c r="H1674" s="312"/>
      <c r="I1674" s="313"/>
      <c r="J1674" s="352"/>
      <c r="K1674" s="69"/>
      <c r="L1674" s="216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91"/>
      <c r="C1680" s="78"/>
      <c r="D1680" s="100"/>
      <c r="E1680" s="101"/>
      <c r="F1680" s="77"/>
      <c r="G1680" s="311"/>
      <c r="H1680" s="321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78"/>
      <c r="D1687" s="100"/>
      <c r="E1687" s="101"/>
      <c r="F1687" s="77"/>
      <c r="G1687" s="311"/>
      <c r="H1687" s="321"/>
      <c r="I1687" s="313"/>
      <c r="J1687" s="352"/>
      <c r="K1687" s="69"/>
      <c r="L1687" s="84"/>
      <c r="M1687" s="82"/>
      <c r="N1687" s="319"/>
    </row>
    <row r="1688" spans="2:14" ht="15" x14ac:dyDescent="0.25">
      <c r="B1688" s="65"/>
      <c r="C1688" s="66"/>
      <c r="D1688" s="109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65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322"/>
      <c r="M1690" s="82"/>
      <c r="N1690" s="319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19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313"/>
      <c r="J1694" s="352"/>
      <c r="K1694" s="69"/>
      <c r="L1694" s="322"/>
      <c r="M1694" s="82"/>
      <c r="N1694" s="323"/>
    </row>
    <row r="1695" spans="2:14" ht="15" x14ac:dyDescent="0.25">
      <c r="B1695" s="65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68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78"/>
      <c r="D1702" s="100"/>
      <c r="E1702" s="101"/>
      <c r="F1702" s="77"/>
      <c r="G1702" s="311"/>
      <c r="H1702" s="321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70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23"/>
    </row>
    <row r="1706" spans="2:14" ht="15" x14ac:dyDescent="0.25">
      <c r="B1706" s="91"/>
      <c r="C1706" s="78"/>
      <c r="D1706" s="100"/>
      <c r="E1706" s="101"/>
      <c r="F1706" s="68"/>
      <c r="G1706" s="311"/>
      <c r="H1706" s="321"/>
      <c r="I1706" s="107"/>
      <c r="J1706" s="351"/>
      <c r="K1706" s="69"/>
      <c r="L1706" s="84"/>
      <c r="M1706" s="82"/>
      <c r="N1706" s="323"/>
    </row>
    <row r="1707" spans="2:14" ht="15" x14ac:dyDescent="0.25">
      <c r="B1707" s="91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68"/>
      <c r="G1709" s="104"/>
      <c r="H1709" s="106"/>
      <c r="I1709" s="107"/>
      <c r="J1709" s="351"/>
      <c r="K1709" s="69"/>
      <c r="L1709" s="84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ht="15" x14ac:dyDescent="0.25">
      <c r="B1712" s="65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322"/>
      <c r="M1712" s="82"/>
      <c r="N1712" s="323"/>
    </row>
    <row r="1713" spans="2:14" x14ac:dyDescent="0.2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x14ac:dyDescent="0.2">
      <c r="B1714" s="65"/>
      <c r="C1714" s="78"/>
      <c r="D1714" s="100"/>
      <c r="E1714" s="101"/>
      <c r="F1714" s="77"/>
      <c r="G1714" s="311"/>
      <c r="H1714" s="321"/>
      <c r="I1714" s="324"/>
      <c r="J1714" s="354"/>
      <c r="K1714" s="69"/>
      <c r="L1714" s="84"/>
      <c r="M1714" s="82"/>
      <c r="N1714" s="323"/>
    </row>
    <row r="1715" spans="2:14" ht="15" x14ac:dyDescent="0.25">
      <c r="B1715" s="65"/>
      <c r="C1715" s="78"/>
      <c r="D1715" s="100"/>
      <c r="E1715" s="101"/>
      <c r="F1715" s="77"/>
      <c r="G1715" s="311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100"/>
      <c r="E1716" s="102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13"/>
      <c r="J1718" s="352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ht="15" x14ac:dyDescent="0.25">
      <c r="B1720" s="65"/>
      <c r="C1720" s="78"/>
      <c r="D1720" s="97"/>
      <c r="E1720" s="67"/>
      <c r="F1720" s="77"/>
      <c r="G1720" s="325"/>
      <c r="H1720" s="321"/>
      <c r="I1720" s="326"/>
      <c r="J1720" s="355"/>
      <c r="K1720" s="69"/>
      <c r="L1720" s="322"/>
      <c r="M1720" s="82"/>
      <c r="N1720" s="323"/>
    </row>
    <row r="1721" spans="2:14" x14ac:dyDescent="0.2">
      <c r="B1721" s="65"/>
      <c r="C1721" s="66"/>
      <c r="D1721" s="90"/>
      <c r="E1721" s="67"/>
      <c r="F1721" s="77"/>
      <c r="G1721" s="77"/>
      <c r="H1721" s="106"/>
      <c r="I1721" s="94"/>
      <c r="J1721" s="356"/>
      <c r="K1721" s="80"/>
      <c r="L1721" s="84"/>
      <c r="M1721" s="82"/>
      <c r="N1721" s="327"/>
    </row>
    <row r="1722" spans="2:14" ht="15" x14ac:dyDescent="0.25">
      <c r="B1722" s="65"/>
      <c r="C1722" s="78"/>
      <c r="D1722" s="90"/>
      <c r="E1722" s="67"/>
      <c r="F1722" s="77"/>
      <c r="G1722" s="328"/>
      <c r="H1722" s="321"/>
      <c r="I1722" s="326"/>
      <c r="J1722" s="355"/>
      <c r="K1722" s="69"/>
      <c r="L1722" s="322"/>
      <c r="M1722" s="82"/>
      <c r="N1722" s="327"/>
    </row>
    <row r="1723" spans="2:14" ht="15" x14ac:dyDescent="0.25">
      <c r="B1723" s="65"/>
      <c r="C1723" s="66"/>
      <c r="D1723" s="90"/>
      <c r="E1723" s="67"/>
      <c r="F1723" s="77"/>
      <c r="G1723" s="77"/>
      <c r="H1723" s="106"/>
      <c r="I1723" s="95"/>
      <c r="J1723" s="357"/>
      <c r="K1723" s="80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69"/>
      <c r="L1724" s="84"/>
      <c r="M1724" s="82"/>
      <c r="N1724" s="327"/>
    </row>
    <row r="1725" spans="2:14" x14ac:dyDescent="0.2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80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78"/>
      <c r="D1729" s="90"/>
      <c r="E1729" s="67"/>
      <c r="F1729" s="77"/>
      <c r="G1729" s="328"/>
      <c r="H1729" s="321"/>
      <c r="I1729" s="326"/>
      <c r="J1729" s="355"/>
      <c r="K1729" s="69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7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84"/>
      <c r="M1731" s="82"/>
      <c r="N1731" s="327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80"/>
      <c r="L1732" s="84"/>
      <c r="M1732" s="82"/>
      <c r="N1732" s="327"/>
    </row>
    <row r="1733" spans="2:14" x14ac:dyDescent="0.2">
      <c r="B1733" s="91"/>
      <c r="C1733" s="66"/>
      <c r="D1733" s="90"/>
      <c r="E1733" s="67"/>
      <c r="F1733" s="77"/>
      <c r="G1733" s="77"/>
      <c r="H1733" s="106"/>
      <c r="I1733" s="94"/>
      <c r="J1733" s="356"/>
      <c r="K1733" s="69"/>
      <c r="L1733" s="84"/>
      <c r="M1733" s="82"/>
      <c r="N1733" s="323"/>
    </row>
    <row r="1734" spans="2:14" ht="15" x14ac:dyDescent="0.25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322"/>
      <c r="M1734" s="82"/>
      <c r="N1734" s="323"/>
    </row>
    <row r="1735" spans="2:14" ht="15" x14ac:dyDescent="0.25">
      <c r="B1735" s="91"/>
      <c r="C1735" s="66"/>
      <c r="D1735" s="90"/>
      <c r="E1735" s="67"/>
      <c r="F1735" s="77"/>
      <c r="G1735" s="77"/>
      <c r="H1735" s="106"/>
      <c r="I1735" s="95"/>
      <c r="J1735" s="357"/>
      <c r="K1735" s="69"/>
      <c r="L1735" s="84"/>
      <c r="M1735" s="82"/>
      <c r="N1735" s="323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37"/>
      <c r="C1737" s="52"/>
      <c r="D1737" s="24"/>
      <c r="E1737" s="25"/>
      <c r="F1737" s="26"/>
      <c r="G1737" s="26"/>
      <c r="H1737" s="329"/>
      <c r="I1737" s="41"/>
      <c r="J1737" s="358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0"/>
      <c r="C1742" s="52"/>
      <c r="D1742" s="24"/>
      <c r="E1742" s="25"/>
      <c r="F1742" s="26"/>
      <c r="G1742" s="26"/>
      <c r="H1742" s="329"/>
      <c r="I1742" s="41"/>
      <c r="J1742" s="358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31"/>
    </row>
    <row r="1745" spans="2:14" ht="15" x14ac:dyDescent="0.25">
      <c r="B1745" s="37"/>
      <c r="C1745" s="5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ht="15" x14ac:dyDescent="0.25">
      <c r="B1746" s="30"/>
      <c r="C1746" s="23"/>
      <c r="D1746" s="24"/>
      <c r="E1746" s="25"/>
      <c r="F1746" s="26"/>
      <c r="G1746" s="325"/>
      <c r="H1746" s="332"/>
      <c r="I1746" s="333"/>
      <c r="J1746" s="359"/>
      <c r="K1746" s="27"/>
      <c r="L1746" s="330"/>
      <c r="M1746" s="34"/>
      <c r="N1746" s="35"/>
    </row>
    <row r="1747" spans="2:14" ht="15" x14ac:dyDescent="0.25">
      <c r="B1747" s="30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60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5"/>
    </row>
    <row r="1757" spans="2:14" x14ac:dyDescent="0.2">
      <c r="B1757" s="37"/>
      <c r="C1757" s="23"/>
      <c r="D1757" s="24"/>
      <c r="E1757" s="25"/>
      <c r="F1757" s="60"/>
      <c r="G1757" s="26"/>
      <c r="H1757" s="329"/>
      <c r="I1757" s="42"/>
      <c r="J1757" s="360"/>
      <c r="K1757" s="27"/>
      <c r="L1757" s="33"/>
      <c r="M1757" s="34"/>
      <c r="N1757" s="35"/>
    </row>
    <row r="1758" spans="2:14" ht="15" x14ac:dyDescent="0.25">
      <c r="B1758" s="37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2"/>
      <c r="D1759" s="24"/>
      <c r="E1759" s="25"/>
      <c r="F1759" s="60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325"/>
      <c r="H1770" s="332"/>
      <c r="I1770" s="333"/>
      <c r="J1770" s="359"/>
      <c r="K1770" s="27"/>
      <c r="L1770" s="330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0"/>
      <c r="C1772" s="23"/>
      <c r="D1772" s="24"/>
      <c r="E1772" s="25"/>
      <c r="F1772" s="26"/>
      <c r="G1772" s="26"/>
      <c r="H1772" s="329"/>
      <c r="I1772" s="41"/>
      <c r="J1772" s="358"/>
      <c r="K1772" s="36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325"/>
      <c r="H1773" s="332"/>
      <c r="I1773" s="333"/>
      <c r="J1773" s="359"/>
      <c r="K1773" s="27"/>
      <c r="L1773" s="33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27"/>
      <c r="L1780" s="33"/>
      <c r="M1780" s="34"/>
      <c r="N1780" s="35"/>
    </row>
    <row r="1781" spans="2:14" x14ac:dyDescent="0.2">
      <c r="B1781" s="37"/>
      <c r="C1781" s="23"/>
      <c r="D1781" s="24"/>
      <c r="E1781" s="25"/>
      <c r="F1781" s="26"/>
      <c r="G1781" s="325"/>
      <c r="H1781" s="332"/>
      <c r="I1781" s="334"/>
      <c r="J1781" s="361"/>
      <c r="K1781" s="27"/>
      <c r="L1781" s="33"/>
      <c r="M1781" s="34"/>
      <c r="N1781" s="35"/>
    </row>
    <row r="1782" spans="2:14" x14ac:dyDescent="0.2">
      <c r="B1782" s="37"/>
      <c r="C1782" s="52"/>
      <c r="D1782" s="24"/>
      <c r="E1782" s="25"/>
      <c r="F1782" s="26"/>
      <c r="G1782" s="26"/>
      <c r="H1782" s="329"/>
      <c r="I1782" s="42"/>
      <c r="J1782" s="360"/>
      <c r="K1782" s="36"/>
      <c r="L1782" s="33"/>
      <c r="M1782" s="34"/>
      <c r="N1782" s="35"/>
    </row>
    <row r="1783" spans="2:14" x14ac:dyDescent="0.2">
      <c r="B1783" s="37"/>
      <c r="C1783" s="53"/>
      <c r="D1783" s="24"/>
      <c r="E1783" s="25"/>
      <c r="F1783" s="26"/>
      <c r="G1783" s="26"/>
      <c r="H1783" s="329"/>
      <c r="I1783" s="334"/>
      <c r="J1783" s="361"/>
      <c r="K1783" s="36"/>
      <c r="L1783" s="330"/>
      <c r="M1783" s="34"/>
      <c r="N1783" s="35"/>
    </row>
    <row r="1784" spans="2:14" ht="15" x14ac:dyDescent="0.25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0"/>
      <c r="M1784" s="34"/>
      <c r="N1784" s="35"/>
    </row>
    <row r="1785" spans="2:14" ht="15" x14ac:dyDescent="0.25">
      <c r="B1785" s="37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26"/>
      <c r="H1786" s="329"/>
      <c r="I1786" s="333"/>
      <c r="J1786" s="359"/>
      <c r="K1786" s="36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36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23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3"/>
      <c r="D1802" s="24"/>
      <c r="E1802" s="25"/>
      <c r="F1802" s="26"/>
      <c r="G1802" s="325"/>
      <c r="H1802" s="332"/>
      <c r="I1802" s="333"/>
      <c r="J1802" s="359"/>
      <c r="K1802" s="36"/>
      <c r="L1802" s="33"/>
      <c r="M1802" s="34"/>
      <c r="N1802" s="35"/>
    </row>
    <row r="1803" spans="2:14" ht="15" x14ac:dyDescent="0.25">
      <c r="B1803" s="30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36"/>
      <c r="L1804" s="33"/>
      <c r="M1804" s="34"/>
      <c r="N1804" s="35"/>
    </row>
    <row r="1805" spans="2:14" ht="15" x14ac:dyDescent="0.25">
      <c r="B1805" s="37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"/>
      <c r="M1809" s="34"/>
      <c r="N1809" s="35"/>
    </row>
    <row r="1810" spans="2:14" ht="15" x14ac:dyDescent="0.25">
      <c r="B1810" s="37"/>
      <c r="C1810" s="52"/>
      <c r="D1810" s="24"/>
      <c r="E1810" s="25"/>
      <c r="F1810" s="26"/>
      <c r="G1810" s="26"/>
      <c r="H1810" s="329"/>
      <c r="I1810" s="41"/>
      <c r="J1810" s="358"/>
      <c r="K1810" s="27"/>
      <c r="L1810" s="33"/>
      <c r="M1810" s="34"/>
      <c r="N1810" s="35"/>
    </row>
    <row r="1811" spans="2:14" x14ac:dyDescent="0.2">
      <c r="B1811" s="37"/>
      <c r="C1811" s="52"/>
      <c r="D1811" s="24"/>
      <c r="E1811" s="25"/>
      <c r="F1811" s="26"/>
      <c r="G1811" s="26"/>
      <c r="H1811" s="329"/>
      <c r="I1811" s="42"/>
      <c r="J1811" s="360"/>
      <c r="K1811" s="36"/>
      <c r="L1811" s="330"/>
      <c r="M1811" s="34"/>
      <c r="N1811" s="35"/>
    </row>
    <row r="1812" spans="2:14" ht="15" x14ac:dyDescent="0.25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0"/>
      <c r="M1813" s="34"/>
      <c r="N1813" s="35"/>
    </row>
    <row r="1814" spans="2:14" x14ac:dyDescent="0.2">
      <c r="B1814" s="37"/>
      <c r="C1814" s="23"/>
      <c r="D1814" s="24"/>
      <c r="E1814" s="25"/>
      <c r="F1814" s="26"/>
      <c r="G1814" s="325"/>
      <c r="H1814" s="332"/>
      <c r="I1814" s="334"/>
      <c r="J1814" s="361"/>
      <c r="K1814" s="27"/>
      <c r="L1814" s="33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2">
      <c r="B1818" s="37"/>
      <c r="C1818" s="23"/>
      <c r="D1818" s="24"/>
      <c r="E1818" s="25"/>
      <c r="F1818" s="26"/>
      <c r="G1818" s="325"/>
      <c r="H1818" s="332"/>
      <c r="I1818" s="334"/>
      <c r="J1818" s="361"/>
      <c r="K1818" s="27"/>
      <c r="L1818" s="33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C1822" s="53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7"/>
      <c r="D1823" s="24"/>
      <c r="E1823" s="25"/>
      <c r="F1823" s="26"/>
      <c r="G1823" s="325"/>
      <c r="H1823" s="332"/>
      <c r="I1823" s="333"/>
      <c r="J1823" s="359"/>
      <c r="K1823" s="27"/>
      <c r="L1823" s="330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26"/>
      <c r="H1825" s="329"/>
      <c r="I1825" s="41"/>
      <c r="J1825" s="358"/>
      <c r="K1825" s="36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325"/>
      <c r="H1826" s="332"/>
      <c r="I1826" s="333"/>
      <c r="J1826" s="359"/>
      <c r="K1826" s="27"/>
      <c r="L1826" s="33"/>
      <c r="M1826" s="34"/>
      <c r="N1826" s="35"/>
    </row>
    <row r="1827" spans="2:14" x14ac:dyDescent="0.2">
      <c r="B1827" s="30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26"/>
      <c r="H1829" s="329"/>
      <c r="I1829" s="42"/>
      <c r="J1829" s="360"/>
      <c r="K1829" s="36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0"/>
      <c r="C1831" s="23"/>
      <c r="D1831" s="24"/>
      <c r="E1831" s="25"/>
      <c r="F1831" s="26"/>
      <c r="G1831" s="26"/>
      <c r="H1831" s="329"/>
      <c r="I1831" s="42"/>
      <c r="J1831" s="360"/>
      <c r="K1831" s="27"/>
      <c r="L1831" s="33"/>
      <c r="M1831" s="34"/>
      <c r="N1831" s="35"/>
    </row>
    <row r="1832" spans="2:14" ht="15" x14ac:dyDescent="0.25">
      <c r="B1832" s="30"/>
      <c r="C1832" s="23"/>
      <c r="D1832" s="24"/>
      <c r="E1832" s="25"/>
      <c r="F1832" s="26"/>
      <c r="G1832" s="325"/>
      <c r="H1832" s="332"/>
      <c r="I1832" s="333"/>
      <c r="J1832" s="359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26"/>
      <c r="H1836" s="329"/>
      <c r="I1836" s="41"/>
      <c r="J1836" s="358"/>
      <c r="K1836" s="27"/>
      <c r="L1836" s="330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x14ac:dyDescent="0.2">
      <c r="B1838" s="30"/>
      <c r="C1838" s="23"/>
      <c r="D1838" s="24"/>
      <c r="E1838" s="25"/>
      <c r="F1838" s="26"/>
      <c r="G1838" s="26"/>
      <c r="H1838" s="329"/>
      <c r="I1838" s="42"/>
      <c r="J1838" s="360"/>
      <c r="K1838" s="27"/>
      <c r="L1838" s="33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0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36"/>
      <c r="L1850" s="33"/>
      <c r="M1850" s="34"/>
      <c r="N1850" s="35"/>
    </row>
  </sheetData>
  <sortState xmlns:xlrd2="http://schemas.microsoft.com/office/spreadsheetml/2017/richdata2" ref="B7:I1048557">
    <sortCondition ref="C7:C29"/>
  </sortState>
  <mergeCells count="3">
    <mergeCell ref="D1:H1"/>
    <mergeCell ref="D2:K2"/>
    <mergeCell ref="B3:F4"/>
  </mergeCells>
  <phoneticPr fontId="19" type="noConversion"/>
  <conditionalFormatting sqref="H1823:H1846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3:H1845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3:H1844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3:E1850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3:E1850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3:E1850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3:E1850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3:E1850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3:E1850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3:E1850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3:E1850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3:H1850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3:H1850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3:H1850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3:E1850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3:H1850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3:E1850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3:H1850">
    <cfRule type="iconSet" priority="282941">
      <iconSet>
        <cfvo type="percent" val="0"/>
        <cfvo type="percent" val="23"/>
        <cfvo type="percent" val="70"/>
      </iconSet>
    </cfRule>
  </conditionalFormatting>
  <conditionalFormatting sqref="H1823:H1850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3:H1850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3:H1850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3:H1850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3:E1850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3:H1850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3:H1850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3:H1850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3:H1850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3:H1850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3:E1850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3:H1850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3:H1850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3:E1850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3:E1850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3:H1850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3:H1850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3:H1850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3:E1850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3:H1850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3:H1850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3:H1850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3:H1850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3:H1850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3:H1850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3:E1850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3:H1850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3:H1850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3:H1850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3:H1850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3:H1850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3:H1850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3:E1850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3:H1850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3:E1850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3:H1850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3:E1850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3:H1850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09">
      <iconSet>
        <cfvo type="percent" val="0"/>
        <cfvo type="num" val="22"/>
        <cfvo type="num" val="26"/>
      </iconSet>
    </cfRule>
  </conditionalFormatting>
  <conditionalFormatting sqref="H1823:H1850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15">
      <iconSet>
        <cfvo type="percent" val="0"/>
        <cfvo type="num" val="21"/>
        <cfvo type="num" val="25"/>
      </iconSet>
    </cfRule>
  </conditionalFormatting>
  <conditionalFormatting sqref="H1823:H1850">
    <cfRule type="iconSet" priority="283417">
      <iconSet>
        <cfvo type="percent" val="0"/>
        <cfvo type="num" val="19"/>
        <cfvo type="num" val="23"/>
      </iconSet>
    </cfRule>
  </conditionalFormatting>
  <conditionalFormatting sqref="H1823:H1850">
    <cfRule type="iconSet" priority="283419">
      <iconSet>
        <cfvo type="percent" val="0"/>
        <cfvo type="num" val="23"/>
        <cfvo type="num" val="27"/>
      </iconSet>
    </cfRule>
  </conditionalFormatting>
  <conditionalFormatting sqref="E1737:E1739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2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31:E1160 E7:E29">
    <cfRule type="cellIs" dxfId="60" priority="170" operator="greaterThan">
      <formula>7</formula>
    </cfRule>
  </conditionalFormatting>
  <conditionalFormatting sqref="E1470:E4748">
    <cfRule type="cellIs" dxfId="59" priority="137" operator="greaterThan">
      <formula>7</formula>
    </cfRule>
  </conditionalFormatting>
  <conditionalFormatting sqref="I31:I1232 G31:G33 I7:I29">
    <cfRule type="cellIs" dxfId="58" priority="41" operator="lessThan">
      <formula>E7</formula>
    </cfRule>
  </conditionalFormatting>
  <conditionalFormatting sqref="I1823:I1850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3:I1850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3:I1850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3:I1850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3:I1850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3:I1850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3:I1850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3:I1850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3:I1850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3:I1850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3:I1850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3:I1850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3:I1850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3:I1850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9:H1456 H1243:H1417 H31:H1232 H7:H29">
    <cfRule type="cellIs" dxfId="57" priority="297711" operator="greaterThan">
      <formula>$H$30</formula>
    </cfRule>
  </conditionalFormatting>
  <conditionalFormatting sqref="L7:L1232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E1737:E1739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E1717:E1736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$H$30</xm:f>
              </x14:cfvo>
              <x14:cfIcon iconSet="NoIcons" iconId="0"/>
              <x14:cfIcon iconSet="NoIcons" iconId="0"/>
              <x14:cfIcon iconSet="3Stars" iconId="2"/>
            </x14:iconSet>
          </x14:cfRule>
          <xm:sqref>H1243:H1253 H31:H1232 H7:H29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2" t="s">
        <v>112</v>
      </c>
      <c r="E1" s="372"/>
      <c r="F1" s="372"/>
      <c r="G1" s="372"/>
      <c r="H1" s="372"/>
      <c r="I1" s="19"/>
      <c r="J1" s="16"/>
      <c r="K1"/>
    </row>
    <row r="2" spans="2:75" ht="33.75" customHeight="1" thickBot="1" x14ac:dyDescent="0.35">
      <c r="D2" s="373" t="s">
        <v>113</v>
      </c>
      <c r="E2" s="373"/>
      <c r="F2" s="373"/>
      <c r="G2" s="373"/>
      <c r="H2" s="373"/>
      <c r="I2" s="373"/>
      <c r="J2" s="373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4" t="s">
        <v>117</v>
      </c>
      <c r="E3" s="374"/>
      <c r="F3" s="374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4"/>
      <c r="E4" s="374"/>
      <c r="F4" s="374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5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2025-11-17T06:12:04Z</cp:lastPrinted>
  <dcterms:created xsi:type="dcterms:W3CDTF">2021-05-05T13:25:05Z</dcterms:created>
  <dcterms:modified xsi:type="dcterms:W3CDTF">2025-11-17T06:12:23Z</dcterms:modified>
</cp:coreProperties>
</file>