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47A4458-2E0A-46A6-B6E0-5ACEFFF05AF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Import!$B$1:$R$47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M8" i="1"/>
  <c r="O8" i="1"/>
  <c r="Q8" i="1"/>
  <c r="T8" i="1"/>
  <c r="H9" i="1"/>
  <c r="M9" i="1"/>
  <c r="O9" i="1"/>
  <c r="T9" i="1"/>
  <c r="H10" i="1"/>
  <c r="M10" i="1"/>
  <c r="O10" i="1"/>
  <c r="Q10" i="1"/>
  <c r="T10" i="1"/>
  <c r="H11" i="1"/>
  <c r="M11" i="1"/>
  <c r="O11" i="1"/>
  <c r="T11" i="1"/>
  <c r="H12" i="1"/>
  <c r="M12" i="1"/>
  <c r="O12" i="1"/>
  <c r="Q12" i="1"/>
  <c r="T12" i="1"/>
  <c r="H13" i="1"/>
  <c r="M13" i="1"/>
  <c r="O13" i="1"/>
  <c r="T13" i="1"/>
  <c r="H14" i="1"/>
  <c r="M14" i="1"/>
  <c r="O14" i="1"/>
  <c r="T14" i="1"/>
  <c r="H15" i="1"/>
  <c r="M15" i="1"/>
  <c r="O15" i="1"/>
  <c r="Q15" i="1"/>
  <c r="T15" i="1"/>
  <c r="H16" i="1"/>
  <c r="M16" i="1"/>
  <c r="O16" i="1"/>
  <c r="T16" i="1"/>
  <c r="H17" i="1"/>
  <c r="M17" i="1"/>
  <c r="O17" i="1"/>
  <c r="Q17" i="1"/>
  <c r="T17" i="1"/>
  <c r="H18" i="1"/>
  <c r="M18" i="1"/>
  <c r="O18" i="1"/>
  <c r="T18" i="1"/>
  <c r="H19" i="1"/>
  <c r="M19" i="1"/>
  <c r="O19" i="1"/>
  <c r="T19" i="1"/>
  <c r="H20" i="1"/>
  <c r="M20" i="1"/>
  <c r="O20" i="1"/>
  <c r="Q20" i="1"/>
  <c r="T20" i="1"/>
  <c r="H21" i="1"/>
  <c r="M21" i="1"/>
  <c r="O21" i="1"/>
  <c r="T21" i="1"/>
  <c r="H22" i="1"/>
  <c r="M22" i="1"/>
  <c r="O22" i="1"/>
  <c r="T22" i="1"/>
  <c r="H23" i="1"/>
  <c r="M23" i="1"/>
  <c r="O23" i="1"/>
  <c r="Q23" i="1"/>
  <c r="T23" i="1"/>
  <c r="H24" i="1"/>
  <c r="M24" i="1"/>
  <c r="O24" i="1"/>
  <c r="Q24" i="1" s="1"/>
  <c r="T24" i="1"/>
  <c r="H25" i="1"/>
  <c r="M25" i="1"/>
  <c r="O25" i="1"/>
  <c r="Q25" i="1"/>
  <c r="T25" i="1"/>
  <c r="H26" i="1"/>
  <c r="M26" i="1"/>
  <c r="O26" i="1"/>
  <c r="Q26" i="1" s="1"/>
  <c r="T26" i="1"/>
  <c r="H27" i="1"/>
  <c r="M27" i="1"/>
  <c r="O27" i="1"/>
  <c r="Q27" i="1" s="1"/>
  <c r="T27" i="1"/>
  <c r="H28" i="1"/>
  <c r="M28" i="1"/>
  <c r="O28" i="1"/>
  <c r="Q28" i="1"/>
  <c r="T28" i="1"/>
  <c r="H29" i="1"/>
  <c r="M29" i="1"/>
  <c r="O29" i="1"/>
  <c r="Q29" i="1" s="1"/>
  <c r="T29" i="1"/>
  <c r="H30" i="1"/>
  <c r="M30" i="1"/>
  <c r="O30" i="1"/>
  <c r="Q30" i="1" s="1"/>
  <c r="T30" i="1"/>
  <c r="H31" i="1"/>
  <c r="M31" i="1"/>
  <c r="O31" i="1"/>
  <c r="Q31" i="1"/>
  <c r="T31" i="1"/>
  <c r="H32" i="1"/>
  <c r="M32" i="1"/>
  <c r="O32" i="1"/>
  <c r="Q32" i="1" s="1"/>
  <c r="T32" i="1"/>
  <c r="H33" i="1"/>
  <c r="M33" i="1"/>
  <c r="O33" i="1"/>
  <c r="Q33" i="1"/>
  <c r="T33" i="1"/>
  <c r="H34" i="1"/>
  <c r="M34" i="1"/>
  <c r="O34" i="1"/>
  <c r="Q34" i="1" s="1"/>
  <c r="T34" i="1"/>
  <c r="H35" i="1"/>
  <c r="M35" i="1"/>
  <c r="O35" i="1"/>
  <c r="Q35" i="1" s="1"/>
  <c r="T35" i="1"/>
  <c r="H36" i="1"/>
  <c r="M36" i="1"/>
  <c r="O36" i="1"/>
  <c r="Q36" i="1"/>
  <c r="T36" i="1"/>
  <c r="H37" i="1"/>
  <c r="M37" i="1"/>
  <c r="O37" i="1"/>
  <c r="Q37" i="1" s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O40" i="1"/>
  <c r="Q40" i="1" s="1"/>
  <c r="T40" i="1"/>
  <c r="H41" i="1"/>
  <c r="M41" i="1"/>
  <c r="O41" i="1"/>
  <c r="Q41" i="1"/>
  <c r="T41" i="1"/>
  <c r="H42" i="1"/>
  <c r="M42" i="1"/>
  <c r="O42" i="1"/>
  <c r="Q42" i="1" s="1"/>
  <c r="T42" i="1"/>
  <c r="H43" i="1"/>
  <c r="M43" i="1"/>
  <c r="O43" i="1"/>
  <c r="Q43" i="1" s="1"/>
  <c r="T43" i="1"/>
  <c r="H44" i="1"/>
  <c r="M44" i="1"/>
  <c r="O44" i="1"/>
  <c r="Q44" i="1"/>
  <c r="T44" i="1"/>
  <c r="H45" i="1"/>
  <c r="M45" i="1"/>
  <c r="O45" i="1"/>
  <c r="Q45" i="1" s="1"/>
  <c r="T45" i="1"/>
  <c r="H46" i="1"/>
  <c r="M46" i="1"/>
  <c r="O46" i="1"/>
  <c r="Q46" i="1" s="1"/>
  <c r="T46" i="1"/>
  <c r="C47" i="1"/>
  <c r="G47" i="1"/>
  <c r="I13" i="1" s="1"/>
  <c r="F47" i="1"/>
  <c r="E47" i="1"/>
  <c r="G11" i="6"/>
  <c r="F11" i="6"/>
  <c r="E11" i="6"/>
  <c r="T7" i="1"/>
  <c r="O7" i="1"/>
  <c r="M7" i="1"/>
  <c r="N10" i="1" s="1"/>
  <c r="H7" i="1"/>
  <c r="P3" i="6"/>
  <c r="M9" i="6"/>
  <c r="H10" i="3"/>
  <c r="S152" i="6"/>
  <c r="V11" i="6"/>
  <c r="I11" i="6"/>
  <c r="H11" i="6"/>
  <c r="V10" i="6"/>
  <c r="V9" i="6"/>
  <c r="V8" i="6"/>
  <c r="V7" i="6"/>
  <c r="M7" i="6"/>
  <c r="T66" i="1"/>
  <c r="O66" i="1"/>
  <c r="P66" i="1" s="1"/>
  <c r="T65" i="1"/>
  <c r="O65" i="1"/>
  <c r="P65" i="1" s="1"/>
  <c r="T64" i="1"/>
  <c r="O64" i="1"/>
  <c r="Q64" i="1" s="1"/>
  <c r="T63" i="1"/>
  <c r="O63" i="1"/>
  <c r="Q63" i="1" s="1"/>
  <c r="T62" i="1"/>
  <c r="O62" i="1"/>
  <c r="P62" i="1" s="1"/>
  <c r="U61" i="1"/>
  <c r="T61" i="1"/>
  <c r="O61" i="1"/>
  <c r="P61" i="1" s="1"/>
  <c r="U60" i="1"/>
  <c r="T60" i="1"/>
  <c r="O60" i="1"/>
  <c r="P60" i="1" s="1"/>
  <c r="U59" i="1"/>
  <c r="T59" i="1"/>
  <c r="O59" i="1"/>
  <c r="Q59" i="1" s="1"/>
  <c r="U58" i="1"/>
  <c r="T58" i="1"/>
  <c r="O58" i="1"/>
  <c r="Q58" i="1" s="1"/>
  <c r="U57" i="1"/>
  <c r="T57" i="1"/>
  <c r="O57" i="1"/>
  <c r="P57" i="1" s="1"/>
  <c r="U56" i="1"/>
  <c r="T56" i="1"/>
  <c r="O56" i="1"/>
  <c r="P56" i="1" s="1"/>
  <c r="U55" i="1"/>
  <c r="T55" i="1"/>
  <c r="O55" i="1"/>
  <c r="Q55" i="1" s="1"/>
  <c r="U54" i="1"/>
  <c r="T54" i="1"/>
  <c r="O54" i="1"/>
  <c r="Q54" i="1" s="1"/>
  <c r="U53" i="1"/>
  <c r="T53" i="1"/>
  <c r="O53" i="1"/>
  <c r="P53" i="1" s="1"/>
  <c r="T52" i="1"/>
  <c r="O52" i="1"/>
  <c r="P52" i="1" s="1"/>
  <c r="T51" i="1"/>
  <c r="O51" i="1"/>
  <c r="Q51" i="1" s="1"/>
  <c r="T50" i="1"/>
  <c r="O50" i="1"/>
  <c r="Q50" i="1" s="1"/>
  <c r="T49" i="1"/>
  <c r="O49" i="1"/>
  <c r="P49" i="1" s="1"/>
  <c r="T48" i="1"/>
  <c r="O48" i="1"/>
  <c r="Q48" i="1" s="1"/>
  <c r="T47" i="1"/>
  <c r="O47" i="1"/>
  <c r="Q47" i="1" s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D13" i="3"/>
  <c r="E12" i="3"/>
  <c r="H11" i="3"/>
  <c r="D12" i="3"/>
  <c r="Q7" i="1" l="1"/>
  <c r="Q22" i="1"/>
  <c r="Q21" i="1"/>
  <c r="Q16" i="1"/>
  <c r="Q11" i="1"/>
  <c r="N45" i="1"/>
  <c r="N41" i="1"/>
  <c r="N37" i="1"/>
  <c r="N33" i="1"/>
  <c r="N29" i="1"/>
  <c r="N25" i="1"/>
  <c r="N21" i="1"/>
  <c r="N17" i="1"/>
  <c r="N13" i="1"/>
  <c r="N9" i="1"/>
  <c r="N44" i="1"/>
  <c r="N40" i="1"/>
  <c r="N36" i="1"/>
  <c r="N32" i="1"/>
  <c r="N28" i="1"/>
  <c r="N24" i="1"/>
  <c r="N20" i="1"/>
  <c r="N16" i="1"/>
  <c r="N12" i="1"/>
  <c r="N8" i="1"/>
  <c r="Q19" i="1"/>
  <c r="Q13" i="1"/>
  <c r="Q9" i="1"/>
  <c r="N43" i="1"/>
  <c r="N39" i="1"/>
  <c r="N35" i="1"/>
  <c r="N31" i="1"/>
  <c r="N27" i="1"/>
  <c r="N23" i="1"/>
  <c r="N19" i="1"/>
  <c r="N15" i="1"/>
  <c r="N11" i="1"/>
  <c r="N7" i="1"/>
  <c r="N46" i="1"/>
  <c r="N42" i="1"/>
  <c r="N38" i="1"/>
  <c r="N34" i="1"/>
  <c r="N30" i="1"/>
  <c r="N26" i="1"/>
  <c r="N22" i="1"/>
  <c r="N18" i="1"/>
  <c r="N14" i="1"/>
  <c r="I38" i="1"/>
  <c r="P38" i="1" s="1"/>
  <c r="L38" i="1" s="1"/>
  <c r="I37" i="1"/>
  <c r="I30" i="1"/>
  <c r="P30" i="1" s="1"/>
  <c r="L30" i="1" s="1"/>
  <c r="I42" i="1"/>
  <c r="P42" i="1" s="1"/>
  <c r="L42" i="1" s="1"/>
  <c r="I26" i="1"/>
  <c r="P26" i="1" s="1"/>
  <c r="L26" i="1" s="1"/>
  <c r="I22" i="1"/>
  <c r="P22" i="1" s="1"/>
  <c r="L22" i="1" s="1"/>
  <c r="I11" i="1"/>
  <c r="J11" i="1" s="1"/>
  <c r="I9" i="1"/>
  <c r="P9" i="1" s="1"/>
  <c r="L9" i="1" s="1"/>
  <c r="I46" i="1"/>
  <c r="P46" i="1" s="1"/>
  <c r="L46" i="1" s="1"/>
  <c r="I45" i="1"/>
  <c r="I12" i="1"/>
  <c r="J12" i="1" s="1"/>
  <c r="I10" i="1"/>
  <c r="J10" i="1" s="1"/>
  <c r="I8" i="1"/>
  <c r="J8" i="1" s="1"/>
  <c r="I41" i="1"/>
  <c r="P41" i="1" s="1"/>
  <c r="L41" i="1" s="1"/>
  <c r="I34" i="1"/>
  <c r="P34" i="1" s="1"/>
  <c r="L34" i="1" s="1"/>
  <c r="I33" i="1"/>
  <c r="I15" i="1"/>
  <c r="J15" i="1" s="1"/>
  <c r="J13" i="1"/>
  <c r="P13" i="1"/>
  <c r="L13" i="1" s="1"/>
  <c r="I29" i="1"/>
  <c r="I28" i="1"/>
  <c r="J28" i="1" s="1"/>
  <c r="I27" i="1"/>
  <c r="J27" i="1" s="1"/>
  <c r="I21" i="1"/>
  <c r="I20" i="1"/>
  <c r="J20" i="1" s="1"/>
  <c r="I19" i="1"/>
  <c r="J19" i="1" s="1"/>
  <c r="I18" i="1"/>
  <c r="J18" i="1" s="1"/>
  <c r="I17" i="1"/>
  <c r="I16" i="1"/>
  <c r="J16" i="1" s="1"/>
  <c r="I44" i="1"/>
  <c r="I43" i="1"/>
  <c r="J43" i="1" s="1"/>
  <c r="I40" i="1"/>
  <c r="I39" i="1"/>
  <c r="J39" i="1" s="1"/>
  <c r="I36" i="1"/>
  <c r="I35" i="1"/>
  <c r="J35" i="1" s="1"/>
  <c r="I32" i="1"/>
  <c r="I31" i="1"/>
  <c r="J31" i="1" s="1"/>
  <c r="I25" i="1"/>
  <c r="I24" i="1"/>
  <c r="J24" i="1" s="1"/>
  <c r="I23" i="1"/>
  <c r="J23" i="1" s="1"/>
  <c r="I14" i="1"/>
  <c r="J14" i="1" s="1"/>
  <c r="P8" i="1"/>
  <c r="L8" i="1" s="1"/>
  <c r="Q18" i="1"/>
  <c r="Q14" i="1"/>
  <c r="H47" i="1"/>
  <c r="U20" i="1" s="1"/>
  <c r="I7" i="1"/>
  <c r="P7" i="1" s="1"/>
  <c r="L7" i="1" s="1"/>
  <c r="Q57" i="1"/>
  <c r="P58" i="1"/>
  <c r="Q3" i="1"/>
  <c r="Q53" i="1"/>
  <c r="P54" i="1"/>
  <c r="Q61" i="1"/>
  <c r="R3" i="1"/>
  <c r="Q56" i="1"/>
  <c r="Q60" i="1"/>
  <c r="P55" i="1"/>
  <c r="P59" i="1"/>
  <c r="M10" i="6"/>
  <c r="M8" i="6"/>
  <c r="Q3" i="6"/>
  <c r="R3" i="6" s="1"/>
  <c r="S3" i="6" s="1"/>
  <c r="AO7" i="3"/>
  <c r="H12" i="3"/>
  <c r="I12" i="3" s="1"/>
  <c r="I11" i="3"/>
  <c r="P50" i="1"/>
  <c r="Q66" i="1"/>
  <c r="Q65" i="1"/>
  <c r="Q52" i="1"/>
  <c r="P48" i="1"/>
  <c r="Q62" i="1"/>
  <c r="Q49" i="1"/>
  <c r="P64" i="1"/>
  <c r="P47" i="1"/>
  <c r="P51" i="1"/>
  <c r="P63" i="1"/>
  <c r="M11" i="6" l="1"/>
  <c r="P12" i="1"/>
  <c r="L12" i="1" s="1"/>
  <c r="P15" i="1"/>
  <c r="L15" i="1" s="1"/>
  <c r="U30" i="1"/>
  <c r="U32" i="1"/>
  <c r="U24" i="1"/>
  <c r="U25" i="1"/>
  <c r="U10" i="1"/>
  <c r="U18" i="1"/>
  <c r="U29" i="1"/>
  <c r="U28" i="1"/>
  <c r="U15" i="1"/>
  <c r="U43" i="1"/>
  <c r="U9" i="1"/>
  <c r="U42" i="1"/>
  <c r="U13" i="1"/>
  <c r="U45" i="1"/>
  <c r="U17" i="1"/>
  <c r="U44" i="1"/>
  <c r="P20" i="1"/>
  <c r="L20" i="1" s="1"/>
  <c r="J38" i="1"/>
  <c r="J26" i="1"/>
  <c r="J41" i="1"/>
  <c r="U11" i="1"/>
  <c r="U34" i="1"/>
  <c r="U8" i="1"/>
  <c r="U39" i="1"/>
  <c r="U12" i="1"/>
  <c r="U35" i="1"/>
  <c r="J22" i="1"/>
  <c r="U46" i="1"/>
  <c r="U19" i="1"/>
  <c r="U21" i="1"/>
  <c r="U26" i="1"/>
  <c r="U31" i="1"/>
  <c r="U40" i="1"/>
  <c r="U38" i="1"/>
  <c r="U33" i="1"/>
  <c r="U14" i="1"/>
  <c r="P43" i="1"/>
  <c r="L43" i="1" s="1"/>
  <c r="P28" i="1"/>
  <c r="L28" i="1" s="1"/>
  <c r="J46" i="1"/>
  <c r="U22" i="1"/>
  <c r="U36" i="1"/>
  <c r="U27" i="1"/>
  <c r="U41" i="1"/>
  <c r="U23" i="1"/>
  <c r="U37" i="1"/>
  <c r="U16" i="1"/>
  <c r="P27" i="1"/>
  <c r="L27" i="1" s="1"/>
  <c r="J30" i="1"/>
  <c r="J33" i="1"/>
  <c r="P33" i="1"/>
  <c r="L33" i="1" s="1"/>
  <c r="J42" i="1"/>
  <c r="J9" i="1"/>
  <c r="P35" i="1"/>
  <c r="L35" i="1" s="1"/>
  <c r="P11" i="1"/>
  <c r="L11" i="1" s="1"/>
  <c r="J45" i="1"/>
  <c r="P45" i="1"/>
  <c r="L45" i="1" s="1"/>
  <c r="J37" i="1"/>
  <c r="P37" i="1"/>
  <c r="L37" i="1" s="1"/>
  <c r="P10" i="1"/>
  <c r="L10" i="1" s="1"/>
  <c r="J7" i="1"/>
  <c r="J34" i="1"/>
  <c r="J36" i="1"/>
  <c r="P36" i="1"/>
  <c r="L36" i="1" s="1"/>
  <c r="P18" i="1"/>
  <c r="L18" i="1" s="1"/>
  <c r="P31" i="1"/>
  <c r="L31" i="1" s="1"/>
  <c r="P24" i="1"/>
  <c r="L24" i="1" s="1"/>
  <c r="J32" i="1"/>
  <c r="P32" i="1"/>
  <c r="L32" i="1" s="1"/>
  <c r="P14" i="1"/>
  <c r="L14" i="1" s="1"/>
  <c r="P19" i="1"/>
  <c r="L19" i="1" s="1"/>
  <c r="J25" i="1"/>
  <c r="P25" i="1"/>
  <c r="L25" i="1" s="1"/>
  <c r="J44" i="1"/>
  <c r="P44" i="1"/>
  <c r="L44" i="1" s="1"/>
  <c r="P23" i="1"/>
  <c r="L23" i="1" s="1"/>
  <c r="P39" i="1"/>
  <c r="L39" i="1" s="1"/>
  <c r="P16" i="1"/>
  <c r="L16" i="1" s="1"/>
  <c r="J40" i="1"/>
  <c r="P40" i="1"/>
  <c r="L40" i="1" s="1"/>
  <c r="J17" i="1"/>
  <c r="P17" i="1"/>
  <c r="L17" i="1" s="1"/>
  <c r="J21" i="1"/>
  <c r="P21" i="1"/>
  <c r="L21" i="1" s="1"/>
  <c r="J29" i="1"/>
  <c r="P29" i="1"/>
  <c r="L29" i="1" s="1"/>
  <c r="I47" i="1"/>
  <c r="U7" i="1"/>
  <c r="N47" i="1"/>
  <c r="S3" i="1"/>
  <c r="T3" i="1" s="1"/>
  <c r="U66" i="1"/>
  <c r="U65" i="1"/>
  <c r="U49" i="1"/>
  <c r="U62" i="1"/>
  <c r="U51" i="1"/>
  <c r="U48" i="1"/>
  <c r="U63" i="1"/>
  <c r="U50" i="1"/>
  <c r="U64" i="1"/>
  <c r="U47" i="1"/>
  <c r="U52" i="1"/>
  <c r="J47" i="1" l="1"/>
  <c r="R14" i="1"/>
  <c r="S14" i="1" s="1"/>
  <c r="R23" i="1"/>
  <c r="S23" i="1" s="1"/>
  <c r="R24" i="1"/>
  <c r="S24" i="1" s="1"/>
  <c r="R31" i="1"/>
  <c r="S31" i="1" s="1"/>
  <c r="R35" i="1"/>
  <c r="S35" i="1" s="1"/>
  <c r="R39" i="1"/>
  <c r="S39" i="1" s="1"/>
  <c r="R43" i="1"/>
  <c r="S43" i="1" s="1"/>
  <c r="R25" i="1"/>
  <c r="S25" i="1" s="1"/>
  <c r="R26" i="1"/>
  <c r="S26" i="1" s="1"/>
  <c r="R32" i="1"/>
  <c r="S32" i="1" s="1"/>
  <c r="R36" i="1"/>
  <c r="S36" i="1" s="1"/>
  <c r="R40" i="1"/>
  <c r="S40" i="1" s="1"/>
  <c r="R44" i="1"/>
  <c r="S44" i="1" s="1"/>
  <c r="R12" i="1"/>
  <c r="S12" i="1" s="1"/>
  <c r="R13" i="1"/>
  <c r="S13" i="1" s="1"/>
  <c r="R8" i="1"/>
  <c r="S8" i="1" s="1"/>
  <c r="R9" i="1"/>
  <c r="S9" i="1" s="1"/>
  <c r="R10" i="1"/>
  <c r="S10" i="1" s="1"/>
  <c r="R11" i="1"/>
  <c r="S11" i="1" s="1"/>
  <c r="R16" i="1"/>
  <c r="S16" i="1" s="1"/>
  <c r="R18" i="1"/>
  <c r="S18" i="1" s="1"/>
  <c r="R19" i="1"/>
  <c r="S19" i="1" s="1"/>
  <c r="R20" i="1"/>
  <c r="S20" i="1" s="1"/>
  <c r="R27" i="1"/>
  <c r="S27" i="1" s="1"/>
  <c r="R28" i="1"/>
  <c r="S28" i="1" s="1"/>
  <c r="R15" i="1"/>
  <c r="S15" i="1" s="1"/>
  <c r="R17" i="1"/>
  <c r="S17" i="1" s="1"/>
  <c r="R21" i="1"/>
  <c r="S21" i="1" s="1"/>
  <c r="R22" i="1"/>
  <c r="S22" i="1" s="1"/>
  <c r="R29" i="1"/>
  <c r="S29" i="1" s="1"/>
  <c r="R30" i="1"/>
  <c r="S30" i="1" s="1"/>
  <c r="R33" i="1"/>
  <c r="S33" i="1" s="1"/>
  <c r="R34" i="1"/>
  <c r="S34" i="1" s="1"/>
  <c r="R37" i="1"/>
  <c r="S37" i="1" s="1"/>
  <c r="R38" i="1"/>
  <c r="S38" i="1" s="1"/>
  <c r="R41" i="1"/>
  <c r="S41" i="1" s="1"/>
  <c r="R42" i="1"/>
  <c r="S42" i="1" s="1"/>
  <c r="R45" i="1"/>
  <c r="S45" i="1" s="1"/>
  <c r="R46" i="1"/>
  <c r="S46" i="1" s="1"/>
  <c r="R7" i="1"/>
  <c r="S7" i="1" s="1"/>
  <c r="R56" i="1"/>
  <c r="S56" i="1" s="1"/>
  <c r="R48" i="1"/>
  <c r="S48" i="1" s="1"/>
  <c r="R55" i="1"/>
  <c r="S55" i="1" s="1"/>
  <c r="R50" i="1"/>
  <c r="S50" i="1" s="1"/>
  <c r="R59" i="1"/>
  <c r="S59" i="1" s="1"/>
  <c r="R51" i="1"/>
  <c r="S51" i="1" s="1"/>
  <c r="R61" i="1"/>
  <c r="S61" i="1" s="1"/>
  <c r="R52" i="1"/>
  <c r="S52" i="1" s="1"/>
  <c r="R47" i="1"/>
  <c r="S47" i="1" s="1"/>
  <c r="R58" i="1"/>
  <c r="S58" i="1" s="1"/>
  <c r="R63" i="1"/>
  <c r="S63" i="1" s="1"/>
  <c r="R57" i="1"/>
  <c r="S57" i="1" s="1"/>
  <c r="R64" i="1"/>
  <c r="S64" i="1" s="1"/>
  <c r="R62" i="1"/>
  <c r="S62" i="1" s="1"/>
  <c r="R60" i="1"/>
  <c r="S60" i="1" s="1"/>
  <c r="R54" i="1"/>
  <c r="S54" i="1" s="1"/>
  <c r="R66" i="1"/>
  <c r="S66" i="1" s="1"/>
  <c r="R65" i="1"/>
  <c r="S65" i="1" s="1"/>
  <c r="R49" i="1"/>
  <c r="S49" i="1" s="1"/>
  <c r="R53" i="1"/>
  <c r="S5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<sst xmlns="http://schemas.openxmlformats.org/spreadsheetml/2006/main" count="325" uniqueCount="209">
  <si>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</si>
  <si>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</si>
  <si>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</si>
  <si>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</si>
  <si>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</si>
  <si>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</si>
  <si>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</si>
  <si>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</si>
  <si>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</si>
  <si>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</si>
  <si>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</si>
  <si>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</si>
  <si>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</si>
  <si>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</si>
  <si>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</si>
  <si>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</si>
  <si>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</si>
  <si>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</si>
  <si>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</si>
  <si>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</si>
  <si>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</si>
  <si>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</si>
  <si>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</si>
  <si>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</si>
  <si>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</si>
  <si>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</si>
  <si>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</si>
  <si>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</si>
  <si>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</si>
  <si>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</si>
  <si>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</si>
  <si>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</si>
  <si>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</si>
  <si>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</si>
  <si>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</si>
  <si>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</si>
  <si>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</si>
  <si>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</si>
  <si>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</si>
  <si>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</si>
  <si>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</si>
  <si>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</si>
  <si>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</si>
  <si>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</si>
  <si>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</si>
  <si>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</si>
  <si>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</si>
  <si>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</si>
  <si>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</si>
  <si>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</si>
  <si>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</si>
  <si>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</si>
  <si>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</si>
  <si>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</si>
  <si>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</si>
  <si>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</si>
  <si>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</si>
  <si>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</si>
  <si>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</si>
  <si>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</si>
  <si>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</si>
  <si>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</si>
  <si>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</si>
  <si>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</si>
  <si>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</si>
  <si>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</si>
  <si>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</si>
  <si>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</si>
  <si>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</si>
  <si>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</si>
  <si>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</si>
  <si>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</si>
  <si>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</si>
  <si>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</si>
  <si>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</si>
  <si>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</si>
  <si>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</si>
  <si>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</si>
  <si>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</si>
  <si>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</si>
  <si>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</si>
  <si>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</si>
  <si>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</si>
  <si>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</si>
  <si>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</si>
  <si>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</si>
  <si>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</si>
  <si>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</si>
  <si>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</si>
  <si>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</si>
  <si>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</si>
  <si>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</si>
  <si>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</si>
  <si>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</si>
  <si>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</si>
  <si>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</si>
  <si>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</si>
  <si>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</si>
  <si>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</si>
  <si>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</si>
  <si>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</si>
  <si>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</si>
  <si>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</si>
  <si>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</si>
  <si>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</si>
  <si>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</si>
  <si>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</si>
  <si>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</si>
  <si>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</si>
  <si>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</si>
  <si>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</si>
  <si>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</si>
  <si>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</si>
  <si>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</si>
  <si>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</si>
  <si>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</si>
  <si>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</si>
  <si>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</si>
  <si>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</si>
  <si>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</si>
  <si>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</si>
  <si>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</si>
  <si>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</si>
  <si>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</si>
  <si>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</si>
  <si>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</si>
  <si>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</si>
  <si>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</si>
  <si>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</si>
  <si>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</si>
  <si>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</si>
  <si>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</si>
  <si>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</si>
  <si>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</si>
  <si>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</si>
  <si>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</si>
  <si>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</si>
  <si>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</si>
  <si>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</si>
  <si>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</si>
  <si>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</si>
  <si>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</si>
  <si>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</si>
  <si>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</si>
  <si>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</si>
  <si>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</si>
  <si>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SANCHEZ BETANCOURT FRANSCISCO</t>
  </si>
  <si>
    <t>ALBERTO ARISTIZABAL RAFAEL</t>
  </si>
  <si>
    <t>MURILLO  YORMAN ANDRES</t>
  </si>
  <si>
    <t>DAVID  HENRY GIOVANNY</t>
  </si>
  <si>
    <t>PEREZ GARCIA JUAN ESTEBAN</t>
  </si>
  <si>
    <t>GONZALEZ IPUANA RENE</t>
  </si>
  <si>
    <t>AGUDELO GARCIA LLORDIN ELIAS</t>
  </si>
  <si>
    <t>OSORIO URREGO SANTIAGO</t>
  </si>
  <si>
    <t>FRANCO CARVAJAL GERARDO ANTONIO</t>
  </si>
  <si>
    <t>TSJ935</t>
  </si>
  <si>
    <t>TSJ338</t>
  </si>
  <si>
    <t>OCAMPO OCAMPO ANTONIO JOSE</t>
  </si>
  <si>
    <t>FLORES RINCON JORGE ALBERTO</t>
  </si>
  <si>
    <t>MARTINEZ CHAVERRA LUIS NORBERTO</t>
  </si>
  <si>
    <t>MARIN ALZATE KEVIN ANDRES</t>
  </si>
  <si>
    <t>MIRANDA MACHADO ALVARO</t>
  </si>
  <si>
    <t>LAYOS JIMENEZ JOHAN CAMILO</t>
  </si>
  <si>
    <t>SUAREZ ESCUDERO JONATAN</t>
  </si>
  <si>
    <t>LONDOÑO LOPERA DUVAN ANDRES</t>
  </si>
  <si>
    <t>MARULANDA JARAMILLO DAWER ANDRES</t>
  </si>
  <si>
    <t>TABORDA ROJAS DIEGO ALEJANDRO</t>
  </si>
  <si>
    <t>MACEA ARBELAEZ MATEO</t>
  </si>
  <si>
    <t>ARAQUE ARROYAVE JOSE ALBEIRO</t>
  </si>
  <si>
    <t>PARIAS MURIEL JHON FREDY</t>
  </si>
  <si>
    <t>ESPINOZA CHAVARRIA GUILLERMO LEON</t>
  </si>
  <si>
    <t>JARAMILLO JARAMILLO FRANCISCO WBEIMAR</t>
  </si>
  <si>
    <t>PARRA VILLA YUBER ALONSO</t>
  </si>
  <si>
    <t>CARTAGENA RAMIREZ FREDY ALONSO</t>
  </si>
  <si>
    <t>QUIRAMA CASTAÑEDA JHON JADER</t>
  </si>
  <si>
    <t>SALDARRIAGA PARRA LUIS ALBERTO</t>
  </si>
  <si>
    <t>MACIAS HERNANDEZ JULIAN DAVID</t>
  </si>
  <si>
    <t>CALLE BOTERO ANDRES CAMILO</t>
  </si>
  <si>
    <t>YEPES TORRES JHON ALEXANDER</t>
  </si>
  <si>
    <t>GARCIA DAVID WILSON ALBERTO</t>
  </si>
  <si>
    <t>VERENZUELA MARTINEZ ALEXANDER</t>
  </si>
  <si>
    <t>LEON PEREZ RAUL ENRIQUE</t>
  </si>
  <si>
    <t>JIMENEZ HURTADO CARLOS ESTIVEN</t>
  </si>
  <si>
    <t>HINCAPIE VILLA JUAN ESTIVEN</t>
  </si>
  <si>
    <t>LOPERA ALVAREZ ESTIVEN</t>
  </si>
  <si>
    <t>JIMENEZ HERNANDEZ ESTEBAN CAMILO</t>
  </si>
  <si>
    <t>DURANGO DAVID JOSE</t>
  </si>
  <si>
    <t xml:space="preserve">HERNANDEZ MACIAS GILBERTO </t>
  </si>
  <si>
    <t xml:space="preserve">9 Descuentos (Transbordo) </t>
  </si>
  <si>
    <t xml:space="preserve">2 Descuentos (Usuarios desubicados) </t>
  </si>
  <si>
    <t xml:space="preserve">4 Descuentos (Transbordo) </t>
  </si>
  <si>
    <t xml:space="preserve">1 Descuento (transbordo) </t>
  </si>
  <si>
    <t xml:space="preserve">3 Descuentos (Transbordo) </t>
  </si>
  <si>
    <t xml:space="preserve">11 Descuentos (Transbordo) </t>
  </si>
  <si>
    <t xml:space="preserve">7 Descuentos (Transbordo) </t>
  </si>
  <si>
    <t xml:space="preserve">1 Descuento (Despachador) </t>
  </si>
  <si>
    <t xml:space="preserve">7 Descuentos (transbordo y asociado) </t>
  </si>
  <si>
    <t xml:space="preserve">19 Descuentos (Transbordo) </t>
  </si>
  <si>
    <t xml:space="preserve">5 Descuentos (Transbordo) </t>
  </si>
  <si>
    <t xml:space="preserve">18 Descuentos (Transbordo) </t>
  </si>
  <si>
    <t xml:space="preserve">13 Descuentos (Transbordo) </t>
  </si>
  <si>
    <t>2 Descuentos (Conducts)</t>
  </si>
  <si>
    <t xml:space="preserve">4 Descuentos (transbordo y despachador) </t>
  </si>
  <si>
    <t xml:space="preserve">2 Descuentos (Transbordo) </t>
  </si>
  <si>
    <t xml:space="preserve">10 Descuentos (transbordo y despachador) </t>
  </si>
  <si>
    <t xml:space="preserve">3 descuentos (despachador, conduct y transbordo) </t>
  </si>
  <si>
    <t xml:space="preserve">6 Descuentos (transbordo) </t>
  </si>
  <si>
    <t>14 Descuentos (transbordo, despachador, conduct y usuario movilidad reducida)</t>
  </si>
  <si>
    <r>
      <t xml:space="preserve">PROMEDIO X VIAJE </t>
    </r>
    <r>
      <rPr>
        <b/>
        <sz val="11"/>
        <color theme="8" tint="-0.249977111117893"/>
        <rFont val="Verdana"/>
        <family val="2"/>
      </rPr>
      <t>21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</si>
</sst>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Trebuchet MS"/>
      <family val="2"/>
      <scheme val="minor"/>
    </font>
    <font>
      <sz val="11"/>
      <color rgb="FFFF0000"/>
      <name val="Trebuchet MS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Trebuchet MS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8"/>
      <name val="Trebuchet MS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 formatCode="General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 formatCode="General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 formatCode="General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 formatCode="General">
                  <c:v>38</c:v>
                </c:pt>
                <c:pt idx="35" formatCode="General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20.9</c:v>
                </c:pt>
                <c:pt idx="1">
                  <c:v>20</c:v>
                </c:pt>
                <c:pt idx="2">
                  <c:v>23.333333333333332</c:v>
                </c:pt>
                <c:pt idx="3">
                  <c:v>24</c:v>
                </c:pt>
                <c:pt idx="4">
                  <c:v>24.526315789473685</c:v>
                </c:pt>
                <c:pt idx="5">
                  <c:v>21.181818181818183</c:v>
                </c:pt>
                <c:pt idx="6">
                  <c:v>17</c:v>
                </c:pt>
                <c:pt idx="7">
                  <c:v>27.75</c:v>
                </c:pt>
                <c:pt idx="8">
                  <c:v>19.222222222222221</c:v>
                </c:pt>
                <c:pt idx="9">
                  <c:v>15</c:v>
                </c:pt>
                <c:pt idx="10">
                  <c:v>30</c:v>
                </c:pt>
                <c:pt idx="11">
                  <c:v>19.399999999999999</c:v>
                </c:pt>
                <c:pt idx="12">
                  <c:v>22</c:v>
                </c:pt>
                <c:pt idx="13">
                  <c:v>19.111111111111111</c:v>
                </c:pt>
                <c:pt idx="14">
                  <c:v>20.555555555555557</c:v>
                </c:pt>
                <c:pt idx="15">
                  <c:v>17.777777777777779</c:v>
                </c:pt>
                <c:pt idx="16">
                  <c:v>18.636363636363637</c:v>
                </c:pt>
                <c:pt idx="17">
                  <c:v>20.916666666666668</c:v>
                </c:pt>
                <c:pt idx="18">
                  <c:v>17.571428571428573</c:v>
                </c:pt>
                <c:pt idx="19">
                  <c:v>30.5</c:v>
                </c:pt>
                <c:pt idx="20">
                  <c:v>13.5</c:v>
                </c:pt>
                <c:pt idx="21">
                  <c:v>19.111111111111111</c:v>
                </c:pt>
                <c:pt idx="22">
                  <c:v>23.8</c:v>
                </c:pt>
                <c:pt idx="23">
                  <c:v>15.916666666666666</c:v>
                </c:pt>
                <c:pt idx="24">
                  <c:v>22.222222222222221</c:v>
                </c:pt>
                <c:pt idx="25">
                  <c:v>20.666666666666668</c:v>
                </c:pt>
                <c:pt idx="26">
                  <c:v>21.111111111111111</c:v>
                </c:pt>
                <c:pt idx="27">
                  <c:v>21.181818181818183</c:v>
                </c:pt>
                <c:pt idx="28">
                  <c:v>23.9</c:v>
                </c:pt>
                <c:pt idx="29">
                  <c:v>14.222222222222221</c:v>
                </c:pt>
                <c:pt idx="30">
                  <c:v>21.833333333333332</c:v>
                </c:pt>
                <c:pt idx="31">
                  <c:v>25.727272727272727</c:v>
                </c:pt>
                <c:pt idx="32">
                  <c:v>21.4</c:v>
                </c:pt>
                <c:pt idx="33">
                  <c:v>24.818181818181817</c:v>
                </c:pt>
                <c:pt idx="34">
                  <c:v>18.888888888888889</c:v>
                </c:pt>
                <c:pt idx="35">
                  <c:v>18.272727272727273</c:v>
                </c:pt>
                <c:pt idx="36">
                  <c:v>26.588235294117649</c:v>
                </c:pt>
                <c:pt idx="37">
                  <c:v>18.8</c:v>
                </c:pt>
                <c:pt idx="38">
                  <c:v>21.545454545454547</c:v>
                </c:pt>
                <c:pt idx="39">
                  <c:v>18.285714285714285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23851" y="99586"/>
    <xdr:ext cx="2438400" cy="144012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323851" y="99586"/>
          <a:ext cx="2438400" cy="1440125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115</xdr:row>
      <xdr:rowOff>5161</xdr:rowOff>
    </xdr:from>
    <xdr:to>
      <xdr:col>20</xdr:col>
      <xdr:colOff>148828</xdr:colOff>
      <xdr:row>149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3</xdr:row>
      <xdr:rowOff>739942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17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1 USUARIOS" dataDxfId="16" totalsRowDxfId="3"/>
    <tableColumn id="9" xr3:uid="{00000000-0010-0000-0000-000009000000}" name="VALOR OPERACIÓN" dataDxfId="15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Berlín">
  <a:themeElements>
    <a:clrScheme name="Rojo">
      <a:dk1>
        <a:sysClr val="windowText" lastClr="000000"/>
      </a:dk1>
      <a:lt1>
        <a:sysClr val="window" lastClr="FFFFFF"/>
      </a:lt1>
      <a:dk2>
        <a:srgbClr val="323232"/>
      </a:dk2>
      <a:lt2>
        <a:srgbClr val="E5C243"/>
      </a:lt2>
      <a:accent1>
        <a:srgbClr val="A5300F"/>
      </a:accent1>
      <a:accent2>
        <a:srgbClr val="D55816"/>
      </a:accent2>
      <a:accent3>
        <a:srgbClr val="E19825"/>
      </a:accent3>
      <a:accent4>
        <a:srgbClr val="B19C7D"/>
      </a:accent4>
      <a:accent5>
        <a:srgbClr val="7F5F52"/>
      </a:accent5>
      <a:accent6>
        <a:srgbClr val="B27D49"/>
      </a:accent6>
      <a:hlink>
        <a:srgbClr val="6B9F25"/>
      </a:hlink>
      <a:folHlink>
        <a:srgbClr val="B26B02"/>
      </a:folHlink>
    </a:clrScheme>
    <a:fontScheme name="Berlí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í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topLeftCell="C1" zoomScaleNormal="100" workbookViewId="0">
      <selection activeCell="H4" sqref="H4"/>
    </sheetView>
  </sheetViews>
  <sheetFormatPr baseColWidth="10" defaultColWidth="11.375" defaultRowHeight="16.5" x14ac:dyDescent="0.3"/>
  <cols>
    <col min="1" max="1" width="1.375" customWidth="1"/>
    <col min="2" max="2" width="7.5" customWidth="1"/>
    <col min="3" max="3" width="5.125" customWidth="1"/>
    <col min="4" max="4" width="41" customWidth="1"/>
    <col min="5" max="5" width="7.25" customWidth="1"/>
    <col min="6" max="6" width="7.875" customWidth="1"/>
    <col min="7" max="7" width="12.625" style="335" customWidth="1"/>
    <col min="8" max="8" width="10.625" style="336" customWidth="1"/>
    <col min="9" max="9" width="10.375" style="149" customWidth="1"/>
    <col min="10" max="10" width="10.375" style="362" hidden="1" customWidth="1"/>
    <col min="11" max="11" width="48" customWidth="1"/>
    <col min="12" max="12" width="10.5" style="337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9.25" thickBot="1" x14ac:dyDescent="0.4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+SUM(G6:G1858)/2</f>
        <v>7750</v>
      </c>
      <c r="R3" s="55">
        <f>+SUM(E6:E1858)/2</f>
        <v>367.5</v>
      </c>
      <c r="S3" s="55">
        <f>+Q3-R3</f>
        <v>7382.5</v>
      </c>
      <c r="T3" s="56">
        <f>+S3/R3</f>
        <v>20.088435374149661</v>
      </c>
      <c r="V3" s="15"/>
      <c r="X3" s="15"/>
      <c r="Z3" s="15"/>
      <c r="AB3" s="15"/>
      <c r="AD3" s="15"/>
      <c r="AF3" s="15"/>
    </row>
    <row r="4" spans="1:32" x14ac:dyDescent="0.3">
      <c r="B4" s="368"/>
      <c r="C4" s="368"/>
      <c r="D4" s="368"/>
      <c r="E4" s="368"/>
      <c r="F4" s="368"/>
      <c r="G4" s="194">
        <v>45986</v>
      </c>
      <c r="H4" s="243"/>
      <c r="I4" s="19"/>
      <c r="J4" s="338"/>
      <c r="K4" s="195"/>
      <c r="L4" s="197"/>
    </row>
    <row r="5" spans="1:32" ht="17.25" thickBot="1" x14ac:dyDescent="0.35">
      <c r="G5" s="242"/>
      <c r="H5" s="243"/>
      <c r="I5" s="20"/>
      <c r="J5" s="339"/>
      <c r="L5" s="197"/>
    </row>
    <row r="6" spans="1:32" ht="40.5" x14ac:dyDescent="0.3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3">
      <c r="B7" s="136" t="s">
        <v>122</v>
      </c>
      <c r="C7" s="166">
        <v>1</v>
      </c>
      <c r="D7" s="151" t="s">
        <v>163</v>
      </c>
      <c r="E7" s="150">
        <v>10</v>
      </c>
      <c r="F7" s="150">
        <v>0</v>
      </c>
      <c r="G7" s="165">
        <v>209</v>
      </c>
      <c r="H7" s="226">
        <f t="shared" ref="H7:H46" si="0">+G7/E7</f>
        <v>20.9</v>
      </c>
      <c r="I7" s="227">
        <f>+(SUM($G$7:$G$1048576)/SUM($E$7:$E$1048576))*E7</f>
        <v>210.88435374149662</v>
      </c>
      <c r="J7" s="363">
        <f>+Tabla2[[#This Row],[PROM DE USUARIOS]]-Tabla2[[#This Row],[USUARIOS]]</f>
        <v>1.8843537414966249</v>
      </c>
      <c r="K7" s="151" t="s">
        <v>188</v>
      </c>
      <c r="L7" s="163">
        <f t="shared" ref="L7:L18" si="1">P7*585</f>
        <v>117517.34693877553</v>
      </c>
      <c r="M7" s="162" t="str">
        <f>+VLOOKUP(C7,Lista!B:D,3,0)</f>
        <v>MICRO</v>
      </c>
      <c r="N7" s="365">
        <f t="shared" ref="N7:N46" si="2">+(SUMIFS(G:G,M:M,"MICRO",E:E,"&gt;0")*100)/COUNTIF($E$7:$E$46,"&gt;0")</f>
        <v>11342.5</v>
      </c>
      <c r="O7" s="50">
        <f t="shared" ref="O7:O18" si="3">+(E7*1)-V7</f>
        <v>10</v>
      </c>
      <c r="P7" s="47">
        <f t="shared" ref="P7:P18" si="4">+I7-O7-W7</f>
        <v>200.88435374149662</v>
      </c>
      <c r="Q7" s="49">
        <f t="shared" ref="Q7:Q18" si="5">+G7-O7</f>
        <v>199</v>
      </c>
      <c r="R7" s="51">
        <f t="shared" ref="R7:R18" si="6">+E7*$T$3</f>
        <v>200.88435374149662</v>
      </c>
      <c r="S7" s="46">
        <f t="shared" ref="S7:S45" si="7">+R7*550</f>
        <v>110486.39455782315</v>
      </c>
      <c r="T7" t="str">
        <f t="shared" ref="T7:T18" si="8">+IF(K7&lt;&gt;"",K7,"")</f>
        <v xml:space="preserve">9 Descuentos (Transbordo) </v>
      </c>
      <c r="U7">
        <f>+RANK(H7,$H$6:$H$1048576,1)</f>
        <v>20</v>
      </c>
      <c r="V7"/>
      <c r="W7"/>
      <c r="Y7" t="str">
        <f>TRIM(Tabla2[[#This Row],[CONDUCTOR]])</f>
        <v>SUAREZ ESCUDERO JONATAN</v>
      </c>
    </row>
    <row r="8" spans="1:32" x14ac:dyDescent="0.3">
      <c r="B8" s="136" t="s">
        <v>121</v>
      </c>
      <c r="C8" s="166">
        <v>2</v>
      </c>
      <c r="D8" s="151" t="s">
        <v>169</v>
      </c>
      <c r="E8" s="150">
        <v>9</v>
      </c>
      <c r="F8" s="150"/>
      <c r="G8" s="165">
        <v>180</v>
      </c>
      <c r="H8" s="226">
        <f t="shared" ref="H8:H46" si="9">+G8/E8</f>
        <v>20</v>
      </c>
      <c r="I8" s="227">
        <f t="shared" ref="I8:I46" si="10">+(SUM($G$7:$G$1048576)/SUM($E$7:$E$1048576))*E8</f>
        <v>189.79591836734696</v>
      </c>
      <c r="J8" s="363">
        <f>+Tabla2[[#This Row],[PROM DE USUARIOS]]-Tabla2[[#This Row],[USUARIOS]]</f>
        <v>9.7959183673469568</v>
      </c>
      <c r="K8" s="151" t="s">
        <v>189</v>
      </c>
      <c r="L8" s="163">
        <f t="shared" ref="L8:L46" si="11">P8*585</f>
        <v>105765.61224489797</v>
      </c>
      <c r="M8" s="162">
        <f>+VLOOKUP(C8,Lista!B:D,3,0)</f>
        <v>0</v>
      </c>
      <c r="N8" s="365">
        <f t="shared" si="2"/>
        <v>11342.5</v>
      </c>
      <c r="O8" s="50">
        <f t="shared" ref="O8:O46" si="12">+(E8*1)-V8</f>
        <v>9</v>
      </c>
      <c r="P8" s="47">
        <f t="shared" ref="P8:P46" si="13">+I8-O8-W8</f>
        <v>180.79591836734696</v>
      </c>
      <c r="Q8" s="49">
        <f t="shared" ref="Q8:Q46" si="14">+G8-O8</f>
        <v>171</v>
      </c>
      <c r="R8" s="51">
        <f t="shared" ref="R8:R46" si="15">+E8*$T$3</f>
        <v>180.79591836734696</v>
      </c>
      <c r="S8" s="46">
        <f t="shared" ref="S8:S46" si="16">+R8*550</f>
        <v>99437.755102040828</v>
      </c>
      <c r="T8" t="str">
        <f t="shared" ref="T8:T46" si="17">+IF(K8&lt;&gt;"",K8,"")</f>
        <v xml:space="preserve">2 Descuentos (Usuarios desubicados) </v>
      </c>
      <c r="U8">
        <f t="shared" ref="U8:U46" si="18">+RANK(H8,$H$6:$H$1048576,1)</f>
        <v>17</v>
      </c>
      <c r="Y8" t="str">
        <f>TRIM(Tabla2[[#This Row],[CONDUCTOR]])</f>
        <v>PARIAS MURIEL JHON FREDY</v>
      </c>
    </row>
    <row r="9" spans="1:32" x14ac:dyDescent="0.3">
      <c r="B9" s="136" t="s">
        <v>122</v>
      </c>
      <c r="C9" s="166">
        <v>3</v>
      </c>
      <c r="D9" s="151" t="s">
        <v>170</v>
      </c>
      <c r="E9" s="150">
        <v>9</v>
      </c>
      <c r="F9" s="150">
        <v>0</v>
      </c>
      <c r="G9" s="165">
        <v>210</v>
      </c>
      <c r="H9" s="226">
        <f t="shared" si="9"/>
        <v>23.333333333333332</v>
      </c>
      <c r="I9" s="227">
        <f t="shared" si="10"/>
        <v>189.79591836734696</v>
      </c>
      <c r="J9" s="363">
        <f>+Tabla2[[#This Row],[PROM DE USUARIOS]]-Tabla2[[#This Row],[USUARIOS]]</f>
        <v>-20.204081632653043</v>
      </c>
      <c r="K9" s="151" t="s">
        <v>190</v>
      </c>
      <c r="L9" s="163">
        <f t="shared" si="11"/>
        <v>105765.61224489797</v>
      </c>
      <c r="M9" s="162" t="str">
        <f>+VLOOKUP(C9,Lista!B:D,3,0)</f>
        <v>MICRO</v>
      </c>
      <c r="N9" s="365">
        <f t="shared" si="2"/>
        <v>11342.5</v>
      </c>
      <c r="O9" s="50">
        <f t="shared" si="12"/>
        <v>9</v>
      </c>
      <c r="P9" s="47">
        <f t="shared" si="13"/>
        <v>180.79591836734696</v>
      </c>
      <c r="Q9" s="49">
        <f t="shared" si="14"/>
        <v>201</v>
      </c>
      <c r="R9" s="51">
        <f t="shared" si="15"/>
        <v>180.79591836734696</v>
      </c>
      <c r="S9" s="46">
        <f t="shared" si="16"/>
        <v>99437.755102040828</v>
      </c>
      <c r="T9" t="str">
        <f t="shared" si="17"/>
        <v xml:space="preserve">4 Descuentos (Transbordo) </v>
      </c>
      <c r="U9">
        <f t="shared" si="18"/>
        <v>31</v>
      </c>
      <c r="Y9" t="str">
        <f>TRIM(Tabla2[[#This Row],[CONDUCTOR]])</f>
        <v>ESPINOZA CHAVARRIA GUILLERMO LEON</v>
      </c>
    </row>
    <row r="10" spans="1:32" x14ac:dyDescent="0.3">
      <c r="B10" s="136" t="s">
        <v>121</v>
      </c>
      <c r="C10" s="166">
        <v>4</v>
      </c>
      <c r="D10" s="151" t="s">
        <v>146</v>
      </c>
      <c r="E10" s="150">
        <v>7</v>
      </c>
      <c r="F10" s="150">
        <v>0</v>
      </c>
      <c r="G10" s="165">
        <v>168</v>
      </c>
      <c r="H10" s="226">
        <f t="shared" si="9"/>
        <v>24</v>
      </c>
      <c r="I10" s="227">
        <f t="shared" si="10"/>
        <v>147.61904761904762</v>
      </c>
      <c r="J10" s="363">
        <f>+Tabla2[[#This Row],[PROM DE USUARIOS]]-Tabla2[[#This Row],[USUARIOS]]</f>
        <v>-20.38095238095238</v>
      </c>
      <c r="K10" s="151" t="s">
        <v>191</v>
      </c>
      <c r="L10" s="163">
        <f t="shared" si="11"/>
        <v>82262.142857142855</v>
      </c>
      <c r="M10" s="162" t="str">
        <f>+VLOOKUP(C10,Lista!B:D,3,0)</f>
        <v>MICRO</v>
      </c>
      <c r="N10" s="365">
        <f t="shared" si="2"/>
        <v>11342.5</v>
      </c>
      <c r="O10" s="50">
        <f t="shared" si="12"/>
        <v>7</v>
      </c>
      <c r="P10" s="47">
        <f t="shared" si="13"/>
        <v>140.61904761904762</v>
      </c>
      <c r="Q10" s="49">
        <f t="shared" si="14"/>
        <v>161</v>
      </c>
      <c r="R10" s="51">
        <f t="shared" si="15"/>
        <v>140.61904761904762</v>
      </c>
      <c r="S10" s="46">
        <f t="shared" si="16"/>
        <v>77340.476190476198</v>
      </c>
      <c r="T10" t="str">
        <f t="shared" si="17"/>
        <v xml:space="preserve">1 Descuento (transbordo) </v>
      </c>
      <c r="U10">
        <f t="shared" si="18"/>
        <v>34</v>
      </c>
      <c r="Y10" t="str">
        <f>TRIM(Tabla2[[#This Row],[CONDUCTOR]])</f>
        <v>SANCHEZ BETANCOURT FRANSCISCO</v>
      </c>
    </row>
    <row r="11" spans="1:32" x14ac:dyDescent="0.3">
      <c r="B11" s="136" t="s">
        <v>122</v>
      </c>
      <c r="C11" s="166">
        <v>5</v>
      </c>
      <c r="D11" s="151" t="s">
        <v>164</v>
      </c>
      <c r="E11" s="150">
        <v>9.5</v>
      </c>
      <c r="F11" s="150">
        <v>0.5</v>
      </c>
      <c r="G11" s="165">
        <v>233</v>
      </c>
      <c r="H11" s="226">
        <f t="shared" si="9"/>
        <v>24.526315789473685</v>
      </c>
      <c r="I11" s="227">
        <f t="shared" si="10"/>
        <v>200.34013605442178</v>
      </c>
      <c r="J11" s="363">
        <f>+Tabla2[[#This Row],[PROM DE USUARIOS]]-Tabla2[[#This Row],[USUARIOS]]</f>
        <v>-32.659863945578223</v>
      </c>
      <c r="K11" s="151" t="s">
        <v>192</v>
      </c>
      <c r="L11" s="163">
        <f t="shared" si="11"/>
        <v>111641.47959183675</v>
      </c>
      <c r="M11" s="162">
        <f>+VLOOKUP(C11,Lista!B:D,3,0)</f>
        <v>0</v>
      </c>
      <c r="N11" s="365">
        <f t="shared" si="2"/>
        <v>11342.5</v>
      </c>
      <c r="O11" s="50">
        <f t="shared" si="12"/>
        <v>9.5</v>
      </c>
      <c r="P11" s="47">
        <f t="shared" si="13"/>
        <v>190.84013605442178</v>
      </c>
      <c r="Q11" s="49">
        <f t="shared" si="14"/>
        <v>223.5</v>
      </c>
      <c r="R11" s="51">
        <f t="shared" si="15"/>
        <v>190.84013605442178</v>
      </c>
      <c r="S11" s="46">
        <f t="shared" si="16"/>
        <v>104962.07482993198</v>
      </c>
      <c r="T11" t="str">
        <f t="shared" si="17"/>
        <v xml:space="preserve">3 Descuentos (Transbordo) </v>
      </c>
      <c r="U11">
        <f t="shared" si="18"/>
        <v>35</v>
      </c>
      <c r="Y11" t="str">
        <f>TRIM(Tabla2[[#This Row],[CONDUCTOR]])</f>
        <v>LONDOÑO LOPERA DUVAN ANDRES</v>
      </c>
    </row>
    <row r="12" spans="1:32" x14ac:dyDescent="0.3">
      <c r="B12" s="136" t="s">
        <v>121</v>
      </c>
      <c r="C12" s="166">
        <v>6</v>
      </c>
      <c r="D12" s="151" t="s">
        <v>160</v>
      </c>
      <c r="E12" s="150">
        <v>11</v>
      </c>
      <c r="F12" s="150">
        <v>0</v>
      </c>
      <c r="G12" s="165">
        <v>233</v>
      </c>
      <c r="H12" s="226">
        <f t="shared" si="9"/>
        <v>21.181818181818183</v>
      </c>
      <c r="I12" s="227">
        <f t="shared" si="10"/>
        <v>231.97278911564626</v>
      </c>
      <c r="J12" s="363">
        <f>+Tabla2[[#This Row],[PROM DE USUARIOS]]-Tabla2[[#This Row],[USUARIOS]]</f>
        <v>-1.0272108843537353</v>
      </c>
      <c r="K12" s="151"/>
      <c r="L12" s="163">
        <f t="shared" si="11"/>
        <v>129269.08163265306</v>
      </c>
      <c r="M12" s="162" t="str">
        <f>+VLOOKUP(C12,Lista!B:D,3,0)</f>
        <v>MICRO</v>
      </c>
      <c r="N12" s="365">
        <f t="shared" si="2"/>
        <v>11342.5</v>
      </c>
      <c r="O12" s="50">
        <f t="shared" si="12"/>
        <v>11</v>
      </c>
      <c r="P12" s="47">
        <f t="shared" si="13"/>
        <v>220.97278911564626</v>
      </c>
      <c r="Q12" s="49">
        <f t="shared" si="14"/>
        <v>222</v>
      </c>
      <c r="R12" s="51">
        <f t="shared" si="15"/>
        <v>220.97278911564626</v>
      </c>
      <c r="S12" s="46">
        <f t="shared" si="16"/>
        <v>121535.03401360544</v>
      </c>
      <c r="T12" t="str">
        <f t="shared" si="17"/>
        <v/>
      </c>
      <c r="U12">
        <f t="shared" si="18"/>
        <v>24</v>
      </c>
      <c r="Y12" t="str">
        <f>TRIM(Tabla2[[#This Row],[CONDUCTOR]])</f>
        <v>MARIN ALZATE KEVIN ANDRES</v>
      </c>
    </row>
    <row r="13" spans="1:32" x14ac:dyDescent="0.3">
      <c r="B13" s="136" t="s">
        <v>122</v>
      </c>
      <c r="C13" s="166">
        <v>8</v>
      </c>
      <c r="D13" s="151" t="s">
        <v>171</v>
      </c>
      <c r="E13" s="150">
        <v>10</v>
      </c>
      <c r="F13" s="150">
        <v>0</v>
      </c>
      <c r="G13" s="146">
        <v>170</v>
      </c>
      <c r="H13" s="226">
        <f t="shared" si="9"/>
        <v>17</v>
      </c>
      <c r="I13" s="227">
        <f t="shared" si="10"/>
        <v>210.88435374149662</v>
      </c>
      <c r="J13" s="363">
        <f>+Tabla2[[#This Row],[PROM DE USUARIOS]]-Tabla2[[#This Row],[USUARIOS]]</f>
        <v>40.884353741496625</v>
      </c>
      <c r="K13" s="151"/>
      <c r="L13" s="163">
        <f t="shared" si="11"/>
        <v>117517.34693877553</v>
      </c>
      <c r="M13" s="162">
        <f>+VLOOKUP(C13,Lista!B:D,3,0)</f>
        <v>0</v>
      </c>
      <c r="N13" s="365">
        <f t="shared" si="2"/>
        <v>11342.5</v>
      </c>
      <c r="O13" s="50">
        <f t="shared" si="12"/>
        <v>10</v>
      </c>
      <c r="P13" s="47">
        <f t="shared" si="13"/>
        <v>200.88435374149662</v>
      </c>
      <c r="Q13" s="49">
        <f t="shared" si="14"/>
        <v>160</v>
      </c>
      <c r="R13" s="51">
        <f t="shared" si="15"/>
        <v>200.88435374149662</v>
      </c>
      <c r="S13" s="46">
        <f t="shared" si="16"/>
        <v>110486.39455782315</v>
      </c>
      <c r="T13" t="str">
        <f t="shared" si="17"/>
        <v/>
      </c>
      <c r="U13">
        <f t="shared" si="18"/>
        <v>5</v>
      </c>
      <c r="Y13" t="str">
        <f>TRIM(Tabla2[[#This Row],[CONDUCTOR]])</f>
        <v>JARAMILLO JARAMILLO FRANCISCO WBEIMAR</v>
      </c>
    </row>
    <row r="14" spans="1:32" x14ac:dyDescent="0.3">
      <c r="B14" s="136" t="s">
        <v>121</v>
      </c>
      <c r="C14" s="166">
        <v>9</v>
      </c>
      <c r="D14" s="151" t="s">
        <v>173</v>
      </c>
      <c r="E14" s="150">
        <v>8</v>
      </c>
      <c r="F14" s="150">
        <v>0</v>
      </c>
      <c r="G14" s="165">
        <v>222</v>
      </c>
      <c r="H14" s="226">
        <f t="shared" si="9"/>
        <v>27.75</v>
      </c>
      <c r="I14" s="227">
        <f t="shared" si="10"/>
        <v>168.70748299319729</v>
      </c>
      <c r="J14" s="363">
        <f>+Tabla2[[#This Row],[PROM DE USUARIOS]]-Tabla2[[#This Row],[USUARIOS]]</f>
        <v>-53.292517006802711</v>
      </c>
      <c r="K14" s="151"/>
      <c r="L14" s="163">
        <f t="shared" si="11"/>
        <v>94013.877551020414</v>
      </c>
      <c r="M14" s="162" t="str">
        <f>+VLOOKUP(C14,Lista!B:D,3,0)</f>
        <v>MICRO</v>
      </c>
      <c r="N14" s="365">
        <f t="shared" si="2"/>
        <v>11342.5</v>
      </c>
      <c r="O14" s="50">
        <f t="shared" si="12"/>
        <v>8</v>
      </c>
      <c r="P14" s="47">
        <f t="shared" si="13"/>
        <v>160.70748299319729</v>
      </c>
      <c r="Q14" s="49">
        <f t="shared" si="14"/>
        <v>214</v>
      </c>
      <c r="R14" s="51">
        <f t="shared" si="15"/>
        <v>160.70748299319729</v>
      </c>
      <c r="S14" s="46">
        <f t="shared" si="16"/>
        <v>88389.115646258506</v>
      </c>
      <c r="T14" t="str">
        <f t="shared" si="17"/>
        <v/>
      </c>
      <c r="U14">
        <f t="shared" si="18"/>
        <v>39</v>
      </c>
      <c r="Y14" t="str">
        <f>TRIM(Tabla2[[#This Row],[CONDUCTOR]])</f>
        <v>CARTAGENA RAMIREZ FREDY ALONSO</v>
      </c>
    </row>
    <row r="15" spans="1:32" x14ac:dyDescent="0.3">
      <c r="B15" s="136" t="s">
        <v>122</v>
      </c>
      <c r="C15" s="166">
        <v>11</v>
      </c>
      <c r="D15" s="151" t="s">
        <v>178</v>
      </c>
      <c r="E15" s="150">
        <v>9</v>
      </c>
      <c r="F15" s="150">
        <v>0</v>
      </c>
      <c r="G15" s="165">
        <v>173</v>
      </c>
      <c r="H15" s="226">
        <f t="shared" si="9"/>
        <v>19.222222222222221</v>
      </c>
      <c r="I15" s="227">
        <f t="shared" si="10"/>
        <v>189.79591836734696</v>
      </c>
      <c r="J15" s="363">
        <f>+Tabla2[[#This Row],[PROM DE USUARIOS]]-Tabla2[[#This Row],[USUARIOS]]</f>
        <v>16.795918367346957</v>
      </c>
      <c r="K15" s="151"/>
      <c r="L15" s="163">
        <f t="shared" si="11"/>
        <v>105765.61224489797</v>
      </c>
      <c r="M15" s="162" t="str">
        <f>+VLOOKUP(C15,Lista!B:D,3,0)</f>
        <v>MICRO</v>
      </c>
      <c r="N15" s="365">
        <f t="shared" si="2"/>
        <v>11342.5</v>
      </c>
      <c r="O15" s="50">
        <f t="shared" si="12"/>
        <v>9</v>
      </c>
      <c r="P15" s="47">
        <f t="shared" si="13"/>
        <v>180.79591836734696</v>
      </c>
      <c r="Q15" s="49">
        <f t="shared" si="14"/>
        <v>164</v>
      </c>
      <c r="R15" s="51">
        <f t="shared" si="15"/>
        <v>180.79591836734696</v>
      </c>
      <c r="S15" s="46">
        <f t="shared" si="16"/>
        <v>99437.755102040828</v>
      </c>
      <c r="T15" t="str">
        <f t="shared" si="17"/>
        <v/>
      </c>
      <c r="U15">
        <f t="shared" si="18"/>
        <v>15</v>
      </c>
      <c r="Y15" t="str">
        <f>TRIM(Tabla2[[#This Row],[CONDUCTOR]])</f>
        <v>YEPES TORRES JHON ALEXANDER</v>
      </c>
    </row>
    <row r="16" spans="1:32" x14ac:dyDescent="0.3">
      <c r="B16" s="136" t="s">
        <v>121</v>
      </c>
      <c r="C16" s="137">
        <v>12</v>
      </c>
      <c r="D16" s="151" t="s">
        <v>149</v>
      </c>
      <c r="E16" s="150">
        <v>4</v>
      </c>
      <c r="F16" s="150">
        <v>0</v>
      </c>
      <c r="G16" s="146">
        <v>60</v>
      </c>
      <c r="H16" s="226">
        <f t="shared" si="9"/>
        <v>15</v>
      </c>
      <c r="I16" s="227">
        <f t="shared" si="10"/>
        <v>84.353741496598644</v>
      </c>
      <c r="J16" s="363">
        <f>+Tabla2[[#This Row],[PROM DE USUARIOS]]-Tabla2[[#This Row],[USUARIOS]]</f>
        <v>24.353741496598644</v>
      </c>
      <c r="K16" s="151" t="s">
        <v>193</v>
      </c>
      <c r="L16" s="163">
        <f t="shared" si="11"/>
        <v>47006.938775510207</v>
      </c>
      <c r="M16" s="162">
        <f>+VLOOKUP(C16,Lista!B:D,3,0)</f>
        <v>0</v>
      </c>
      <c r="N16" s="365">
        <f t="shared" si="2"/>
        <v>11342.5</v>
      </c>
      <c r="O16" s="50">
        <f t="shared" si="12"/>
        <v>4</v>
      </c>
      <c r="P16" s="47">
        <f t="shared" si="13"/>
        <v>80.353741496598644</v>
      </c>
      <c r="Q16" s="49">
        <f t="shared" si="14"/>
        <v>56</v>
      </c>
      <c r="R16" s="51">
        <f t="shared" si="15"/>
        <v>80.353741496598644</v>
      </c>
      <c r="S16" s="46">
        <f t="shared" si="16"/>
        <v>44194.557823129253</v>
      </c>
      <c r="T16" t="str">
        <f t="shared" si="17"/>
        <v xml:space="preserve">11 Descuentos (Transbordo) </v>
      </c>
      <c r="U16">
        <f t="shared" si="18"/>
        <v>3</v>
      </c>
      <c r="Y16" t="str">
        <f>TRIM(Tabla2[[#This Row],[CONDUCTOR]])</f>
        <v>DAVID HENRY GIOVANNY</v>
      </c>
    </row>
    <row r="17" spans="2:25" x14ac:dyDescent="0.3">
      <c r="B17" s="136" t="s">
        <v>122</v>
      </c>
      <c r="C17" s="166">
        <v>13</v>
      </c>
      <c r="D17" s="151" t="s">
        <v>161</v>
      </c>
      <c r="E17" s="150">
        <v>8</v>
      </c>
      <c r="F17" s="150">
        <v>0</v>
      </c>
      <c r="G17" s="165">
        <v>240</v>
      </c>
      <c r="H17" s="226">
        <f t="shared" si="9"/>
        <v>30</v>
      </c>
      <c r="I17" s="227">
        <f t="shared" si="10"/>
        <v>168.70748299319729</v>
      </c>
      <c r="J17" s="363">
        <f>+Tabla2[[#This Row],[PROM DE USUARIOS]]-Tabla2[[#This Row],[USUARIOS]]</f>
        <v>-71.292517006802711</v>
      </c>
      <c r="K17" s="151" t="s">
        <v>194</v>
      </c>
      <c r="L17" s="163">
        <f t="shared" si="11"/>
        <v>94013.877551020414</v>
      </c>
      <c r="M17" s="162" t="str">
        <f>+VLOOKUP(C17,Lista!B:D,3,0)</f>
        <v>MICRO</v>
      </c>
      <c r="N17" s="365">
        <f t="shared" si="2"/>
        <v>11342.5</v>
      </c>
      <c r="O17" s="50">
        <f t="shared" si="12"/>
        <v>8</v>
      </c>
      <c r="P17" s="47">
        <f t="shared" si="13"/>
        <v>160.70748299319729</v>
      </c>
      <c r="Q17" s="49">
        <f t="shared" si="14"/>
        <v>232</v>
      </c>
      <c r="R17" s="51">
        <f t="shared" si="15"/>
        <v>160.70748299319729</v>
      </c>
      <c r="S17" s="46">
        <f t="shared" si="16"/>
        <v>88389.115646258506</v>
      </c>
      <c r="T17" t="str">
        <f t="shared" si="17"/>
        <v xml:space="preserve">7 Descuentos (Transbordo) </v>
      </c>
      <c r="U17">
        <f t="shared" si="18"/>
        <v>40</v>
      </c>
      <c r="Y17" t="str">
        <f>TRIM(Tabla2[[#This Row],[CONDUCTOR]])</f>
        <v>MIRANDA MACHADO ALVARO</v>
      </c>
    </row>
    <row r="18" spans="2:25" x14ac:dyDescent="0.3">
      <c r="B18" s="136" t="s">
        <v>121</v>
      </c>
      <c r="C18" s="166">
        <v>14</v>
      </c>
      <c r="D18" s="151" t="s">
        <v>180</v>
      </c>
      <c r="E18" s="150">
        <v>10</v>
      </c>
      <c r="F18" s="150">
        <v>0</v>
      </c>
      <c r="G18" s="165">
        <v>194</v>
      </c>
      <c r="H18" s="226">
        <f t="shared" si="9"/>
        <v>19.399999999999999</v>
      </c>
      <c r="I18" s="227">
        <f t="shared" si="10"/>
        <v>210.88435374149662</v>
      </c>
      <c r="J18" s="363">
        <f>+Tabla2[[#This Row],[PROM DE USUARIOS]]-Tabla2[[#This Row],[USUARIOS]]</f>
        <v>16.884353741496625</v>
      </c>
      <c r="K18" s="151"/>
      <c r="L18" s="163">
        <f t="shared" si="11"/>
        <v>117517.34693877553</v>
      </c>
      <c r="M18" s="162">
        <f>+VLOOKUP(C18,Lista!B:D,3,0)</f>
        <v>0</v>
      </c>
      <c r="N18" s="365">
        <f t="shared" si="2"/>
        <v>11342.5</v>
      </c>
      <c r="O18" s="50">
        <f t="shared" si="12"/>
        <v>10</v>
      </c>
      <c r="P18" s="47">
        <f t="shared" si="13"/>
        <v>200.88435374149662</v>
      </c>
      <c r="Q18" s="49">
        <f t="shared" si="14"/>
        <v>184</v>
      </c>
      <c r="R18" s="51">
        <f t="shared" si="15"/>
        <v>200.88435374149662</v>
      </c>
      <c r="S18" s="46">
        <f t="shared" si="16"/>
        <v>110486.39455782315</v>
      </c>
      <c r="T18" t="str">
        <f t="shared" si="17"/>
        <v/>
      </c>
      <c r="U18">
        <f t="shared" si="18"/>
        <v>16</v>
      </c>
      <c r="Y18" t="str">
        <f>TRIM(Tabla2[[#This Row],[CONDUCTOR]])</f>
        <v>VERENZUELA MARTINEZ ALEXANDER</v>
      </c>
    </row>
    <row r="19" spans="2:25" x14ac:dyDescent="0.3">
      <c r="B19" s="136" t="s">
        <v>122</v>
      </c>
      <c r="C19" s="166">
        <v>15</v>
      </c>
      <c r="D19" s="151" t="s">
        <v>187</v>
      </c>
      <c r="E19" s="150">
        <v>10</v>
      </c>
      <c r="F19" s="150">
        <v>0</v>
      </c>
      <c r="G19" s="165">
        <v>220</v>
      </c>
      <c r="H19" s="226">
        <f t="shared" si="9"/>
        <v>22</v>
      </c>
      <c r="I19" s="227">
        <f t="shared" si="10"/>
        <v>210.88435374149662</v>
      </c>
      <c r="J19" s="363">
        <f>+Tabla2[[#This Row],[PROM DE USUARIOS]]-Tabla2[[#This Row],[USUARIOS]]</f>
        <v>-9.1156462585033751</v>
      </c>
      <c r="K19" s="151" t="s">
        <v>195</v>
      </c>
      <c r="L19" s="163">
        <f t="shared" si="11"/>
        <v>117517.34693877553</v>
      </c>
      <c r="M19" s="162">
        <f>+VLOOKUP(C19,Lista!B:D,3,0)</f>
        <v>0</v>
      </c>
      <c r="N19" s="365">
        <f t="shared" si="2"/>
        <v>11342.5</v>
      </c>
      <c r="O19" s="50">
        <f t="shared" si="12"/>
        <v>10</v>
      </c>
      <c r="P19" s="47">
        <f t="shared" si="13"/>
        <v>200.88435374149662</v>
      </c>
      <c r="Q19" s="49">
        <f t="shared" si="14"/>
        <v>210</v>
      </c>
      <c r="R19" s="51">
        <f t="shared" si="15"/>
        <v>200.88435374149662</v>
      </c>
      <c r="S19" s="46">
        <f t="shared" si="16"/>
        <v>110486.39455782315</v>
      </c>
      <c r="T19" t="str">
        <f t="shared" si="17"/>
        <v xml:space="preserve">1 Descuento (Despachador) </v>
      </c>
      <c r="U19">
        <f t="shared" si="18"/>
        <v>29</v>
      </c>
      <c r="Y19" t="str">
        <f>TRIM(Tabla2[[#This Row],[CONDUCTOR]])</f>
        <v>HERNANDEZ MACIAS GILBERTO</v>
      </c>
    </row>
    <row r="20" spans="2:25" x14ac:dyDescent="0.3">
      <c r="B20" s="136" t="s">
        <v>121</v>
      </c>
      <c r="C20" s="166">
        <v>16</v>
      </c>
      <c r="D20" s="151" t="s">
        <v>150</v>
      </c>
      <c r="E20" s="150">
        <v>9</v>
      </c>
      <c r="F20" s="150">
        <v>0</v>
      </c>
      <c r="G20" s="165">
        <v>172</v>
      </c>
      <c r="H20" s="226">
        <f t="shared" si="9"/>
        <v>19.111111111111111</v>
      </c>
      <c r="I20" s="227">
        <f t="shared" si="10"/>
        <v>189.79591836734696</v>
      </c>
      <c r="J20" s="363">
        <f>+Tabla2[[#This Row],[PROM DE USUARIOS]]-Tabla2[[#This Row],[USUARIOS]]</f>
        <v>17.795918367346957</v>
      </c>
      <c r="K20" s="151" t="s">
        <v>129</v>
      </c>
      <c r="L20" s="163">
        <f t="shared" si="11"/>
        <v>105765.61224489797</v>
      </c>
      <c r="M20" s="162" t="str">
        <f>+VLOOKUP(C20,Lista!B:D,3,0)</f>
        <v>MICRO</v>
      </c>
      <c r="N20" s="365">
        <f t="shared" si="2"/>
        <v>11342.5</v>
      </c>
      <c r="O20" s="50">
        <f t="shared" si="12"/>
        <v>9</v>
      </c>
      <c r="P20" s="47">
        <f t="shared" si="13"/>
        <v>180.79591836734696</v>
      </c>
      <c r="Q20" s="49">
        <f t="shared" si="14"/>
        <v>163</v>
      </c>
      <c r="R20" s="51">
        <f t="shared" si="15"/>
        <v>180.79591836734696</v>
      </c>
      <c r="S20" s="46">
        <f t="shared" si="16"/>
        <v>99437.755102040828</v>
      </c>
      <c r="T20" t="str">
        <f t="shared" si="17"/>
        <v xml:space="preserve">1 Descuento (Conduct) </v>
      </c>
      <c r="U20">
        <f t="shared" si="18"/>
        <v>13</v>
      </c>
      <c r="Y20" t="str">
        <f>TRIM(Tabla2[[#This Row],[CONDUCTOR]])</f>
        <v>PEREZ GARCIA JUAN ESTEBAN</v>
      </c>
    </row>
    <row r="21" spans="2:25" x14ac:dyDescent="0.3">
      <c r="B21" s="136" t="s">
        <v>122</v>
      </c>
      <c r="C21" s="166">
        <v>17</v>
      </c>
      <c r="D21" s="151" t="s">
        <v>172</v>
      </c>
      <c r="E21" s="150">
        <v>9</v>
      </c>
      <c r="F21" s="150">
        <v>0</v>
      </c>
      <c r="G21" s="165">
        <v>185</v>
      </c>
      <c r="H21" s="226">
        <f t="shared" si="9"/>
        <v>20.555555555555557</v>
      </c>
      <c r="I21" s="227">
        <f t="shared" si="10"/>
        <v>189.79591836734696</v>
      </c>
      <c r="J21" s="363">
        <f>+Tabla2[[#This Row],[PROM DE USUARIOS]]-Tabla2[[#This Row],[USUARIOS]]</f>
        <v>4.7959183673469568</v>
      </c>
      <c r="K21" s="151" t="s">
        <v>196</v>
      </c>
      <c r="L21" s="163">
        <f t="shared" si="11"/>
        <v>105765.61224489797</v>
      </c>
      <c r="M21" s="162" t="str">
        <f>+VLOOKUP(C21,Lista!B:D,3,0)</f>
        <v>MICRO</v>
      </c>
      <c r="N21" s="365">
        <f t="shared" si="2"/>
        <v>11342.5</v>
      </c>
      <c r="O21" s="50">
        <f t="shared" si="12"/>
        <v>9</v>
      </c>
      <c r="P21" s="47">
        <f t="shared" si="13"/>
        <v>180.79591836734696</v>
      </c>
      <c r="Q21" s="49">
        <f t="shared" si="14"/>
        <v>176</v>
      </c>
      <c r="R21" s="51">
        <f t="shared" si="15"/>
        <v>180.79591836734696</v>
      </c>
      <c r="S21" s="46">
        <f t="shared" si="16"/>
        <v>99437.755102040828</v>
      </c>
      <c r="T21" t="str">
        <f t="shared" si="17"/>
        <v xml:space="preserve">7 Descuentos (transbordo y asociado) </v>
      </c>
      <c r="U21">
        <f t="shared" si="18"/>
        <v>18</v>
      </c>
      <c r="Y21" t="str">
        <f>TRIM(Tabla2[[#This Row],[CONDUCTOR]])</f>
        <v>PARRA VILLA YUBER ALONSO</v>
      </c>
    </row>
    <row r="22" spans="2:25" x14ac:dyDescent="0.3">
      <c r="B22" s="136" t="s">
        <v>121</v>
      </c>
      <c r="C22" s="166">
        <v>18</v>
      </c>
      <c r="D22" s="151" t="s">
        <v>147</v>
      </c>
      <c r="E22" s="150">
        <v>9</v>
      </c>
      <c r="F22" s="150"/>
      <c r="G22" s="146">
        <v>160</v>
      </c>
      <c r="H22" s="226">
        <f t="shared" si="9"/>
        <v>17.777777777777779</v>
      </c>
      <c r="I22" s="227">
        <f t="shared" si="10"/>
        <v>189.79591836734696</v>
      </c>
      <c r="J22" s="363">
        <f>+Tabla2[[#This Row],[PROM DE USUARIOS]]-Tabla2[[#This Row],[USUARIOS]]</f>
        <v>29.795918367346957</v>
      </c>
      <c r="K22" s="151" t="s">
        <v>197</v>
      </c>
      <c r="L22" s="163">
        <f t="shared" si="11"/>
        <v>105765.61224489797</v>
      </c>
      <c r="M22" s="162" t="str">
        <f>+VLOOKUP(C22,Lista!B:D,3,0)</f>
        <v>MICRO</v>
      </c>
      <c r="N22" s="365">
        <f t="shared" si="2"/>
        <v>11342.5</v>
      </c>
      <c r="O22" s="50">
        <f t="shared" si="12"/>
        <v>9</v>
      </c>
      <c r="P22" s="47">
        <f t="shared" si="13"/>
        <v>180.79591836734696</v>
      </c>
      <c r="Q22" s="49">
        <f t="shared" si="14"/>
        <v>151</v>
      </c>
      <c r="R22" s="51">
        <f t="shared" si="15"/>
        <v>180.79591836734696</v>
      </c>
      <c r="S22" s="46">
        <f t="shared" si="16"/>
        <v>99437.755102040828</v>
      </c>
      <c r="T22" t="str">
        <f t="shared" si="17"/>
        <v xml:space="preserve">19 Descuentos (Transbordo) </v>
      </c>
      <c r="U22">
        <f t="shared" si="18"/>
        <v>7</v>
      </c>
      <c r="Y22" t="str">
        <f>TRIM(Tabla2[[#This Row],[CONDUCTOR]])</f>
        <v>ALBERTO ARISTIZABAL RAFAEL</v>
      </c>
    </row>
    <row r="23" spans="2:25" x14ac:dyDescent="0.3">
      <c r="B23" s="136" t="s">
        <v>122</v>
      </c>
      <c r="C23" s="137">
        <v>19</v>
      </c>
      <c r="D23" s="151" t="s">
        <v>167</v>
      </c>
      <c r="E23" s="150">
        <v>11</v>
      </c>
      <c r="F23" s="150">
        <v>0</v>
      </c>
      <c r="G23" s="165">
        <v>205</v>
      </c>
      <c r="H23" s="226">
        <f t="shared" si="9"/>
        <v>18.636363636363637</v>
      </c>
      <c r="I23" s="227">
        <f t="shared" si="10"/>
        <v>231.97278911564626</v>
      </c>
      <c r="J23" s="363">
        <f>+Tabla2[[#This Row],[PROM DE USUARIOS]]-Tabla2[[#This Row],[USUARIOS]]</f>
        <v>26.972789115646265</v>
      </c>
      <c r="K23" s="151" t="s">
        <v>194</v>
      </c>
      <c r="L23" s="163">
        <f t="shared" si="11"/>
        <v>129269.08163265306</v>
      </c>
      <c r="M23" s="162" t="str">
        <f>+VLOOKUP(C23,Lista!B:D,3,0)</f>
        <v>MICRO</v>
      </c>
      <c r="N23" s="365">
        <f t="shared" si="2"/>
        <v>11342.5</v>
      </c>
      <c r="O23" s="50">
        <f t="shared" si="12"/>
        <v>11</v>
      </c>
      <c r="P23" s="47">
        <f t="shared" si="13"/>
        <v>220.97278911564626</v>
      </c>
      <c r="Q23" s="49">
        <f t="shared" si="14"/>
        <v>194</v>
      </c>
      <c r="R23" s="51">
        <f t="shared" si="15"/>
        <v>220.97278911564626</v>
      </c>
      <c r="S23" s="46">
        <f t="shared" si="16"/>
        <v>121535.03401360544</v>
      </c>
      <c r="T23" t="str">
        <f t="shared" si="17"/>
        <v xml:space="preserve">7 Descuentos (Transbordo) </v>
      </c>
      <c r="U23">
        <f t="shared" si="18"/>
        <v>10</v>
      </c>
      <c r="Y23" t="str">
        <f>TRIM(Tabla2[[#This Row],[CONDUCTOR]])</f>
        <v>MACEA ARBELAEZ MATEO</v>
      </c>
    </row>
    <row r="24" spans="2:25" x14ac:dyDescent="0.3">
      <c r="B24" s="136" t="s">
        <v>121</v>
      </c>
      <c r="C24" s="166">
        <v>20</v>
      </c>
      <c r="D24" s="151" t="s">
        <v>148</v>
      </c>
      <c r="E24" s="150">
        <v>12</v>
      </c>
      <c r="F24" s="150">
        <v>0</v>
      </c>
      <c r="G24" s="165">
        <v>251</v>
      </c>
      <c r="H24" s="226">
        <f t="shared" si="9"/>
        <v>20.916666666666668</v>
      </c>
      <c r="I24" s="227">
        <f t="shared" si="10"/>
        <v>253.06122448979593</v>
      </c>
      <c r="J24" s="363">
        <f>+Tabla2[[#This Row],[PROM DE USUARIOS]]-Tabla2[[#This Row],[USUARIOS]]</f>
        <v>2.0612244897959329</v>
      </c>
      <c r="K24" s="151" t="s">
        <v>195</v>
      </c>
      <c r="L24" s="163">
        <f t="shared" si="11"/>
        <v>141020.81632653062</v>
      </c>
      <c r="M24" s="162" t="str">
        <f>+VLOOKUP(C24,Lista!B:D,3,0)</f>
        <v>MICRO</v>
      </c>
      <c r="N24" s="365">
        <f t="shared" si="2"/>
        <v>11342.5</v>
      </c>
      <c r="O24" s="50">
        <f t="shared" si="12"/>
        <v>12</v>
      </c>
      <c r="P24" s="47">
        <f t="shared" si="13"/>
        <v>241.06122448979593</v>
      </c>
      <c r="Q24" s="49">
        <f t="shared" si="14"/>
        <v>239</v>
      </c>
      <c r="R24" s="51">
        <f t="shared" si="15"/>
        <v>241.06122448979593</v>
      </c>
      <c r="S24" s="46">
        <f t="shared" si="16"/>
        <v>132583.67346938775</v>
      </c>
      <c r="T24" t="str">
        <f t="shared" si="17"/>
        <v xml:space="preserve">1 Descuento (Despachador) </v>
      </c>
      <c r="U24">
        <f t="shared" si="18"/>
        <v>21</v>
      </c>
      <c r="Y24" t="str">
        <f>TRIM(Tabla2[[#This Row],[CONDUCTOR]])</f>
        <v>MURILLO YORMAN ANDRES</v>
      </c>
    </row>
    <row r="25" spans="2:25" x14ac:dyDescent="0.3">
      <c r="B25" s="136" t="s">
        <v>122</v>
      </c>
      <c r="C25" s="166">
        <v>21</v>
      </c>
      <c r="D25" s="151" t="s">
        <v>186</v>
      </c>
      <c r="E25" s="150">
        <v>7</v>
      </c>
      <c r="F25" s="150">
        <v>0</v>
      </c>
      <c r="G25" s="165">
        <v>123</v>
      </c>
      <c r="H25" s="226">
        <f t="shared" si="9"/>
        <v>17.571428571428573</v>
      </c>
      <c r="I25" s="227">
        <f t="shared" si="10"/>
        <v>147.61904761904762</v>
      </c>
      <c r="J25" s="363">
        <f>+Tabla2[[#This Row],[PROM DE USUARIOS]]-Tabla2[[#This Row],[USUARIOS]]</f>
        <v>24.61904761904762</v>
      </c>
      <c r="K25" s="151" t="s">
        <v>198</v>
      </c>
      <c r="L25" s="163">
        <f t="shared" si="11"/>
        <v>82262.142857142855</v>
      </c>
      <c r="M25" s="162" t="str">
        <f>+VLOOKUP(C25,Lista!B:D,3,0)</f>
        <v>MICRO</v>
      </c>
      <c r="N25" s="365">
        <f t="shared" si="2"/>
        <v>11342.5</v>
      </c>
      <c r="O25" s="50">
        <f t="shared" si="12"/>
        <v>7</v>
      </c>
      <c r="P25" s="47">
        <f t="shared" si="13"/>
        <v>140.61904761904762</v>
      </c>
      <c r="Q25" s="49">
        <f t="shared" si="14"/>
        <v>116</v>
      </c>
      <c r="R25" s="51">
        <f t="shared" si="15"/>
        <v>140.61904761904762</v>
      </c>
      <c r="S25" s="46">
        <f t="shared" si="16"/>
        <v>77340.476190476198</v>
      </c>
      <c r="T25" t="str">
        <f t="shared" si="17"/>
        <v xml:space="preserve">5 Descuentos (Transbordo) </v>
      </c>
      <c r="U25">
        <f t="shared" si="18"/>
        <v>6</v>
      </c>
      <c r="Y25" t="str">
        <f>TRIM(Tabla2[[#This Row],[CONDUCTOR]])</f>
        <v>DURANGO DAVID JOSE</v>
      </c>
    </row>
    <row r="26" spans="2:25" x14ac:dyDescent="0.3">
      <c r="B26" s="136" t="s">
        <v>121</v>
      </c>
      <c r="C26" s="166">
        <v>22</v>
      </c>
      <c r="D26" s="151" t="s">
        <v>174</v>
      </c>
      <c r="E26" s="150">
        <v>10</v>
      </c>
      <c r="F26" s="150">
        <v>0</v>
      </c>
      <c r="G26" s="165">
        <v>305</v>
      </c>
      <c r="H26" s="226">
        <f t="shared" si="9"/>
        <v>30.5</v>
      </c>
      <c r="I26" s="227">
        <f t="shared" si="10"/>
        <v>210.88435374149662</v>
      </c>
      <c r="J26" s="363">
        <f>+Tabla2[[#This Row],[PROM DE USUARIOS]]-Tabla2[[#This Row],[USUARIOS]]</f>
        <v>-94.115646258503375</v>
      </c>
      <c r="K26" s="151"/>
      <c r="L26" s="163">
        <f t="shared" si="11"/>
        <v>117517.34693877553</v>
      </c>
      <c r="M26" s="162">
        <f>+VLOOKUP(C26,Lista!B:D,3,0)</f>
        <v>0</v>
      </c>
      <c r="N26" s="365">
        <f t="shared" si="2"/>
        <v>11342.5</v>
      </c>
      <c r="O26" s="50">
        <f t="shared" si="12"/>
        <v>10</v>
      </c>
      <c r="P26" s="47">
        <f t="shared" si="13"/>
        <v>200.88435374149662</v>
      </c>
      <c r="Q26" s="49">
        <f t="shared" si="14"/>
        <v>295</v>
      </c>
      <c r="R26" s="51">
        <f t="shared" si="15"/>
        <v>200.88435374149662</v>
      </c>
      <c r="S26" s="46">
        <f t="shared" si="16"/>
        <v>110486.39455782315</v>
      </c>
      <c r="T26" t="str">
        <f t="shared" si="17"/>
        <v/>
      </c>
      <c r="U26">
        <f t="shared" si="18"/>
        <v>41</v>
      </c>
      <c r="Y26" t="str">
        <f>TRIM(Tabla2[[#This Row],[CONDUCTOR]])</f>
        <v>QUIRAMA CASTAÑEDA JHON JADER</v>
      </c>
    </row>
    <row r="27" spans="2:25" x14ac:dyDescent="0.3">
      <c r="B27" s="136" t="s">
        <v>122</v>
      </c>
      <c r="C27" s="166">
        <v>23</v>
      </c>
      <c r="D27" s="151" t="s">
        <v>175</v>
      </c>
      <c r="E27" s="150">
        <v>10</v>
      </c>
      <c r="F27" s="150">
        <v>0</v>
      </c>
      <c r="G27" s="146">
        <v>135</v>
      </c>
      <c r="H27" s="226">
        <f t="shared" si="9"/>
        <v>13.5</v>
      </c>
      <c r="I27" s="227">
        <f t="shared" si="10"/>
        <v>210.88435374149662</v>
      </c>
      <c r="J27" s="363">
        <f>+Tabla2[[#This Row],[PROM DE USUARIOS]]-Tabla2[[#This Row],[USUARIOS]]</f>
        <v>75.884353741496625</v>
      </c>
      <c r="K27" s="151" t="s">
        <v>199</v>
      </c>
      <c r="L27" s="163">
        <f t="shared" si="11"/>
        <v>117517.34693877553</v>
      </c>
      <c r="M27" s="162" t="str">
        <f>+VLOOKUP(C27,Lista!B:D,3,0)</f>
        <v xml:space="preserve">MICRO </v>
      </c>
      <c r="N27" s="365">
        <f t="shared" si="2"/>
        <v>11342.5</v>
      </c>
      <c r="O27" s="50">
        <f t="shared" si="12"/>
        <v>10</v>
      </c>
      <c r="P27" s="47">
        <f t="shared" si="13"/>
        <v>200.88435374149662</v>
      </c>
      <c r="Q27" s="49">
        <f t="shared" si="14"/>
        <v>125</v>
      </c>
      <c r="R27" s="51">
        <f t="shared" si="15"/>
        <v>200.88435374149662</v>
      </c>
      <c r="S27" s="46">
        <f t="shared" si="16"/>
        <v>110486.39455782315</v>
      </c>
      <c r="T27" t="str">
        <f t="shared" si="17"/>
        <v xml:space="preserve">18 Descuentos (Transbordo) </v>
      </c>
      <c r="U27">
        <f t="shared" si="18"/>
        <v>1</v>
      </c>
      <c r="Y27" t="str">
        <f>TRIM(Tabla2[[#This Row],[CONDUCTOR]])</f>
        <v>SALDARRIAGA PARRA LUIS ALBERTO</v>
      </c>
    </row>
    <row r="28" spans="2:25" x14ac:dyDescent="0.3">
      <c r="B28" s="136" t="s">
        <v>121</v>
      </c>
      <c r="C28" s="166">
        <v>24</v>
      </c>
      <c r="D28" s="151" t="s">
        <v>185</v>
      </c>
      <c r="E28" s="150">
        <v>9</v>
      </c>
      <c r="F28" s="150">
        <v>0</v>
      </c>
      <c r="G28" s="146">
        <v>172</v>
      </c>
      <c r="H28" s="226">
        <f t="shared" si="9"/>
        <v>19.111111111111111</v>
      </c>
      <c r="I28" s="227">
        <f t="shared" si="10"/>
        <v>189.79591836734696</v>
      </c>
      <c r="J28" s="363">
        <f>+Tabla2[[#This Row],[PROM DE USUARIOS]]-Tabla2[[#This Row],[USUARIOS]]</f>
        <v>17.795918367346957</v>
      </c>
      <c r="K28" s="151" t="s">
        <v>200</v>
      </c>
      <c r="L28" s="163">
        <f t="shared" si="11"/>
        <v>105765.61224489797</v>
      </c>
      <c r="M28" s="162" t="str">
        <f>+VLOOKUP(C28,Lista!B:D,3,0)</f>
        <v>MICRO</v>
      </c>
      <c r="N28" s="365">
        <f t="shared" si="2"/>
        <v>11342.5</v>
      </c>
      <c r="O28" s="50">
        <f t="shared" si="12"/>
        <v>9</v>
      </c>
      <c r="P28" s="47">
        <f t="shared" si="13"/>
        <v>180.79591836734696</v>
      </c>
      <c r="Q28" s="49">
        <f t="shared" si="14"/>
        <v>163</v>
      </c>
      <c r="R28" s="51">
        <f t="shared" si="15"/>
        <v>180.79591836734696</v>
      </c>
      <c r="S28" s="46">
        <f t="shared" si="16"/>
        <v>99437.755102040828</v>
      </c>
      <c r="T28" t="str">
        <f t="shared" si="17"/>
        <v xml:space="preserve">13 Descuentos (Transbordo) </v>
      </c>
      <c r="U28">
        <f t="shared" si="18"/>
        <v>13</v>
      </c>
      <c r="Y28" t="str">
        <f>TRIM(Tabla2[[#This Row],[CONDUCTOR]])</f>
        <v>JIMENEZ HERNANDEZ ESTEBAN CAMILO</v>
      </c>
    </row>
    <row r="29" spans="2:25" x14ac:dyDescent="0.3">
      <c r="B29" s="136" t="s">
        <v>122</v>
      </c>
      <c r="C29" s="166">
        <v>25</v>
      </c>
      <c r="D29" s="151" t="s">
        <v>182</v>
      </c>
      <c r="E29" s="150">
        <v>10</v>
      </c>
      <c r="F29" s="150">
        <v>0</v>
      </c>
      <c r="G29" s="165">
        <v>238</v>
      </c>
      <c r="H29" s="226">
        <f t="shared" si="9"/>
        <v>23.8</v>
      </c>
      <c r="I29" s="227">
        <f t="shared" si="10"/>
        <v>210.88435374149662</v>
      </c>
      <c r="J29" s="363">
        <f>+Tabla2[[#This Row],[PROM DE USUARIOS]]-Tabla2[[#This Row],[USUARIOS]]</f>
        <v>-27.115646258503375</v>
      </c>
      <c r="K29" s="151" t="s">
        <v>201</v>
      </c>
      <c r="L29" s="163">
        <f t="shared" si="11"/>
        <v>117517.34693877553</v>
      </c>
      <c r="M29" s="162">
        <f>+VLOOKUP(C29,Lista!B:D,3,0)</f>
        <v>0</v>
      </c>
      <c r="N29" s="365">
        <f t="shared" si="2"/>
        <v>11342.5</v>
      </c>
      <c r="O29" s="50">
        <f t="shared" si="12"/>
        <v>10</v>
      </c>
      <c r="P29" s="47">
        <f t="shared" si="13"/>
        <v>200.88435374149662</v>
      </c>
      <c r="Q29" s="49">
        <f t="shared" si="14"/>
        <v>228</v>
      </c>
      <c r="R29" s="51">
        <f t="shared" si="15"/>
        <v>200.88435374149662</v>
      </c>
      <c r="S29" s="46">
        <f t="shared" si="16"/>
        <v>110486.39455782315</v>
      </c>
      <c r="T29" t="str">
        <f t="shared" si="17"/>
        <v>2 Descuentos (Conducts)</v>
      </c>
      <c r="U29">
        <f t="shared" si="18"/>
        <v>32</v>
      </c>
      <c r="Y29" t="str">
        <f>TRIM(Tabla2[[#This Row],[CONDUCTOR]])</f>
        <v>JIMENEZ HURTADO CARLOS ESTIVEN</v>
      </c>
    </row>
    <row r="30" spans="2:25" s="2" customFormat="1" x14ac:dyDescent="0.3">
      <c r="B30" s="136" t="s">
        <v>121</v>
      </c>
      <c r="C30" s="166">
        <v>26</v>
      </c>
      <c r="D30" s="151" t="s">
        <v>176</v>
      </c>
      <c r="E30" s="150">
        <v>12</v>
      </c>
      <c r="F30" s="150"/>
      <c r="G30" s="165">
        <v>191</v>
      </c>
      <c r="H30" s="226">
        <f t="shared" si="9"/>
        <v>15.916666666666666</v>
      </c>
      <c r="I30" s="227">
        <f t="shared" si="10"/>
        <v>253.06122448979593</v>
      </c>
      <c r="J30" s="363">
        <f>+Tabla2[[#This Row],[PROM DE USUARIOS]]-Tabla2[[#This Row],[USUARIOS]]</f>
        <v>62.061224489795933</v>
      </c>
      <c r="K30" s="151" t="s">
        <v>202</v>
      </c>
      <c r="L30" s="163">
        <f t="shared" si="11"/>
        <v>141020.81632653062</v>
      </c>
      <c r="M30" s="162" t="str">
        <f>+VLOOKUP(C30,Lista!B:D,3,0)</f>
        <v>MICRO</v>
      </c>
      <c r="N30" s="365">
        <f t="shared" si="2"/>
        <v>11342.5</v>
      </c>
      <c r="O30" s="50">
        <f t="shared" si="12"/>
        <v>12</v>
      </c>
      <c r="P30" s="47">
        <f t="shared" si="13"/>
        <v>241.06122448979593</v>
      </c>
      <c r="Q30" s="49">
        <f t="shared" si="14"/>
        <v>179</v>
      </c>
      <c r="R30" s="51">
        <f t="shared" si="15"/>
        <v>241.06122448979593</v>
      </c>
      <c r="S30" s="46">
        <f t="shared" si="16"/>
        <v>132583.67346938775</v>
      </c>
      <c r="T30" t="str">
        <f t="shared" si="17"/>
        <v xml:space="preserve">4 Descuentos (transbordo y despachador) </v>
      </c>
      <c r="U30">
        <f t="shared" si="18"/>
        <v>4</v>
      </c>
      <c r="Y30" t="str">
        <f>TRIM(Tabla2[[#This Row],[CONDUCTOR]])</f>
        <v>MACIAS HERNANDEZ JULIAN DAVID</v>
      </c>
    </row>
    <row r="31" spans="2:25" x14ac:dyDescent="0.3">
      <c r="B31" s="136" t="s">
        <v>122</v>
      </c>
      <c r="C31" s="137">
        <v>27</v>
      </c>
      <c r="D31" s="151" t="s">
        <v>158</v>
      </c>
      <c r="E31" s="150">
        <v>9</v>
      </c>
      <c r="F31" s="150">
        <v>0</v>
      </c>
      <c r="G31" s="146">
        <v>200</v>
      </c>
      <c r="H31" s="226">
        <f t="shared" si="9"/>
        <v>22.222222222222221</v>
      </c>
      <c r="I31" s="227">
        <f t="shared" si="10"/>
        <v>189.79591836734696</v>
      </c>
      <c r="J31" s="363">
        <f>+Tabla2[[#This Row],[PROM DE USUARIOS]]-Tabla2[[#This Row],[USUARIOS]]</f>
        <v>-10.204081632653043</v>
      </c>
      <c r="K31" s="151"/>
      <c r="L31" s="163">
        <f t="shared" si="11"/>
        <v>105765.61224489797</v>
      </c>
      <c r="M31" s="162">
        <f>+VLOOKUP(C31,Lista!B:D,3,0)</f>
        <v>0</v>
      </c>
      <c r="N31" s="365">
        <f t="shared" si="2"/>
        <v>11342.5</v>
      </c>
      <c r="O31" s="50">
        <f t="shared" si="12"/>
        <v>9</v>
      </c>
      <c r="P31" s="47">
        <f t="shared" si="13"/>
        <v>180.79591836734696</v>
      </c>
      <c r="Q31" s="49">
        <f t="shared" si="14"/>
        <v>191</v>
      </c>
      <c r="R31" s="51">
        <f t="shared" si="15"/>
        <v>180.79591836734696</v>
      </c>
      <c r="S31" s="46">
        <f t="shared" si="16"/>
        <v>99437.755102040828</v>
      </c>
      <c r="T31" t="str">
        <f t="shared" si="17"/>
        <v/>
      </c>
      <c r="U31">
        <f t="shared" si="18"/>
        <v>30</v>
      </c>
      <c r="Y31" t="str">
        <f>TRIM(Tabla2[[#This Row],[CONDUCTOR]])</f>
        <v>FLORES RINCON JORGE ALBERTO</v>
      </c>
    </row>
    <row r="32" spans="2:25" x14ac:dyDescent="0.3">
      <c r="B32" s="136" t="s">
        <v>121</v>
      </c>
      <c r="C32" s="166">
        <v>28</v>
      </c>
      <c r="D32" s="151" t="s">
        <v>153</v>
      </c>
      <c r="E32" s="150">
        <v>6</v>
      </c>
      <c r="F32" s="150">
        <v>0</v>
      </c>
      <c r="G32" s="146">
        <v>124</v>
      </c>
      <c r="H32" s="226">
        <f t="shared" si="9"/>
        <v>20.666666666666668</v>
      </c>
      <c r="I32" s="227">
        <f t="shared" si="10"/>
        <v>126.53061224489797</v>
      </c>
      <c r="J32" s="363">
        <f>+Tabla2[[#This Row],[PROM DE USUARIOS]]-Tabla2[[#This Row],[USUARIOS]]</f>
        <v>2.5306122448979664</v>
      </c>
      <c r="K32" s="151" t="s">
        <v>203</v>
      </c>
      <c r="L32" s="163">
        <f t="shared" si="11"/>
        <v>70510.408163265311</v>
      </c>
      <c r="M32" s="162" t="str">
        <f>+VLOOKUP(C32,Lista!B:D,3,0)</f>
        <v>MICRO</v>
      </c>
      <c r="N32" s="365">
        <f t="shared" si="2"/>
        <v>11342.5</v>
      </c>
      <c r="O32" s="50">
        <f t="shared" si="12"/>
        <v>6</v>
      </c>
      <c r="P32" s="47">
        <f t="shared" si="13"/>
        <v>120.53061224489797</v>
      </c>
      <c r="Q32" s="49">
        <f t="shared" si="14"/>
        <v>118</v>
      </c>
      <c r="R32" s="51">
        <f t="shared" si="15"/>
        <v>120.53061224489797</v>
      </c>
      <c r="S32" s="46">
        <f t="shared" si="16"/>
        <v>66291.836734693876</v>
      </c>
      <c r="T32" t="str">
        <f t="shared" si="17"/>
        <v xml:space="preserve">2 Descuentos (Transbordo) </v>
      </c>
      <c r="U32">
        <f t="shared" si="18"/>
        <v>19</v>
      </c>
      <c r="Y32" t="str">
        <f>TRIM(Tabla2[[#This Row],[CONDUCTOR]])</f>
        <v>OSORIO URREGO SANTIAGO</v>
      </c>
    </row>
    <row r="33" spans="2:25" x14ac:dyDescent="0.3">
      <c r="B33" s="136" t="s">
        <v>122</v>
      </c>
      <c r="C33" s="166">
        <v>29</v>
      </c>
      <c r="D33" s="151" t="s">
        <v>181</v>
      </c>
      <c r="E33" s="150">
        <v>9</v>
      </c>
      <c r="F33" s="150">
        <v>0</v>
      </c>
      <c r="G33" s="146">
        <v>190</v>
      </c>
      <c r="H33" s="226">
        <f t="shared" si="9"/>
        <v>21.111111111111111</v>
      </c>
      <c r="I33" s="227">
        <f t="shared" si="10"/>
        <v>189.79591836734696</v>
      </c>
      <c r="J33" s="363">
        <f>+Tabla2[[#This Row],[PROM DE USUARIOS]]-Tabla2[[#This Row],[USUARIOS]]</f>
        <v>-0.20408163265304324</v>
      </c>
      <c r="K33" s="151" t="s">
        <v>194</v>
      </c>
      <c r="L33" s="163">
        <f t="shared" si="11"/>
        <v>105765.61224489797</v>
      </c>
      <c r="M33" s="162" t="str">
        <f>+VLOOKUP(C33,Lista!B:D,3,0)</f>
        <v>MICRO</v>
      </c>
      <c r="N33" s="365">
        <f t="shared" si="2"/>
        <v>11342.5</v>
      </c>
      <c r="O33" s="50">
        <f t="shared" si="12"/>
        <v>9</v>
      </c>
      <c r="P33" s="47">
        <f t="shared" si="13"/>
        <v>180.79591836734696</v>
      </c>
      <c r="Q33" s="49">
        <f t="shared" si="14"/>
        <v>181</v>
      </c>
      <c r="R33" s="51">
        <f t="shared" si="15"/>
        <v>180.79591836734696</v>
      </c>
      <c r="S33" s="46">
        <f t="shared" si="16"/>
        <v>99437.755102040828</v>
      </c>
      <c r="T33" t="str">
        <f t="shared" si="17"/>
        <v xml:space="preserve">7 Descuentos (Transbordo) </v>
      </c>
      <c r="U33">
        <f t="shared" si="18"/>
        <v>23</v>
      </c>
      <c r="Y33" t="str">
        <f>TRIM(Tabla2[[#This Row],[CONDUCTOR]])</f>
        <v>LEON PEREZ RAUL ENRIQUE</v>
      </c>
    </row>
    <row r="34" spans="2:25" x14ac:dyDescent="0.3">
      <c r="B34" s="136" t="s">
        <v>121</v>
      </c>
      <c r="C34" s="166">
        <v>30</v>
      </c>
      <c r="D34" s="151" t="s">
        <v>152</v>
      </c>
      <c r="E34" s="150">
        <v>11</v>
      </c>
      <c r="F34" s="150">
        <v>0</v>
      </c>
      <c r="G34" s="165">
        <v>233</v>
      </c>
      <c r="H34" s="226">
        <f t="shared" si="9"/>
        <v>21.181818181818183</v>
      </c>
      <c r="I34" s="227">
        <f t="shared" si="10"/>
        <v>231.97278911564626</v>
      </c>
      <c r="J34" s="363">
        <f>+Tabla2[[#This Row],[PROM DE USUARIOS]]-Tabla2[[#This Row],[USUARIOS]]</f>
        <v>-1.0272108843537353</v>
      </c>
      <c r="K34" s="151"/>
      <c r="L34" s="163">
        <f t="shared" si="11"/>
        <v>129269.08163265306</v>
      </c>
      <c r="M34" s="162">
        <f>+VLOOKUP(C34,Lista!B:D,3,0)</f>
        <v>0</v>
      </c>
      <c r="N34" s="365">
        <f t="shared" si="2"/>
        <v>11342.5</v>
      </c>
      <c r="O34" s="50">
        <f t="shared" si="12"/>
        <v>11</v>
      </c>
      <c r="P34" s="47">
        <f t="shared" si="13"/>
        <v>220.97278911564626</v>
      </c>
      <c r="Q34" s="49">
        <f t="shared" si="14"/>
        <v>222</v>
      </c>
      <c r="R34" s="51">
        <f t="shared" si="15"/>
        <v>220.97278911564626</v>
      </c>
      <c r="S34" s="46">
        <f t="shared" si="16"/>
        <v>121535.03401360544</v>
      </c>
      <c r="T34" t="str">
        <f t="shared" si="17"/>
        <v/>
      </c>
      <c r="U34">
        <f t="shared" si="18"/>
        <v>24</v>
      </c>
      <c r="Y34" t="str">
        <f>TRIM(Tabla2[[#This Row],[CONDUCTOR]])</f>
        <v>AGUDELO GARCIA LLORDIN ELIAS</v>
      </c>
    </row>
    <row r="35" spans="2:25" x14ac:dyDescent="0.3">
      <c r="B35" s="136" t="s">
        <v>122</v>
      </c>
      <c r="C35" s="166">
        <v>31</v>
      </c>
      <c r="D35" s="151" t="s">
        <v>154</v>
      </c>
      <c r="E35" s="150">
        <v>10</v>
      </c>
      <c r="F35" s="150">
        <v>0</v>
      </c>
      <c r="G35" s="165">
        <v>239</v>
      </c>
      <c r="H35" s="226">
        <f t="shared" si="9"/>
        <v>23.9</v>
      </c>
      <c r="I35" s="227">
        <f t="shared" si="10"/>
        <v>210.88435374149662</v>
      </c>
      <c r="J35" s="363">
        <f>+Tabla2[[#This Row],[PROM DE USUARIOS]]-Tabla2[[#This Row],[USUARIOS]]</f>
        <v>-28.115646258503375</v>
      </c>
      <c r="K35" s="151" t="s">
        <v>204</v>
      </c>
      <c r="L35" s="163">
        <f t="shared" si="11"/>
        <v>117517.34693877553</v>
      </c>
      <c r="M35" s="162" t="str">
        <f>+VLOOKUP(C35,Lista!B:D,3,0)</f>
        <v>MICRO</v>
      </c>
      <c r="N35" s="365">
        <f t="shared" si="2"/>
        <v>11342.5</v>
      </c>
      <c r="O35" s="50">
        <f t="shared" si="12"/>
        <v>10</v>
      </c>
      <c r="P35" s="47">
        <f t="shared" si="13"/>
        <v>200.88435374149662</v>
      </c>
      <c r="Q35" s="49">
        <f t="shared" si="14"/>
        <v>229</v>
      </c>
      <c r="R35" s="51">
        <f t="shared" si="15"/>
        <v>200.88435374149662</v>
      </c>
      <c r="S35" s="46">
        <f t="shared" si="16"/>
        <v>110486.39455782315</v>
      </c>
      <c r="T35" t="str">
        <f t="shared" si="17"/>
        <v xml:space="preserve">10 Descuentos (transbordo y despachador) </v>
      </c>
      <c r="U35">
        <f t="shared" si="18"/>
        <v>33</v>
      </c>
      <c r="Y35" t="str">
        <f>TRIM(Tabla2[[#This Row],[CONDUCTOR]])</f>
        <v>FRANCO CARVAJAL GERARDO ANTONIO</v>
      </c>
    </row>
    <row r="36" spans="2:25" x14ac:dyDescent="0.3">
      <c r="B36" s="136" t="s">
        <v>121</v>
      </c>
      <c r="C36" s="166">
        <v>32</v>
      </c>
      <c r="D36" s="151" t="s">
        <v>162</v>
      </c>
      <c r="E36" s="150">
        <v>9</v>
      </c>
      <c r="F36" s="150">
        <v>0</v>
      </c>
      <c r="G36" s="165">
        <v>128</v>
      </c>
      <c r="H36" s="226">
        <f t="shared" si="9"/>
        <v>14.222222222222221</v>
      </c>
      <c r="I36" s="227">
        <f t="shared" si="10"/>
        <v>189.79591836734696</v>
      </c>
      <c r="J36" s="363">
        <f>+Tabla2[[#This Row],[PROM DE USUARIOS]]-Tabla2[[#This Row],[USUARIOS]]</f>
        <v>61.795918367346957</v>
      </c>
      <c r="K36" s="151"/>
      <c r="L36" s="163">
        <f t="shared" si="11"/>
        <v>105765.61224489797</v>
      </c>
      <c r="M36" s="162" t="str">
        <f>+VLOOKUP(C36,Lista!B:D,3,0)</f>
        <v>MICRO</v>
      </c>
      <c r="N36" s="365">
        <f t="shared" si="2"/>
        <v>11342.5</v>
      </c>
      <c r="O36" s="50">
        <f t="shared" si="12"/>
        <v>9</v>
      </c>
      <c r="P36" s="47">
        <f t="shared" si="13"/>
        <v>180.79591836734696</v>
      </c>
      <c r="Q36" s="49">
        <f t="shared" si="14"/>
        <v>119</v>
      </c>
      <c r="R36" s="51">
        <f t="shared" si="15"/>
        <v>180.79591836734696</v>
      </c>
      <c r="S36" s="46">
        <f t="shared" si="16"/>
        <v>99437.755102040828</v>
      </c>
      <c r="T36" t="str">
        <f t="shared" si="17"/>
        <v/>
      </c>
      <c r="U36">
        <f t="shared" si="18"/>
        <v>2</v>
      </c>
      <c r="Y36" t="str">
        <f>TRIM(Tabla2[[#This Row],[CONDUCTOR]])</f>
        <v>LAYOS JIMENEZ JOHAN CAMILO</v>
      </c>
    </row>
    <row r="37" spans="2:25" x14ac:dyDescent="0.3">
      <c r="B37" s="136" t="s">
        <v>122</v>
      </c>
      <c r="C37" s="166">
        <v>33</v>
      </c>
      <c r="D37" s="151" t="s">
        <v>165</v>
      </c>
      <c r="E37" s="150">
        <v>6</v>
      </c>
      <c r="F37" s="150">
        <v>0</v>
      </c>
      <c r="G37" s="165">
        <v>131</v>
      </c>
      <c r="H37" s="226">
        <f t="shared" si="9"/>
        <v>21.833333333333332</v>
      </c>
      <c r="I37" s="227">
        <f t="shared" si="10"/>
        <v>126.53061224489797</v>
      </c>
      <c r="J37" s="363">
        <f>+Tabla2[[#This Row],[PROM DE USUARIOS]]-Tabla2[[#This Row],[USUARIOS]]</f>
        <v>-4.4693877551020336</v>
      </c>
      <c r="K37" s="151" t="s">
        <v>205</v>
      </c>
      <c r="L37" s="163">
        <f t="shared" si="11"/>
        <v>70510.408163265311</v>
      </c>
      <c r="M37" s="162" t="str">
        <f>+VLOOKUP(C37,Lista!B:D,3,0)</f>
        <v>MICRO</v>
      </c>
      <c r="N37" s="365">
        <f t="shared" si="2"/>
        <v>11342.5</v>
      </c>
      <c r="O37" s="50">
        <f t="shared" si="12"/>
        <v>6</v>
      </c>
      <c r="P37" s="47">
        <f t="shared" si="13"/>
        <v>120.53061224489797</v>
      </c>
      <c r="Q37" s="49">
        <f t="shared" si="14"/>
        <v>125</v>
      </c>
      <c r="R37" s="51">
        <f t="shared" si="15"/>
        <v>120.53061224489797</v>
      </c>
      <c r="S37" s="46">
        <f t="shared" si="16"/>
        <v>66291.836734693876</v>
      </c>
      <c r="T37" t="str">
        <f t="shared" si="17"/>
        <v xml:space="preserve">3 descuentos (despachador, conduct y transbordo) </v>
      </c>
      <c r="U37">
        <f t="shared" si="18"/>
        <v>28</v>
      </c>
      <c r="Y37" t="str">
        <f>TRIM(Tabla2[[#This Row],[CONDUCTOR]])</f>
        <v>MARULANDA JARAMILLO DAWER ANDRES</v>
      </c>
    </row>
    <row r="38" spans="2:25" x14ac:dyDescent="0.3">
      <c r="B38" s="136" t="s">
        <v>121</v>
      </c>
      <c r="C38" s="166">
        <v>35</v>
      </c>
      <c r="D38" s="151" t="s">
        <v>168</v>
      </c>
      <c r="E38" s="150">
        <v>11</v>
      </c>
      <c r="F38" s="150">
        <v>0</v>
      </c>
      <c r="G38" s="165">
        <v>283</v>
      </c>
      <c r="H38" s="226">
        <f t="shared" si="9"/>
        <v>25.727272727272727</v>
      </c>
      <c r="I38" s="227">
        <f t="shared" si="10"/>
        <v>231.97278911564626</v>
      </c>
      <c r="J38" s="363">
        <f>+Tabla2[[#This Row],[PROM DE USUARIOS]]-Tabla2[[#This Row],[USUARIOS]]</f>
        <v>-51.027210884353735</v>
      </c>
      <c r="K38" s="151" t="s">
        <v>194</v>
      </c>
      <c r="L38" s="163">
        <f t="shared" si="11"/>
        <v>129269.08163265306</v>
      </c>
      <c r="M38" s="162">
        <f>+VLOOKUP(C38,Lista!B:D,3,0)</f>
        <v>0</v>
      </c>
      <c r="N38" s="365">
        <f t="shared" si="2"/>
        <v>11342.5</v>
      </c>
      <c r="O38" s="50">
        <f t="shared" si="12"/>
        <v>11</v>
      </c>
      <c r="P38" s="47">
        <f t="shared" si="13"/>
        <v>220.97278911564626</v>
      </c>
      <c r="Q38" s="49">
        <f t="shared" si="14"/>
        <v>272</v>
      </c>
      <c r="R38" s="51">
        <f t="shared" si="15"/>
        <v>220.97278911564626</v>
      </c>
      <c r="S38" s="46">
        <f t="shared" si="16"/>
        <v>121535.03401360544</v>
      </c>
      <c r="T38" t="str">
        <f t="shared" si="17"/>
        <v xml:space="preserve">7 Descuentos (Transbordo) </v>
      </c>
      <c r="U38">
        <f t="shared" si="18"/>
        <v>37</v>
      </c>
      <c r="Y38" t="str">
        <f>TRIM(Tabla2[[#This Row],[CONDUCTOR]])</f>
        <v>ARAQUE ARROYAVE JOSE ALBEIRO</v>
      </c>
    </row>
    <row r="39" spans="2:25" x14ac:dyDescent="0.3">
      <c r="B39" s="136" t="s">
        <v>122</v>
      </c>
      <c r="C39" s="166">
        <v>36</v>
      </c>
      <c r="D39" s="151" t="s">
        <v>159</v>
      </c>
      <c r="E39" s="150">
        <v>10</v>
      </c>
      <c r="F39" s="150">
        <v>0</v>
      </c>
      <c r="G39" s="146">
        <v>214</v>
      </c>
      <c r="H39" s="226">
        <f t="shared" si="9"/>
        <v>21.4</v>
      </c>
      <c r="I39" s="227">
        <f t="shared" si="10"/>
        <v>210.88435374149662</v>
      </c>
      <c r="J39" s="363">
        <f>+Tabla2[[#This Row],[PROM DE USUARIOS]]-Tabla2[[#This Row],[USUARIOS]]</f>
        <v>-3.1156462585033751</v>
      </c>
      <c r="K39" s="151" t="s">
        <v>198</v>
      </c>
      <c r="L39" s="163">
        <f t="shared" si="11"/>
        <v>117517.34693877553</v>
      </c>
      <c r="M39" s="162" t="str">
        <f>+VLOOKUP(C39,Lista!B:D,3,0)</f>
        <v>MICRO</v>
      </c>
      <c r="N39" s="365">
        <f t="shared" si="2"/>
        <v>11342.5</v>
      </c>
      <c r="O39" s="50">
        <f t="shared" si="12"/>
        <v>10</v>
      </c>
      <c r="P39" s="47">
        <f t="shared" si="13"/>
        <v>200.88435374149662</v>
      </c>
      <c r="Q39" s="49">
        <f t="shared" si="14"/>
        <v>204</v>
      </c>
      <c r="R39" s="51">
        <f t="shared" si="15"/>
        <v>200.88435374149662</v>
      </c>
      <c r="S39" s="46">
        <f t="shared" si="16"/>
        <v>110486.39455782315</v>
      </c>
      <c r="T39" t="str">
        <f t="shared" si="17"/>
        <v xml:space="preserve">5 Descuentos (Transbordo) </v>
      </c>
      <c r="U39">
        <f t="shared" si="18"/>
        <v>26</v>
      </c>
      <c r="Y39" t="str">
        <f>TRIM(Tabla2[[#This Row],[CONDUCTOR]])</f>
        <v>MARTINEZ CHAVERRA LUIS NORBERTO</v>
      </c>
    </row>
    <row r="40" spans="2:25" x14ac:dyDescent="0.3">
      <c r="B40" s="136" t="s">
        <v>121</v>
      </c>
      <c r="C40" s="166">
        <v>37</v>
      </c>
      <c r="D40" s="151" t="s">
        <v>166</v>
      </c>
      <c r="E40" s="150">
        <v>11</v>
      </c>
      <c r="F40" s="150">
        <v>0</v>
      </c>
      <c r="G40" s="165">
        <v>273</v>
      </c>
      <c r="H40" s="226">
        <f t="shared" si="9"/>
        <v>24.818181818181817</v>
      </c>
      <c r="I40" s="227">
        <f t="shared" si="10"/>
        <v>231.97278911564626</v>
      </c>
      <c r="J40" s="363">
        <f>+Tabla2[[#This Row],[PROM DE USUARIOS]]-Tabla2[[#This Row],[USUARIOS]]</f>
        <v>-41.027210884353735</v>
      </c>
      <c r="K40" s="151" t="s">
        <v>191</v>
      </c>
      <c r="L40" s="163">
        <f t="shared" si="11"/>
        <v>129269.08163265306</v>
      </c>
      <c r="M40" s="162">
        <f>+VLOOKUP(C40,Lista!B:D,3,0)</f>
        <v>0</v>
      </c>
      <c r="N40" s="365">
        <f t="shared" si="2"/>
        <v>11342.5</v>
      </c>
      <c r="O40" s="50">
        <f t="shared" si="12"/>
        <v>11</v>
      </c>
      <c r="P40" s="47">
        <f t="shared" si="13"/>
        <v>220.97278911564626</v>
      </c>
      <c r="Q40" s="49">
        <f t="shared" si="14"/>
        <v>262</v>
      </c>
      <c r="R40" s="51">
        <f t="shared" si="15"/>
        <v>220.97278911564626</v>
      </c>
      <c r="S40" s="46">
        <f t="shared" si="16"/>
        <v>121535.03401360544</v>
      </c>
      <c r="T40" t="str">
        <f t="shared" si="17"/>
        <v xml:space="preserve">1 Descuento (transbordo) </v>
      </c>
      <c r="U40">
        <f t="shared" si="18"/>
        <v>36</v>
      </c>
      <c r="Y40" t="str">
        <f>TRIM(Tabla2[[#This Row],[CONDUCTOR]])</f>
        <v>TABORDA ROJAS DIEGO ALEJANDRO</v>
      </c>
    </row>
    <row r="41" spans="2:25" ht="15" customHeight="1" x14ac:dyDescent="0.3">
      <c r="B41" s="136" t="s">
        <v>122</v>
      </c>
      <c r="C41" s="137">
        <v>38</v>
      </c>
      <c r="D41" s="151" t="s">
        <v>151</v>
      </c>
      <c r="E41" s="150">
        <v>9</v>
      </c>
      <c r="F41" s="150">
        <v>0</v>
      </c>
      <c r="G41" s="146">
        <v>170</v>
      </c>
      <c r="H41" s="226">
        <f t="shared" si="9"/>
        <v>18.888888888888889</v>
      </c>
      <c r="I41" s="227">
        <f t="shared" si="10"/>
        <v>189.79591836734696</v>
      </c>
      <c r="J41" s="363">
        <f>+Tabla2[[#This Row],[PROM DE USUARIOS]]-Tabla2[[#This Row],[USUARIOS]]</f>
        <v>19.795918367346957</v>
      </c>
      <c r="K41" s="151" t="s">
        <v>190</v>
      </c>
      <c r="L41" s="163">
        <f t="shared" si="11"/>
        <v>105765.61224489797</v>
      </c>
      <c r="M41" s="162" t="str">
        <f>+VLOOKUP(C41,Lista!B:D,3,0)</f>
        <v>MICRO</v>
      </c>
      <c r="N41" s="365">
        <f t="shared" si="2"/>
        <v>11342.5</v>
      </c>
      <c r="O41" s="50">
        <f t="shared" si="12"/>
        <v>9</v>
      </c>
      <c r="P41" s="47">
        <f t="shared" si="13"/>
        <v>180.79591836734696</v>
      </c>
      <c r="Q41" s="49">
        <f t="shared" si="14"/>
        <v>161</v>
      </c>
      <c r="R41" s="51">
        <f t="shared" si="15"/>
        <v>180.79591836734696</v>
      </c>
      <c r="S41" s="46">
        <f t="shared" si="16"/>
        <v>99437.755102040828</v>
      </c>
      <c r="T41" t="str">
        <f t="shared" si="17"/>
        <v xml:space="preserve">4 Descuentos (Transbordo) </v>
      </c>
      <c r="U41">
        <f t="shared" si="18"/>
        <v>12</v>
      </c>
      <c r="Y41" t="str">
        <f>TRIM(Tabla2[[#This Row],[CONDUCTOR]])</f>
        <v>GONZALEZ IPUANA RENE</v>
      </c>
    </row>
    <row r="42" spans="2:25" s="2" customFormat="1" ht="22.5" x14ac:dyDescent="0.3">
      <c r="B42" s="136" t="s">
        <v>121</v>
      </c>
      <c r="C42" s="137">
        <v>39</v>
      </c>
      <c r="D42" s="136" t="s">
        <v>183</v>
      </c>
      <c r="E42" s="150">
        <v>11</v>
      </c>
      <c r="F42" s="150">
        <v>0</v>
      </c>
      <c r="G42" s="374">
        <v>201</v>
      </c>
      <c r="H42" s="375">
        <f t="shared" si="9"/>
        <v>18.272727272727273</v>
      </c>
      <c r="I42" s="376">
        <f t="shared" si="10"/>
        <v>231.97278911564626</v>
      </c>
      <c r="J42" s="377">
        <f>+Tabla2[[#This Row],[PROM DE USUARIOS]]-Tabla2[[#This Row],[USUARIOS]]</f>
        <v>30.972789115646265</v>
      </c>
      <c r="K42" s="378" t="s">
        <v>207</v>
      </c>
      <c r="L42" s="163">
        <f t="shared" si="11"/>
        <v>129269.08163265306</v>
      </c>
      <c r="M42" s="162" t="str">
        <f>+VLOOKUP(C42,Lista!B:D,3,0)</f>
        <v>MICRO</v>
      </c>
      <c r="N42" s="365">
        <f t="shared" si="2"/>
        <v>11342.5</v>
      </c>
      <c r="O42" s="50">
        <f t="shared" si="12"/>
        <v>11</v>
      </c>
      <c r="P42" s="47">
        <f t="shared" si="13"/>
        <v>220.97278911564626</v>
      </c>
      <c r="Q42" s="49">
        <f t="shared" si="14"/>
        <v>190</v>
      </c>
      <c r="R42" s="51">
        <f t="shared" si="15"/>
        <v>220.97278911564626</v>
      </c>
      <c r="S42" s="46">
        <f t="shared" si="16"/>
        <v>121535.03401360544</v>
      </c>
      <c r="T42" s="2" t="str">
        <f t="shared" si="17"/>
        <v>14 Descuentos (transbordo, despachador, conduct y usuario movilidad reducida)</v>
      </c>
      <c r="U42" s="2">
        <f t="shared" si="18"/>
        <v>8</v>
      </c>
      <c r="Y42" s="2" t="str">
        <f>TRIM(Tabla2[[#This Row],[CONDUCTOR]])</f>
        <v>HINCAPIE VILLA JUAN ESTIVEN</v>
      </c>
    </row>
    <row r="43" spans="2:25" x14ac:dyDescent="0.3">
      <c r="B43" s="136" t="s">
        <v>122</v>
      </c>
      <c r="C43" s="166">
        <v>40</v>
      </c>
      <c r="D43" s="151" t="s">
        <v>157</v>
      </c>
      <c r="E43" s="150">
        <v>8.5</v>
      </c>
      <c r="F43" s="150">
        <v>0.5</v>
      </c>
      <c r="G43" s="165">
        <v>226</v>
      </c>
      <c r="H43" s="226">
        <f t="shared" si="9"/>
        <v>26.588235294117649</v>
      </c>
      <c r="I43" s="227">
        <f t="shared" si="10"/>
        <v>179.25170068027211</v>
      </c>
      <c r="J43" s="363">
        <f>+Tabla2[[#This Row],[PROM DE USUARIOS]]-Tabla2[[#This Row],[USUARIOS]]</f>
        <v>-46.748299319727892</v>
      </c>
      <c r="K43" s="151"/>
      <c r="L43" s="163">
        <f t="shared" si="11"/>
        <v>99889.744897959186</v>
      </c>
      <c r="M43" s="162" t="str">
        <f>+VLOOKUP(C43,Lista!B:D,3,0)</f>
        <v>MICRO</v>
      </c>
      <c r="N43" s="365">
        <f t="shared" si="2"/>
        <v>11342.5</v>
      </c>
      <c r="O43" s="50">
        <f t="shared" si="12"/>
        <v>8.5</v>
      </c>
      <c r="P43" s="47">
        <f t="shared" si="13"/>
        <v>170.75170068027211</v>
      </c>
      <c r="Q43" s="49">
        <f t="shared" si="14"/>
        <v>217.5</v>
      </c>
      <c r="R43" s="51">
        <f t="shared" si="15"/>
        <v>170.75170068027211</v>
      </c>
      <c r="S43" s="46">
        <f t="shared" si="16"/>
        <v>93913.43537414966</v>
      </c>
      <c r="T43" t="str">
        <f t="shared" si="17"/>
        <v/>
      </c>
      <c r="U43">
        <f t="shared" si="18"/>
        <v>38</v>
      </c>
      <c r="Y43" t="str">
        <f>TRIM(Tabla2[[#This Row],[CONDUCTOR]])</f>
        <v>OCAMPO OCAMPO ANTONIO JOSE</v>
      </c>
    </row>
    <row r="44" spans="2:25" x14ac:dyDescent="0.3">
      <c r="B44" s="136" t="s">
        <v>121</v>
      </c>
      <c r="C44" s="166">
        <v>41</v>
      </c>
      <c r="D44" s="151" t="s">
        <v>179</v>
      </c>
      <c r="E44" s="150">
        <v>10</v>
      </c>
      <c r="F44" s="150">
        <v>0</v>
      </c>
      <c r="G44" s="146">
        <v>188</v>
      </c>
      <c r="H44" s="226">
        <f t="shared" si="9"/>
        <v>18.8</v>
      </c>
      <c r="I44" s="227">
        <f t="shared" si="10"/>
        <v>210.88435374149662</v>
      </c>
      <c r="J44" s="363">
        <f>+Tabla2[[#This Row],[PROM DE USUARIOS]]-Tabla2[[#This Row],[USUARIOS]]</f>
        <v>22.884353741496625</v>
      </c>
      <c r="K44" s="151" t="s">
        <v>201</v>
      </c>
      <c r="L44" s="163">
        <f t="shared" si="11"/>
        <v>117517.34693877553</v>
      </c>
      <c r="M44" s="162">
        <f>+VLOOKUP(C44,Lista!B:D,3,0)</f>
        <v>0</v>
      </c>
      <c r="N44" s="365">
        <f t="shared" si="2"/>
        <v>11342.5</v>
      </c>
      <c r="O44" s="50">
        <f t="shared" si="12"/>
        <v>10</v>
      </c>
      <c r="P44" s="47">
        <f t="shared" si="13"/>
        <v>200.88435374149662</v>
      </c>
      <c r="Q44" s="49">
        <f t="shared" si="14"/>
        <v>178</v>
      </c>
      <c r="R44" s="51">
        <f t="shared" si="15"/>
        <v>200.88435374149662</v>
      </c>
      <c r="S44" s="46">
        <f t="shared" si="16"/>
        <v>110486.39455782315</v>
      </c>
      <c r="T44" t="str">
        <f t="shared" si="17"/>
        <v>2 Descuentos (Conducts)</v>
      </c>
      <c r="U44">
        <f t="shared" si="18"/>
        <v>11</v>
      </c>
      <c r="Y44" t="str">
        <f>TRIM(Tabla2[[#This Row],[CONDUCTOR]])</f>
        <v>GARCIA DAVID WILSON ALBERTO</v>
      </c>
    </row>
    <row r="45" spans="2:25" x14ac:dyDescent="0.3">
      <c r="B45" s="136" t="s">
        <v>122</v>
      </c>
      <c r="C45" s="166">
        <v>42</v>
      </c>
      <c r="D45" s="151" t="s">
        <v>184</v>
      </c>
      <c r="E45" s="150">
        <v>11</v>
      </c>
      <c r="F45" s="150">
        <v>0</v>
      </c>
      <c r="G45" s="165">
        <v>237</v>
      </c>
      <c r="H45" s="226">
        <f t="shared" si="9"/>
        <v>21.545454545454547</v>
      </c>
      <c r="I45" s="227">
        <f t="shared" si="10"/>
        <v>231.97278911564626</v>
      </c>
      <c r="J45" s="363">
        <f>+Tabla2[[#This Row],[PROM DE USUARIOS]]-Tabla2[[#This Row],[USUARIOS]]</f>
        <v>-5.0272108843537353</v>
      </c>
      <c r="K45" s="151" t="s">
        <v>206</v>
      </c>
      <c r="L45" s="163">
        <f t="shared" si="11"/>
        <v>129269.08163265306</v>
      </c>
      <c r="M45" s="162">
        <f>+VLOOKUP(C45,Lista!B:D,3,0)</f>
        <v>0</v>
      </c>
      <c r="N45" s="365">
        <f t="shared" si="2"/>
        <v>11342.5</v>
      </c>
      <c r="O45" s="50">
        <f t="shared" si="12"/>
        <v>11</v>
      </c>
      <c r="P45" s="47">
        <f t="shared" si="13"/>
        <v>220.97278911564626</v>
      </c>
      <c r="Q45" s="49">
        <f t="shared" si="14"/>
        <v>226</v>
      </c>
      <c r="R45" s="51">
        <f t="shared" si="15"/>
        <v>220.97278911564626</v>
      </c>
      <c r="S45" s="46">
        <f t="shared" si="16"/>
        <v>121535.03401360544</v>
      </c>
      <c r="T45" t="str">
        <f t="shared" si="17"/>
        <v xml:space="preserve">6 Descuentos (transbordo) </v>
      </c>
      <c r="U45">
        <f t="shared" si="18"/>
        <v>27</v>
      </c>
      <c r="Y45" t="str">
        <f>TRIM(Tabla2[[#This Row],[CONDUCTOR]])</f>
        <v>LOPERA ALVAREZ ESTIVEN</v>
      </c>
    </row>
    <row r="46" spans="2:25" x14ac:dyDescent="0.3">
      <c r="B46" s="136" t="s">
        <v>121</v>
      </c>
      <c r="C46" s="166">
        <v>43</v>
      </c>
      <c r="D46" s="151" t="s">
        <v>177</v>
      </c>
      <c r="E46" s="150">
        <v>3.5</v>
      </c>
      <c r="F46" s="150">
        <v>0.5</v>
      </c>
      <c r="G46" s="165">
        <v>64</v>
      </c>
      <c r="H46" s="226">
        <f t="shared" si="9"/>
        <v>18.285714285714285</v>
      </c>
      <c r="I46" s="227">
        <f t="shared" si="10"/>
        <v>73.80952380952381</v>
      </c>
      <c r="J46" s="363">
        <f>+Tabla2[[#This Row],[PROM DE USUARIOS]]-Tabla2[[#This Row],[USUARIOS]]</f>
        <v>9.8095238095238102</v>
      </c>
      <c r="K46" s="151"/>
      <c r="L46" s="163">
        <f t="shared" si="11"/>
        <v>41131.071428571428</v>
      </c>
      <c r="M46" s="162">
        <f>+VLOOKUP(C46,Lista!B:D,3,0)</f>
        <v>0</v>
      </c>
      <c r="N46" s="365">
        <f t="shared" si="2"/>
        <v>11342.5</v>
      </c>
      <c r="O46" s="50">
        <f t="shared" si="12"/>
        <v>3.5</v>
      </c>
      <c r="P46" s="47">
        <f t="shared" si="13"/>
        <v>70.30952380952381</v>
      </c>
      <c r="Q46" s="49">
        <f t="shared" si="14"/>
        <v>60.5</v>
      </c>
      <c r="R46" s="51">
        <f t="shared" si="15"/>
        <v>70.30952380952381</v>
      </c>
      <c r="S46" s="46">
        <f t="shared" si="16"/>
        <v>38670.238095238099</v>
      </c>
      <c r="T46" t="str">
        <f t="shared" si="17"/>
        <v/>
      </c>
      <c r="U46">
        <f t="shared" si="18"/>
        <v>9</v>
      </c>
    </row>
    <row r="47" spans="2:25" x14ac:dyDescent="0.3">
      <c r="B47" s="232"/>
      <c r="C47" s="239">
        <f>SUBTOTAL(102,Tabla2[VEH])</f>
        <v>40</v>
      </c>
      <c r="D47" s="233" t="s">
        <v>127</v>
      </c>
      <c r="E47" s="234">
        <f>SUBTOTAL(109,Tabla2[VIAJES])</f>
        <v>367.5</v>
      </c>
      <c r="F47" s="234">
        <f>SUBTOTAL(109,Tabla2[VIAJES PERD.])</f>
        <v>1.5</v>
      </c>
      <c r="G47" s="240">
        <f>SUBTOTAL(109,Tabla2[USUARIOS])</f>
        <v>7750</v>
      </c>
      <c r="H47" s="373">
        <f>+Tabla2[[#Totals],[USUARIOS]]/Tabla2[[#Totals],[VIAJES]]</f>
        <v>21.088435374149661</v>
      </c>
      <c r="I47" s="240">
        <f>SUBTOTAL(109,Tabla2[PROM DE USUARIOS])</f>
        <v>7750.0000000000009</v>
      </c>
      <c r="J47" s="372">
        <f>SUBTOTAL(109,Tabla2[RECIBE / ENTREGA])</f>
        <v>5.8264504332328215E-13</v>
      </c>
      <c r="K47" s="235" t="s">
        <v>208</v>
      </c>
      <c r="L47" s="236"/>
      <c r="M47" s="237"/>
      <c r="N47" s="238">
        <f>SUBTOTAL(109,Tabla2[DIFER. MICRO - BUS ])</f>
        <v>453700</v>
      </c>
      <c r="O47">
        <f>+(E110*1)-V47</f>
        <v>0</v>
      </c>
      <c r="P47" s="134">
        <f>+I110-O47-W47</f>
        <v>0</v>
      </c>
      <c r="Q47" s="11">
        <f>+G110-O47</f>
        <v>0</v>
      </c>
      <c r="R47">
        <f>+E110*$T$3</f>
        <v>0</v>
      </c>
      <c r="S47">
        <f t="shared" ref="S47:S52" si="19">+R47*550</f>
        <v>0</v>
      </c>
      <c r="T47" t="str">
        <f>+IF(K110&lt;&gt;"",K110,"")</f>
        <v/>
      </c>
      <c r="U47" t="e">
        <f>+RANK(H110,$H$6:$H$1048576,1)</f>
        <v>#N/A</v>
      </c>
    </row>
    <row r="48" spans="2:25" x14ac:dyDescent="0.3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>
        <f>+(E111*1)-V48</f>
        <v>0</v>
      </c>
      <c r="P48" s="134">
        <f>+I111-O48-W48</f>
        <v>0</v>
      </c>
      <c r="Q48" s="11">
        <f>+G111-O48</f>
        <v>0</v>
      </c>
      <c r="R48">
        <f>+E111*$T$3</f>
        <v>0</v>
      </c>
      <c r="S48">
        <f t="shared" si="19"/>
        <v>0</v>
      </c>
      <c r="T48" t="str">
        <f>+IF(K111&lt;&gt;"",K111,"")</f>
        <v/>
      </c>
      <c r="U48" t="e">
        <f>+RANK(H111,$H$6:$H$1048576,1)</f>
        <v>#N/A</v>
      </c>
    </row>
    <row r="49" spans="2:21" x14ac:dyDescent="0.3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>
        <f>+(E112*1)-V49</f>
        <v>0</v>
      </c>
      <c r="P49" s="134">
        <f>+I112-O49-W49</f>
        <v>0</v>
      </c>
      <c r="Q49" s="11">
        <f>+G112-O49</f>
        <v>0</v>
      </c>
      <c r="R49">
        <f>+E112*$T$3</f>
        <v>0</v>
      </c>
      <c r="S49">
        <f t="shared" si="19"/>
        <v>0</v>
      </c>
      <c r="T49" t="str">
        <f>+IF(K112&lt;&gt;"",K112,"")</f>
        <v/>
      </c>
      <c r="U49" t="e">
        <f>+RANK(H112,$H$6:$H$1048576,1)</f>
        <v>#N/A</v>
      </c>
    </row>
    <row r="50" spans="2:21" x14ac:dyDescent="0.3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+(E113*1)-V50</f>
        <v>0</v>
      </c>
      <c r="P50" s="134">
        <f>+I113-O50-W50</f>
        <v>0</v>
      </c>
      <c r="Q50" s="11">
        <f>+G113-O50</f>
        <v>0</v>
      </c>
      <c r="R50">
        <f>+E113*$T$3</f>
        <v>0</v>
      </c>
      <c r="S50">
        <f t="shared" si="19"/>
        <v>0</v>
      </c>
      <c r="T50" t="str">
        <f>+IF(K113&lt;&gt;"",K113,"")</f>
        <v/>
      </c>
      <c r="U50" t="e">
        <f>+RANK(H113,$H$6:$H$1048576,1)</f>
        <v>#N/A</v>
      </c>
    </row>
    <row r="51" spans="2:21" x14ac:dyDescent="0.3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+(E114*1)-V51</f>
        <v>0</v>
      </c>
      <c r="P51" s="134">
        <f>+I114-O51-W51</f>
        <v>0</v>
      </c>
      <c r="Q51" s="11">
        <f>+G114-O51</f>
        <v>0</v>
      </c>
      <c r="R51">
        <f>+E114*$T$3</f>
        <v>0</v>
      </c>
      <c r="S51">
        <f t="shared" si="19"/>
        <v>0</v>
      </c>
      <c r="T51" t="str">
        <f>+IF(K114&lt;&gt;"",K114,"")</f>
        <v/>
      </c>
      <c r="U51" t="e">
        <f>+RANK(H114,$H$6:$H$1048576,1)</f>
        <v>#N/A</v>
      </c>
    </row>
    <row r="52" spans="2:21" x14ac:dyDescent="0.3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+(E115*1)-V52</f>
        <v>0</v>
      </c>
      <c r="P52" s="134">
        <f>+I115-O52-W52</f>
        <v>0</v>
      </c>
      <c r="Q52" s="11">
        <f>+G115-O52</f>
        <v>0</v>
      </c>
      <c r="R52">
        <f>+E115*$T$3</f>
        <v>0</v>
      </c>
      <c r="S52">
        <f t="shared" si="19"/>
        <v>0</v>
      </c>
      <c r="T52" t="str">
        <f>+IF(K115&lt;&gt;"",K115,"")</f>
        <v/>
      </c>
      <c r="U52" t="e">
        <f>+RANK(H115,$H$6:$H$1048576,1)</f>
        <v>#N/A</v>
      </c>
    </row>
    <row r="53" spans="2:21" x14ac:dyDescent="0.3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 t="e">
        <f>+(#REF!*1)-V53</f>
        <v>#REF!</v>
      </c>
      <c r="P53" s="134" t="e">
        <f>+#REF!-O53-W53</f>
        <v>#REF!</v>
      </c>
      <c r="Q53" s="11" t="e">
        <f>+#REF!-O53</f>
        <v>#REF!</v>
      </c>
      <c r="R53" t="e">
        <f>+#REF!*$T$3</f>
        <v>#REF!</v>
      </c>
      <c r="S53" t="e">
        <f>+R53*550</f>
        <v>#REF!</v>
      </c>
      <c r="T53" t="e">
        <f>+IF(#REF!&lt;&gt;"",#REF!,"")</f>
        <v>#REF!</v>
      </c>
      <c r="U53" t="e">
        <f>+RANK(#REF!,$H$6:$H$1048576,1)</f>
        <v>#REF!</v>
      </c>
    </row>
    <row r="54" spans="2:21" x14ac:dyDescent="0.3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 t="e">
        <f>+(#REF!*1)-V54</f>
        <v>#REF!</v>
      </c>
      <c r="P54" s="134" t="e">
        <f>+#REF!-O54-W54</f>
        <v>#REF!</v>
      </c>
      <c r="Q54" s="11" t="e">
        <f>+#REF!-O54</f>
        <v>#REF!</v>
      </c>
      <c r="R54" t="e">
        <f>+#REF!*$T$3</f>
        <v>#REF!</v>
      </c>
      <c r="S54" t="e">
        <f>+R54*550</f>
        <v>#REF!</v>
      </c>
      <c r="T54" t="e">
        <f>+IF(#REF!&lt;&gt;"",#REF!,"")</f>
        <v>#REF!</v>
      </c>
      <c r="U54" t="e">
        <f>+RANK(#REF!,$H$6:$H$1048576,1)</f>
        <v>#REF!</v>
      </c>
    </row>
    <row r="55" spans="2:21" x14ac:dyDescent="0.3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 t="e">
        <f>+(#REF!*1)-V55</f>
        <v>#REF!</v>
      </c>
      <c r="P55" s="134" t="e">
        <f>+#REF!-O55-W55</f>
        <v>#REF!</v>
      </c>
      <c r="Q55" s="11" t="e">
        <f>+#REF!-O55</f>
        <v>#REF!</v>
      </c>
      <c r="R55" t="e">
        <f>+#REF!*$T$3</f>
        <v>#REF!</v>
      </c>
      <c r="S55" t="e">
        <f>+R55*550</f>
        <v>#REF!</v>
      </c>
      <c r="T55" t="e">
        <f>+IF(#REF!&lt;&gt;"",#REF!,"")</f>
        <v>#REF!</v>
      </c>
      <c r="U55" t="e">
        <f>+RANK(#REF!,$H$6:$H$1048576,1)</f>
        <v>#REF!</v>
      </c>
    </row>
    <row r="56" spans="2:21" x14ac:dyDescent="0.3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3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3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 t="shared" ref="S58:S66" si="20"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3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 t="shared" si="20"/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3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 t="shared" si="20"/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3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si="20"/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3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>
        <f>+(E79*1)-V62</f>
        <v>0</v>
      </c>
      <c r="P62" s="134">
        <f>+I79-O62-W62</f>
        <v>0</v>
      </c>
      <c r="Q62" s="11">
        <f>+G79-O62</f>
        <v>0</v>
      </c>
      <c r="R62">
        <f>+E79*$T$3</f>
        <v>0</v>
      </c>
      <c r="S62">
        <f t="shared" si="20"/>
        <v>0</v>
      </c>
      <c r="T62" t="str">
        <f>+IF(K79&lt;&gt;"",K79,"")</f>
        <v/>
      </c>
      <c r="U62" t="e">
        <f>+RANK(H79,$H$6:$H$1048576,1)</f>
        <v>#N/A</v>
      </c>
    </row>
    <row r="63" spans="2:21" x14ac:dyDescent="0.3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>
        <f>+(E80*1)-V63</f>
        <v>0</v>
      </c>
      <c r="P63" s="134">
        <f>+I80-O63-W63</f>
        <v>0</v>
      </c>
      <c r="Q63" s="11">
        <f>+G80-O63</f>
        <v>0</v>
      </c>
      <c r="R63">
        <f>+E80*$T$3</f>
        <v>0</v>
      </c>
      <c r="S63">
        <f t="shared" si="20"/>
        <v>0</v>
      </c>
      <c r="T63" t="str">
        <f>+IF(K80&lt;&gt;"",K80,"")</f>
        <v/>
      </c>
      <c r="U63" t="e">
        <f>+RANK(H80,$H$6:$H$1048576,1)</f>
        <v>#N/A</v>
      </c>
    </row>
    <row r="64" spans="2:21" x14ac:dyDescent="0.3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>
        <f>+(E81*1)-V64</f>
        <v>0</v>
      </c>
      <c r="P64" s="134">
        <f>+I81-O64-W64</f>
        <v>0</v>
      </c>
      <c r="Q64" s="11">
        <f>+G81-O64</f>
        <v>0</v>
      </c>
      <c r="R64">
        <f>+E81*$T$3</f>
        <v>0</v>
      </c>
      <c r="S64">
        <f t="shared" si="20"/>
        <v>0</v>
      </c>
      <c r="T64" t="str">
        <f>+IF(K81&lt;&gt;"",K81,"")</f>
        <v/>
      </c>
      <c r="U64" t="e">
        <f>+RANK(H81,$H$6:$H$1048576,1)</f>
        <v>#N/A</v>
      </c>
    </row>
    <row r="65" spans="2:21" x14ac:dyDescent="0.3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+(E82*1)-V65</f>
        <v>0</v>
      </c>
      <c r="P65" s="134">
        <f>+I82-O65-W65</f>
        <v>0</v>
      </c>
      <c r="Q65" s="11">
        <f>+G82-O65</f>
        <v>0</v>
      </c>
      <c r="R65">
        <f>+E82*$T$3</f>
        <v>0</v>
      </c>
      <c r="S65">
        <f t="shared" si="20"/>
        <v>0</v>
      </c>
      <c r="T65" t="str">
        <f>+IF(K82&lt;&gt;"",K82,"")</f>
        <v/>
      </c>
      <c r="U65" t="e">
        <f>+RANK(H82,$H$6:$H$1048576,1)</f>
        <v>#N/A</v>
      </c>
    </row>
    <row r="66" spans="2:21" x14ac:dyDescent="0.3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+(E83*1)-V66</f>
        <v>0</v>
      </c>
      <c r="P66" s="134">
        <f>+I83-O66-W66</f>
        <v>0</v>
      </c>
      <c r="Q66" s="11">
        <f>+G83-O66</f>
        <v>0</v>
      </c>
      <c r="R66">
        <f>+E83*$T$3</f>
        <v>0</v>
      </c>
      <c r="S66">
        <f t="shared" si="20"/>
        <v>0</v>
      </c>
      <c r="T66" t="str">
        <f>+IF(K83&lt;&gt;"",K83,"")</f>
        <v/>
      </c>
      <c r="U66" t="e">
        <f>+RANK(H83,$H$6:$H$1048576,1)</f>
        <v>#N/A</v>
      </c>
    </row>
    <row r="67" spans="2:21" x14ac:dyDescent="0.3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</row>
    <row r="68" spans="2:21" x14ac:dyDescent="0.3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</row>
    <row r="69" spans="2:21" x14ac:dyDescent="0.3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</row>
    <row r="70" spans="2:21" x14ac:dyDescent="0.3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3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3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3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3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3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3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3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3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3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3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3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3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3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3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3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3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3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3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3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3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3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3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3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3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3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3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3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3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3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3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3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3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3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3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3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3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3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3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3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3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3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3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3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3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3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3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3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3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3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3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3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3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3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3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3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3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3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3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3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3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3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3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3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3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3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3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3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3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3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3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3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3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3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3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3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3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3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3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3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3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3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3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3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3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3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3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3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3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3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3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3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3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3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3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3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3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3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3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3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3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3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3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3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3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3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3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3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3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3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3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3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3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3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3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3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3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3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3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3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3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3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3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3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3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3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3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3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3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3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3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3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3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3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3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3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3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3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3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3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3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3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3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3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3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3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3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3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3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3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3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3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3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3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3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3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3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3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3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3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3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3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3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3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3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3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3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3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3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3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3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3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3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3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3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3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3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3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3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3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3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3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3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3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3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3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3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3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3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3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3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3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3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3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3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3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3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3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3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3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3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3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3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3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3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3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3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3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3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3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3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3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3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3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3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3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3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3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3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3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3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3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3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3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3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3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3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3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3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3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3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3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3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3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3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3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3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3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3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3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3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3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3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3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3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3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3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3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3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3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3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3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3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3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3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3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3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3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3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3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3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3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3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3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3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3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3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3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3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3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3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3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3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3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3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3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3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3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3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3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3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3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3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3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3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3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3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3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3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3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3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3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3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3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3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3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3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3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3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3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3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3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3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3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3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3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3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3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3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3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3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3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3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3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3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3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3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3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3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3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3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3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3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3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3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3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3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3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3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3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3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3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3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3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3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3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3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3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3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3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3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3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3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3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3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3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3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3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3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3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3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3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3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3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3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3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3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3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3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3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3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3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3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3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3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3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3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3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3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3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3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3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3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3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3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3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3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3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3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3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3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3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3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3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3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3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3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3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3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3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3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3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3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3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3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3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3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3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3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3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3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3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3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3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3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3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3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3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3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3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3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3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3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3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3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3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3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3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3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3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3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3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3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3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3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3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3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3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3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3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3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3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3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3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3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3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3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3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3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3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3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3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3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3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3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3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3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3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3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3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3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3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3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3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3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3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3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3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3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3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3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3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3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3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3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3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3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3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3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3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3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3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3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3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3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3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3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3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3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3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3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3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3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3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3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3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3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3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3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3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3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3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3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3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3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3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3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3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3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3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3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3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3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3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3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3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3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3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3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3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3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3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3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3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3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3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3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3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3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3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3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3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3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3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3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3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3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3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3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3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3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3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3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3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3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3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3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3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3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3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3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3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3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3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3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3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3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3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3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3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3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3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3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3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3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3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3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3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3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3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3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3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3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3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3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3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3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3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3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3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3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3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3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3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3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3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3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3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3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3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3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3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3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3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3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3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3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3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3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3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3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3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3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3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3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3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3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3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3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3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3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3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3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3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3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3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3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3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3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3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3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3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3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3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3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3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3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3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3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3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3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3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3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3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3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3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3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3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3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3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3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3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3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3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3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3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3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3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3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3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3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3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3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3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3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3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3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3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3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3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3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3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3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3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3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3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3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3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3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3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3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3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3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3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3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3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3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3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3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3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3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3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3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3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3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3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3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3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3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3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3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3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3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3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3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3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3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3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3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3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3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3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3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3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3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3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3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3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3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3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3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3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3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3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3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3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3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3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3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3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3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3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3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3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3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3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3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3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3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3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3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3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3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3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3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3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3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3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3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3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3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3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3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3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3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3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3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3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3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3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3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3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3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3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3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3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3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3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3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3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3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3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3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3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3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3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3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3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3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3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3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3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3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3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3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3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3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3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3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3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3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3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3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3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3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3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3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3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3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3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3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3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3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3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3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3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3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3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3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3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3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3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3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3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3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3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3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3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3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3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3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3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3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3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3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3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3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3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3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3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3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3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3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3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3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3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3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3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3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3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3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3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3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3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3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3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3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3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3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3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3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3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3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3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3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3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3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3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3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3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3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3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3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3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3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3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3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3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3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3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3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3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3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3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3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3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3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3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3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3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3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3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3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3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3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3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3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3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3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3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3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3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3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3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3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3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3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3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3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3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3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3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3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3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3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3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3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3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3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3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3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3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3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3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3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3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3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3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3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3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3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3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3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3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3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3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3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3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3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3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3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3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3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3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3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3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3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3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3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3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3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3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3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3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3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3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3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3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3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3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3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3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3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3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3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3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3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3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3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3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3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3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3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3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3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3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3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3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3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3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3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3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3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3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3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3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3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3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3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3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3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3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3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3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3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3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3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3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3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3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3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3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3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3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3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3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3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3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3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3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3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3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3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3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3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3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3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3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3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3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3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3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3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3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3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3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3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3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3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3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3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3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3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3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3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3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3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3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3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3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3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3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3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3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3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3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3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3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3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3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3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3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3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3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3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3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3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3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3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3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3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3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3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3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3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3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3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3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3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3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3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3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3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3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3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3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3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3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3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3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3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3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3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3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3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3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3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3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3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3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3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3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3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3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3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3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3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3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3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3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3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3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3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3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3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3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3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3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3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3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3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3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3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3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3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3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3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3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3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3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3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3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3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3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3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3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3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3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3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3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3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3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3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3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3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3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3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3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3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3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3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3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3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3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3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3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3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3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3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3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3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3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3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3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3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3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3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3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3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3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3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3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3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3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3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3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3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3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3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3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3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3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3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3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3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3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3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3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3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3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3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3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3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3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3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3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3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3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3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3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3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3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3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3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3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3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3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3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3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3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3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3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3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3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3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3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3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3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3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3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3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3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3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3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3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3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3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3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3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x14ac:dyDescent="0.3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x14ac:dyDescent="0.3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x14ac:dyDescent="0.3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x14ac:dyDescent="0.3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x14ac:dyDescent="0.3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3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3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3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x14ac:dyDescent="0.3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x14ac:dyDescent="0.3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x14ac:dyDescent="0.3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x14ac:dyDescent="0.3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x14ac:dyDescent="0.3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x14ac:dyDescent="0.3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x14ac:dyDescent="0.3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x14ac:dyDescent="0.3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x14ac:dyDescent="0.3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x14ac:dyDescent="0.3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x14ac:dyDescent="0.3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x14ac:dyDescent="0.3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x14ac:dyDescent="0.3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x14ac:dyDescent="0.3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x14ac:dyDescent="0.3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x14ac:dyDescent="0.3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x14ac:dyDescent="0.3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x14ac:dyDescent="0.3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x14ac:dyDescent="0.3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x14ac:dyDescent="0.3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x14ac:dyDescent="0.3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x14ac:dyDescent="0.3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3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x14ac:dyDescent="0.3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x14ac:dyDescent="0.3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x14ac:dyDescent="0.3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x14ac:dyDescent="0.3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x14ac:dyDescent="0.3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x14ac:dyDescent="0.3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x14ac:dyDescent="0.3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x14ac:dyDescent="0.3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x14ac:dyDescent="0.3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x14ac:dyDescent="0.3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x14ac:dyDescent="0.3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x14ac:dyDescent="0.3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x14ac:dyDescent="0.3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x14ac:dyDescent="0.3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x14ac:dyDescent="0.3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x14ac:dyDescent="0.3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3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3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3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x14ac:dyDescent="0.3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3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x14ac:dyDescent="0.3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x14ac:dyDescent="0.3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x14ac:dyDescent="0.3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x14ac:dyDescent="0.3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x14ac:dyDescent="0.3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x14ac:dyDescent="0.3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x14ac:dyDescent="0.3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x14ac:dyDescent="0.3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x14ac:dyDescent="0.3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x14ac:dyDescent="0.3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x14ac:dyDescent="0.3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x14ac:dyDescent="0.3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x14ac:dyDescent="0.3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x14ac:dyDescent="0.3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x14ac:dyDescent="0.3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x14ac:dyDescent="0.3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x14ac:dyDescent="0.3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x14ac:dyDescent="0.3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x14ac:dyDescent="0.3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x14ac:dyDescent="0.3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x14ac:dyDescent="0.3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x14ac:dyDescent="0.3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x14ac:dyDescent="0.3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x14ac:dyDescent="0.3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x14ac:dyDescent="0.3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x14ac:dyDescent="0.3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x14ac:dyDescent="0.3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x14ac:dyDescent="0.3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x14ac:dyDescent="0.3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x14ac:dyDescent="0.3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x14ac:dyDescent="0.3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x14ac:dyDescent="0.3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x14ac:dyDescent="0.3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x14ac:dyDescent="0.3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x14ac:dyDescent="0.3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x14ac:dyDescent="0.3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x14ac:dyDescent="0.3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x14ac:dyDescent="0.3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x14ac:dyDescent="0.3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x14ac:dyDescent="0.3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x14ac:dyDescent="0.3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x14ac:dyDescent="0.3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x14ac:dyDescent="0.3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3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x14ac:dyDescent="0.3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x14ac:dyDescent="0.3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x14ac:dyDescent="0.3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x14ac:dyDescent="0.3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x14ac:dyDescent="0.3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x14ac:dyDescent="0.3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x14ac:dyDescent="0.3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x14ac:dyDescent="0.3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x14ac:dyDescent="0.3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x14ac:dyDescent="0.3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x14ac:dyDescent="0.3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x14ac:dyDescent="0.3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x14ac:dyDescent="0.3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x14ac:dyDescent="0.3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x14ac:dyDescent="0.3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x14ac:dyDescent="0.3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x14ac:dyDescent="0.3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x14ac:dyDescent="0.3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x14ac:dyDescent="0.3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x14ac:dyDescent="0.3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x14ac:dyDescent="0.3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x14ac:dyDescent="0.3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x14ac:dyDescent="0.3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x14ac:dyDescent="0.3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x14ac:dyDescent="0.3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x14ac:dyDescent="0.3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x14ac:dyDescent="0.3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x14ac:dyDescent="0.3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x14ac:dyDescent="0.3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x14ac:dyDescent="0.3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x14ac:dyDescent="0.3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x14ac:dyDescent="0.3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x14ac:dyDescent="0.3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3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x14ac:dyDescent="0.3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x14ac:dyDescent="0.3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x14ac:dyDescent="0.3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x14ac:dyDescent="0.3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x14ac:dyDescent="0.3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x14ac:dyDescent="0.3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x14ac:dyDescent="0.3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x14ac:dyDescent="0.3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x14ac:dyDescent="0.3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x14ac:dyDescent="0.3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x14ac:dyDescent="0.3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x14ac:dyDescent="0.3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x14ac:dyDescent="0.3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x14ac:dyDescent="0.3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x14ac:dyDescent="0.3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x14ac:dyDescent="0.3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x14ac:dyDescent="0.3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x14ac:dyDescent="0.3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x14ac:dyDescent="0.3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x14ac:dyDescent="0.3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x14ac:dyDescent="0.3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x14ac:dyDescent="0.3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x14ac:dyDescent="0.3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x14ac:dyDescent="0.3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x14ac:dyDescent="0.3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x14ac:dyDescent="0.3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x14ac:dyDescent="0.3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x14ac:dyDescent="0.3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x14ac:dyDescent="0.3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x14ac:dyDescent="0.3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x14ac:dyDescent="0.3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x14ac:dyDescent="0.3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x14ac:dyDescent="0.3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x14ac:dyDescent="0.3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x14ac:dyDescent="0.3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x14ac:dyDescent="0.3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x14ac:dyDescent="0.3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x14ac:dyDescent="0.3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x14ac:dyDescent="0.3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x14ac:dyDescent="0.3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x14ac:dyDescent="0.3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x14ac:dyDescent="0.3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x14ac:dyDescent="0.3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x14ac:dyDescent="0.3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x14ac:dyDescent="0.3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x14ac:dyDescent="0.3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x14ac:dyDescent="0.3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x14ac:dyDescent="0.3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x14ac:dyDescent="0.3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x14ac:dyDescent="0.3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x14ac:dyDescent="0.3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x14ac:dyDescent="0.3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x14ac:dyDescent="0.3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x14ac:dyDescent="0.3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x14ac:dyDescent="0.3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x14ac:dyDescent="0.3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x14ac:dyDescent="0.3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x14ac:dyDescent="0.3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x14ac:dyDescent="0.3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x14ac:dyDescent="0.3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x14ac:dyDescent="0.3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x14ac:dyDescent="0.3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x14ac:dyDescent="0.3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x14ac:dyDescent="0.3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x14ac:dyDescent="0.3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x14ac:dyDescent="0.3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x14ac:dyDescent="0.3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x14ac:dyDescent="0.3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x14ac:dyDescent="0.3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x14ac:dyDescent="0.3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x14ac:dyDescent="0.3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x14ac:dyDescent="0.3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x14ac:dyDescent="0.3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x14ac:dyDescent="0.3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x14ac:dyDescent="0.3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x14ac:dyDescent="0.3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x14ac:dyDescent="0.3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x14ac:dyDescent="0.3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x14ac:dyDescent="0.3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x14ac:dyDescent="0.3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x14ac:dyDescent="0.3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x14ac:dyDescent="0.3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x14ac:dyDescent="0.3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x14ac:dyDescent="0.3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x14ac:dyDescent="0.3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x14ac:dyDescent="0.3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x14ac:dyDescent="0.3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x14ac:dyDescent="0.3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x14ac:dyDescent="0.3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x14ac:dyDescent="0.3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x14ac:dyDescent="0.3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x14ac:dyDescent="0.3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x14ac:dyDescent="0.3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x14ac:dyDescent="0.3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x14ac:dyDescent="0.3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x14ac:dyDescent="0.3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x14ac:dyDescent="0.3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x14ac:dyDescent="0.3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x14ac:dyDescent="0.3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x14ac:dyDescent="0.3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x14ac:dyDescent="0.3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x14ac:dyDescent="0.3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x14ac:dyDescent="0.3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x14ac:dyDescent="0.3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x14ac:dyDescent="0.3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x14ac:dyDescent="0.3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x14ac:dyDescent="0.3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x14ac:dyDescent="0.3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x14ac:dyDescent="0.3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x14ac:dyDescent="0.3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x14ac:dyDescent="0.3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x14ac:dyDescent="0.3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x14ac:dyDescent="0.3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x14ac:dyDescent="0.3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x14ac:dyDescent="0.3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x14ac:dyDescent="0.3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x14ac:dyDescent="0.3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x14ac:dyDescent="0.3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x14ac:dyDescent="0.3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x14ac:dyDescent="0.3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x14ac:dyDescent="0.3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x14ac:dyDescent="0.3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x14ac:dyDescent="0.3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x14ac:dyDescent="0.3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x14ac:dyDescent="0.3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x14ac:dyDescent="0.3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x14ac:dyDescent="0.3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x14ac:dyDescent="0.3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x14ac:dyDescent="0.3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x14ac:dyDescent="0.3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x14ac:dyDescent="0.3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x14ac:dyDescent="0.3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x14ac:dyDescent="0.3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x14ac:dyDescent="0.3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x14ac:dyDescent="0.3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x14ac:dyDescent="0.3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x14ac:dyDescent="0.3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x14ac:dyDescent="0.3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x14ac:dyDescent="0.3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x14ac:dyDescent="0.3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x14ac:dyDescent="0.3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x14ac:dyDescent="0.3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x14ac:dyDescent="0.3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x14ac:dyDescent="0.3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x14ac:dyDescent="0.3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x14ac:dyDescent="0.3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x14ac:dyDescent="0.3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x14ac:dyDescent="0.3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x14ac:dyDescent="0.3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x14ac:dyDescent="0.3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x14ac:dyDescent="0.3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x14ac:dyDescent="0.3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x14ac:dyDescent="0.3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x14ac:dyDescent="0.3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x14ac:dyDescent="0.3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x14ac:dyDescent="0.3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x14ac:dyDescent="0.3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x14ac:dyDescent="0.3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x14ac:dyDescent="0.3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x14ac:dyDescent="0.3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x14ac:dyDescent="0.3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x14ac:dyDescent="0.3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x14ac:dyDescent="0.3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x14ac:dyDescent="0.3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x14ac:dyDescent="0.3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x14ac:dyDescent="0.3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x14ac:dyDescent="0.3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x14ac:dyDescent="0.3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x14ac:dyDescent="0.3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x14ac:dyDescent="0.3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x14ac:dyDescent="0.3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x14ac:dyDescent="0.3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x14ac:dyDescent="0.3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3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x14ac:dyDescent="0.3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x14ac:dyDescent="0.3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x14ac:dyDescent="0.3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x14ac:dyDescent="0.3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x14ac:dyDescent="0.3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x14ac:dyDescent="0.3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x14ac:dyDescent="0.3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x14ac:dyDescent="0.3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x14ac:dyDescent="0.3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x14ac:dyDescent="0.3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x14ac:dyDescent="0.3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x14ac:dyDescent="0.3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x14ac:dyDescent="0.3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x14ac:dyDescent="0.3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x14ac:dyDescent="0.3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x14ac:dyDescent="0.3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x14ac:dyDescent="0.3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x14ac:dyDescent="0.3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x14ac:dyDescent="0.3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x14ac:dyDescent="0.3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x14ac:dyDescent="0.3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x14ac:dyDescent="0.3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x14ac:dyDescent="0.3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x14ac:dyDescent="0.3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x14ac:dyDescent="0.3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x14ac:dyDescent="0.3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x14ac:dyDescent="0.3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x14ac:dyDescent="0.3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x14ac:dyDescent="0.3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x14ac:dyDescent="0.3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x14ac:dyDescent="0.3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x14ac:dyDescent="0.3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x14ac:dyDescent="0.3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x14ac:dyDescent="0.3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x14ac:dyDescent="0.3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x14ac:dyDescent="0.3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x14ac:dyDescent="0.3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x14ac:dyDescent="0.3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x14ac:dyDescent="0.3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x14ac:dyDescent="0.3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x14ac:dyDescent="0.3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x14ac:dyDescent="0.3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x14ac:dyDescent="0.3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x14ac:dyDescent="0.3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x14ac:dyDescent="0.3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x14ac:dyDescent="0.3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x14ac:dyDescent="0.3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x14ac:dyDescent="0.3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x14ac:dyDescent="0.3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x14ac:dyDescent="0.3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x14ac:dyDescent="0.3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x14ac:dyDescent="0.3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x14ac:dyDescent="0.3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x14ac:dyDescent="0.3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x14ac:dyDescent="0.3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x14ac:dyDescent="0.3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x14ac:dyDescent="0.3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x14ac:dyDescent="0.3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x14ac:dyDescent="0.3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x14ac:dyDescent="0.3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x14ac:dyDescent="0.3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x14ac:dyDescent="0.3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x14ac:dyDescent="0.3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x14ac:dyDescent="0.3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x14ac:dyDescent="0.3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x14ac:dyDescent="0.3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x14ac:dyDescent="0.3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x14ac:dyDescent="0.3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x14ac:dyDescent="0.3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x14ac:dyDescent="0.3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x14ac:dyDescent="0.3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x14ac:dyDescent="0.3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x14ac:dyDescent="0.3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x14ac:dyDescent="0.3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x14ac:dyDescent="0.3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x14ac:dyDescent="0.3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x14ac:dyDescent="0.3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x14ac:dyDescent="0.3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x14ac:dyDescent="0.3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x14ac:dyDescent="0.3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x14ac:dyDescent="0.3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x14ac:dyDescent="0.3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x14ac:dyDescent="0.3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x14ac:dyDescent="0.3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x14ac:dyDescent="0.3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x14ac:dyDescent="0.3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x14ac:dyDescent="0.3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x14ac:dyDescent="0.3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x14ac:dyDescent="0.3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x14ac:dyDescent="0.3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x14ac:dyDescent="0.3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x14ac:dyDescent="0.3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x14ac:dyDescent="0.3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x14ac:dyDescent="0.3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x14ac:dyDescent="0.3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x14ac:dyDescent="0.3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x14ac:dyDescent="0.3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x14ac:dyDescent="0.3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x14ac:dyDescent="0.3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x14ac:dyDescent="0.3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x14ac:dyDescent="0.3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x14ac:dyDescent="0.3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x14ac:dyDescent="0.3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x14ac:dyDescent="0.3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x14ac:dyDescent="0.3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x14ac:dyDescent="0.3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x14ac:dyDescent="0.3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x14ac:dyDescent="0.3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x14ac:dyDescent="0.3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x14ac:dyDescent="0.3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x14ac:dyDescent="0.3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x14ac:dyDescent="0.3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x14ac:dyDescent="0.3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x14ac:dyDescent="0.3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x14ac:dyDescent="0.3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x14ac:dyDescent="0.3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x14ac:dyDescent="0.3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x14ac:dyDescent="0.3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x14ac:dyDescent="0.3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x14ac:dyDescent="0.3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x14ac:dyDescent="0.3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x14ac:dyDescent="0.3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x14ac:dyDescent="0.3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x14ac:dyDescent="0.3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x14ac:dyDescent="0.3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x14ac:dyDescent="0.3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x14ac:dyDescent="0.3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x14ac:dyDescent="0.3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x14ac:dyDescent="0.3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x14ac:dyDescent="0.3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x14ac:dyDescent="0.3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x14ac:dyDescent="0.3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x14ac:dyDescent="0.3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x14ac:dyDescent="0.3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x14ac:dyDescent="0.3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x14ac:dyDescent="0.3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x14ac:dyDescent="0.3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x14ac:dyDescent="0.3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x14ac:dyDescent="0.3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x14ac:dyDescent="0.3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x14ac:dyDescent="0.3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x14ac:dyDescent="0.3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x14ac:dyDescent="0.3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x14ac:dyDescent="0.3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x14ac:dyDescent="0.3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x14ac:dyDescent="0.3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x14ac:dyDescent="0.3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x14ac:dyDescent="0.3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x14ac:dyDescent="0.3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x14ac:dyDescent="0.3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x14ac:dyDescent="0.3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x14ac:dyDescent="0.3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x14ac:dyDescent="0.3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x14ac:dyDescent="0.3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x14ac:dyDescent="0.3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x14ac:dyDescent="0.3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x14ac:dyDescent="0.3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x14ac:dyDescent="0.3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x14ac:dyDescent="0.3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x14ac:dyDescent="0.3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x14ac:dyDescent="0.3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x14ac:dyDescent="0.3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x14ac:dyDescent="0.3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x14ac:dyDescent="0.3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x14ac:dyDescent="0.3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x14ac:dyDescent="0.3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3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3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3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3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x14ac:dyDescent="0.3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x14ac:dyDescent="0.3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x14ac:dyDescent="0.3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x14ac:dyDescent="0.3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3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3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x14ac:dyDescent="0.3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x14ac:dyDescent="0.3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x14ac:dyDescent="0.3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3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3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3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x14ac:dyDescent="0.3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x14ac:dyDescent="0.3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3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x14ac:dyDescent="0.3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x14ac:dyDescent="0.3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3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x14ac:dyDescent="0.3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x14ac:dyDescent="0.3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x14ac:dyDescent="0.3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x14ac:dyDescent="0.3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x14ac:dyDescent="0.3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x14ac:dyDescent="0.3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x14ac:dyDescent="0.3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x14ac:dyDescent="0.3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x14ac:dyDescent="0.3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x14ac:dyDescent="0.3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x14ac:dyDescent="0.3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x14ac:dyDescent="0.3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x14ac:dyDescent="0.3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x14ac:dyDescent="0.3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x14ac:dyDescent="0.3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x14ac:dyDescent="0.3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x14ac:dyDescent="0.3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x14ac:dyDescent="0.3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x14ac:dyDescent="0.3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x14ac:dyDescent="0.3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x14ac:dyDescent="0.3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x14ac:dyDescent="0.3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3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3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x14ac:dyDescent="0.3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3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x14ac:dyDescent="0.3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3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x14ac:dyDescent="0.3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x14ac:dyDescent="0.3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x14ac:dyDescent="0.3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x14ac:dyDescent="0.3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x14ac:dyDescent="0.3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x14ac:dyDescent="0.3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x14ac:dyDescent="0.3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x14ac:dyDescent="0.3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x14ac:dyDescent="0.3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x14ac:dyDescent="0.3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x14ac:dyDescent="0.3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x14ac:dyDescent="0.3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x14ac:dyDescent="0.3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3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x14ac:dyDescent="0.3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3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3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3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3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3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3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3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x14ac:dyDescent="0.3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x14ac:dyDescent="0.3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x14ac:dyDescent="0.3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x14ac:dyDescent="0.3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x14ac:dyDescent="0.3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x14ac:dyDescent="0.3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x14ac:dyDescent="0.3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x14ac:dyDescent="0.3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x14ac:dyDescent="0.3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x14ac:dyDescent="0.3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x14ac:dyDescent="0.3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x14ac:dyDescent="0.3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x14ac:dyDescent="0.3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x14ac:dyDescent="0.3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x14ac:dyDescent="0.3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3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x14ac:dyDescent="0.3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x14ac:dyDescent="0.3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x14ac:dyDescent="0.3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x14ac:dyDescent="0.3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3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x14ac:dyDescent="0.3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3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3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3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3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x14ac:dyDescent="0.3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3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x14ac:dyDescent="0.3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3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3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x14ac:dyDescent="0.3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x14ac:dyDescent="0.3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x14ac:dyDescent="0.3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3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x14ac:dyDescent="0.3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x14ac:dyDescent="0.3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x14ac:dyDescent="0.3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x14ac:dyDescent="0.3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x14ac:dyDescent="0.3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x14ac:dyDescent="0.3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x14ac:dyDescent="0.3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x14ac:dyDescent="0.3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3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3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3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x14ac:dyDescent="0.3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3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x14ac:dyDescent="0.3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x14ac:dyDescent="0.3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3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x14ac:dyDescent="0.3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3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3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3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3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x14ac:dyDescent="0.3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x14ac:dyDescent="0.3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x14ac:dyDescent="0.3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x14ac:dyDescent="0.3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x14ac:dyDescent="0.3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3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3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3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3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3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3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8:E1177 E7:E46">
    <cfRule type="cellIs" dxfId="30" priority="170" operator="greaterThan">
      <formula>7</formula>
    </cfRule>
  </conditionalFormatting>
  <conditionalFormatting sqref="E1487:E4765">
    <cfRule type="cellIs" dxfId="29" priority="137" operator="greaterThan">
      <formula>7</formula>
    </cfRule>
  </conditionalFormatting>
  <conditionalFormatting sqref="I48:I1249 G48:G50 I7:I46">
    <cfRule type="cellIs" dxfId="2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27" priority="297711" operator="greaterThan">
      <formula>$H$47</formula>
    </cfRule>
  </conditionalFormatting>
  <conditionalFormatting sqref="L7:L1249">
    <cfRule type="top10" dxfId="26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6.5" x14ac:dyDescent="0.3"/>
  <cols>
    <col min="1" max="1" width="1" customWidth="1"/>
    <col min="2" max="2" width="7.25" customWidth="1"/>
    <col min="3" max="3" width="4.25" customWidth="1"/>
    <col min="4" max="4" width="31" customWidth="1"/>
    <col min="5" max="5" width="6.625" customWidth="1"/>
    <col min="6" max="6" width="12.125" customWidth="1"/>
    <col min="7" max="7" width="9.5" style="1" customWidth="1"/>
    <col min="8" max="8" width="8" style="12" customWidth="1"/>
    <col min="9" max="9" width="9.5" style="3" customWidth="1"/>
    <col min="10" max="10" width="32" customWidth="1"/>
    <col min="11" max="11" width="10.625" style="1" customWidth="1"/>
    <col min="12" max="12" width="10.375" customWidth="1"/>
    <col min="13" max="13" width="14.375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customWidth="1"/>
    <col min="23" max="68" width="9.625" customWidth="1"/>
    <col min="69" max="70" width="11.375" customWidth="1"/>
    <col min="71" max="71" width="9.625" customWidth="1"/>
    <col min="72" max="72" width="10.875" customWidth="1"/>
    <col min="73" max="73" width="10.125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4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3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35">
      <c r="I5" s="20"/>
    </row>
    <row r="6" spans="2:75" ht="45" customHeight="1" x14ac:dyDescent="0.3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x14ac:dyDescent="0.3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x14ac:dyDescent="0.3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x14ac:dyDescent="0.3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x14ac:dyDescent="0.3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3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3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3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3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3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3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3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3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x14ac:dyDescent="0.3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x14ac:dyDescent="0.3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x14ac:dyDescent="0.3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x14ac:dyDescent="0.3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x14ac:dyDescent="0.3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x14ac:dyDescent="0.3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x14ac:dyDescent="0.3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x14ac:dyDescent="0.3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x14ac:dyDescent="0.3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x14ac:dyDescent="0.3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x14ac:dyDescent="0.3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x14ac:dyDescent="0.3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x14ac:dyDescent="0.3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x14ac:dyDescent="0.3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x14ac:dyDescent="0.3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x14ac:dyDescent="0.3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x14ac:dyDescent="0.3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x14ac:dyDescent="0.3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x14ac:dyDescent="0.3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x14ac:dyDescent="0.3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x14ac:dyDescent="0.3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x14ac:dyDescent="0.3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x14ac:dyDescent="0.3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x14ac:dyDescent="0.3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3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x14ac:dyDescent="0.3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x14ac:dyDescent="0.3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x14ac:dyDescent="0.3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x14ac:dyDescent="0.3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x14ac:dyDescent="0.3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x14ac:dyDescent="0.3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x14ac:dyDescent="0.3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x14ac:dyDescent="0.3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x14ac:dyDescent="0.3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x14ac:dyDescent="0.3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x14ac:dyDescent="0.3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x14ac:dyDescent="0.3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x14ac:dyDescent="0.3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x14ac:dyDescent="0.3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x14ac:dyDescent="0.3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x14ac:dyDescent="0.3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x14ac:dyDescent="0.3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x14ac:dyDescent="0.3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x14ac:dyDescent="0.3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x14ac:dyDescent="0.3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x14ac:dyDescent="0.3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x14ac:dyDescent="0.3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x14ac:dyDescent="0.3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x14ac:dyDescent="0.3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x14ac:dyDescent="0.3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x14ac:dyDescent="0.3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x14ac:dyDescent="0.3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x14ac:dyDescent="0.3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x14ac:dyDescent="0.3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x14ac:dyDescent="0.3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x14ac:dyDescent="0.3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x14ac:dyDescent="0.3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x14ac:dyDescent="0.3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x14ac:dyDescent="0.3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x14ac:dyDescent="0.3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x14ac:dyDescent="0.3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x14ac:dyDescent="0.3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x14ac:dyDescent="0.3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x14ac:dyDescent="0.3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x14ac:dyDescent="0.3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x14ac:dyDescent="0.3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x14ac:dyDescent="0.3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x14ac:dyDescent="0.3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x14ac:dyDescent="0.3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x14ac:dyDescent="0.3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x14ac:dyDescent="0.3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x14ac:dyDescent="0.3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x14ac:dyDescent="0.3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x14ac:dyDescent="0.3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x14ac:dyDescent="0.3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x14ac:dyDescent="0.3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x14ac:dyDescent="0.3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x14ac:dyDescent="0.3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x14ac:dyDescent="0.3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x14ac:dyDescent="0.3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x14ac:dyDescent="0.3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x14ac:dyDescent="0.3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x14ac:dyDescent="0.3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x14ac:dyDescent="0.3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x14ac:dyDescent="0.3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x14ac:dyDescent="0.3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x14ac:dyDescent="0.3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x14ac:dyDescent="0.3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x14ac:dyDescent="0.3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x14ac:dyDescent="0.3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x14ac:dyDescent="0.3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x14ac:dyDescent="0.3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x14ac:dyDescent="0.3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x14ac:dyDescent="0.3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x14ac:dyDescent="0.3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x14ac:dyDescent="0.3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x14ac:dyDescent="0.3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x14ac:dyDescent="0.3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x14ac:dyDescent="0.3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x14ac:dyDescent="0.3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x14ac:dyDescent="0.3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x14ac:dyDescent="0.3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x14ac:dyDescent="0.3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x14ac:dyDescent="0.3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x14ac:dyDescent="0.3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x14ac:dyDescent="0.3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x14ac:dyDescent="0.3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x14ac:dyDescent="0.3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x14ac:dyDescent="0.3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x14ac:dyDescent="0.3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x14ac:dyDescent="0.3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x14ac:dyDescent="0.3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x14ac:dyDescent="0.3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x14ac:dyDescent="0.3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x14ac:dyDescent="0.3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x14ac:dyDescent="0.3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x14ac:dyDescent="0.3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x14ac:dyDescent="0.3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x14ac:dyDescent="0.3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x14ac:dyDescent="0.3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x14ac:dyDescent="0.3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x14ac:dyDescent="0.3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x14ac:dyDescent="0.3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x14ac:dyDescent="0.3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x14ac:dyDescent="0.3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x14ac:dyDescent="0.3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x14ac:dyDescent="0.3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x14ac:dyDescent="0.3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x14ac:dyDescent="0.3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x14ac:dyDescent="0.3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x14ac:dyDescent="0.3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x14ac:dyDescent="0.3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x14ac:dyDescent="0.3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x14ac:dyDescent="0.3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x14ac:dyDescent="0.3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x14ac:dyDescent="0.3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x14ac:dyDescent="0.3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x14ac:dyDescent="0.3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x14ac:dyDescent="0.3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x14ac:dyDescent="0.3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x14ac:dyDescent="0.3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x14ac:dyDescent="0.3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x14ac:dyDescent="0.3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x14ac:dyDescent="0.3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x14ac:dyDescent="0.3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x14ac:dyDescent="0.3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x14ac:dyDescent="0.3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x14ac:dyDescent="0.3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x14ac:dyDescent="0.3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x14ac:dyDescent="0.3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x14ac:dyDescent="0.3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x14ac:dyDescent="0.3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x14ac:dyDescent="0.3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x14ac:dyDescent="0.3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x14ac:dyDescent="0.3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x14ac:dyDescent="0.3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x14ac:dyDescent="0.3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x14ac:dyDescent="0.3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x14ac:dyDescent="0.3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x14ac:dyDescent="0.3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x14ac:dyDescent="0.3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x14ac:dyDescent="0.3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x14ac:dyDescent="0.3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x14ac:dyDescent="0.3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x14ac:dyDescent="0.3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x14ac:dyDescent="0.3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x14ac:dyDescent="0.3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x14ac:dyDescent="0.3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x14ac:dyDescent="0.3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x14ac:dyDescent="0.3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x14ac:dyDescent="0.3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x14ac:dyDescent="0.3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x14ac:dyDescent="0.3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x14ac:dyDescent="0.3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x14ac:dyDescent="0.3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x14ac:dyDescent="0.3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x14ac:dyDescent="0.3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x14ac:dyDescent="0.3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x14ac:dyDescent="0.3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x14ac:dyDescent="0.3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x14ac:dyDescent="0.3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x14ac:dyDescent="0.3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x14ac:dyDescent="0.3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x14ac:dyDescent="0.3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x14ac:dyDescent="0.3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x14ac:dyDescent="0.3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x14ac:dyDescent="0.3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x14ac:dyDescent="0.3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x14ac:dyDescent="0.3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x14ac:dyDescent="0.3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x14ac:dyDescent="0.3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x14ac:dyDescent="0.3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3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3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x14ac:dyDescent="0.3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x14ac:dyDescent="0.3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x14ac:dyDescent="0.3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x14ac:dyDescent="0.3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x14ac:dyDescent="0.3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x14ac:dyDescent="0.3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3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x14ac:dyDescent="0.3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x14ac:dyDescent="0.3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x14ac:dyDescent="0.3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3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3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x14ac:dyDescent="0.3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x14ac:dyDescent="0.3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x14ac:dyDescent="0.3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3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x14ac:dyDescent="0.3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x14ac:dyDescent="0.3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3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x14ac:dyDescent="0.3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x14ac:dyDescent="0.3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x14ac:dyDescent="0.3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x14ac:dyDescent="0.3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x14ac:dyDescent="0.3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x14ac:dyDescent="0.3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x14ac:dyDescent="0.3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x14ac:dyDescent="0.3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x14ac:dyDescent="0.3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x14ac:dyDescent="0.3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x14ac:dyDescent="0.3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x14ac:dyDescent="0.3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x14ac:dyDescent="0.3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x14ac:dyDescent="0.3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x14ac:dyDescent="0.3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x14ac:dyDescent="0.3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x14ac:dyDescent="0.3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x14ac:dyDescent="0.3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x14ac:dyDescent="0.3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x14ac:dyDescent="0.3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x14ac:dyDescent="0.3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x14ac:dyDescent="0.3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x14ac:dyDescent="0.3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3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x14ac:dyDescent="0.3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x14ac:dyDescent="0.3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x14ac:dyDescent="0.3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x14ac:dyDescent="0.3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x14ac:dyDescent="0.3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x14ac:dyDescent="0.3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x14ac:dyDescent="0.3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x14ac:dyDescent="0.3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x14ac:dyDescent="0.3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x14ac:dyDescent="0.3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x14ac:dyDescent="0.3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x14ac:dyDescent="0.3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x14ac:dyDescent="0.3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x14ac:dyDescent="0.3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x14ac:dyDescent="0.3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x14ac:dyDescent="0.3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x14ac:dyDescent="0.3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3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x14ac:dyDescent="0.3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x14ac:dyDescent="0.3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3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x14ac:dyDescent="0.3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3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3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3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3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x14ac:dyDescent="0.3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x14ac:dyDescent="0.3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x14ac:dyDescent="0.3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x14ac:dyDescent="0.3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x14ac:dyDescent="0.3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x14ac:dyDescent="0.3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x14ac:dyDescent="0.3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x14ac:dyDescent="0.3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x14ac:dyDescent="0.3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x14ac:dyDescent="0.3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x14ac:dyDescent="0.3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x14ac:dyDescent="0.3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x14ac:dyDescent="0.3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x14ac:dyDescent="0.3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x14ac:dyDescent="0.3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x14ac:dyDescent="0.3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x14ac:dyDescent="0.3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x14ac:dyDescent="0.3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x14ac:dyDescent="0.3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x14ac:dyDescent="0.3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x14ac:dyDescent="0.3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x14ac:dyDescent="0.3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3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3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x14ac:dyDescent="0.3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3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x14ac:dyDescent="0.3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3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x14ac:dyDescent="0.3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x14ac:dyDescent="0.3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3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x14ac:dyDescent="0.3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x14ac:dyDescent="0.3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x14ac:dyDescent="0.3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3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x14ac:dyDescent="0.3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x14ac:dyDescent="0.3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x14ac:dyDescent="0.3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x14ac:dyDescent="0.3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x14ac:dyDescent="0.3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x14ac:dyDescent="0.3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x14ac:dyDescent="0.3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x14ac:dyDescent="0.3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3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3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3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x14ac:dyDescent="0.3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3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x14ac:dyDescent="0.3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x14ac:dyDescent="0.3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3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x14ac:dyDescent="0.3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x14ac:dyDescent="0.3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3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3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x14ac:dyDescent="0.3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x14ac:dyDescent="0.3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x14ac:dyDescent="0.3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x14ac:dyDescent="0.3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x14ac:dyDescent="0.3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x14ac:dyDescent="0.3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x14ac:dyDescent="0.3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x14ac:dyDescent="0.3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3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3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3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x14ac:dyDescent="0.3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3"/>
  <sheetData>
    <row r="3" spans="2:9" ht="16.5" x14ac:dyDescent="0.3">
      <c r="B3" s="4" t="s">
        <v>0</v>
      </c>
      <c r="C3" s="5" t="s">
        <v>7</v>
      </c>
      <c r="D3" s="5" t="s">
        <v>8</v>
      </c>
      <c r="F3" s="14" t="s">
        <v>74</v>
      </c>
    </row>
    <row r="4" spans="2:9" ht="16.5" x14ac:dyDescent="0.3">
      <c r="B4" s="6">
        <v>1</v>
      </c>
      <c r="C4" s="7" t="s">
        <v>9</v>
      </c>
      <c r="D4" s="8" t="s">
        <v>47</v>
      </c>
      <c r="F4" t="s">
        <v>73</v>
      </c>
    </row>
    <row r="5" spans="2:9" ht="16.5" x14ac:dyDescent="0.3">
      <c r="B5" s="9">
        <v>2</v>
      </c>
      <c r="C5" s="10" t="s">
        <v>10</v>
      </c>
      <c r="D5" s="10"/>
    </row>
    <row r="6" spans="2:9" ht="16.5" x14ac:dyDescent="0.3">
      <c r="B6" s="6">
        <v>3</v>
      </c>
      <c r="C6" s="8" t="s">
        <v>11</v>
      </c>
      <c r="D6" s="8" t="s">
        <v>47</v>
      </c>
    </row>
    <row r="7" spans="2:9" ht="16.5" x14ac:dyDescent="0.3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ht="16.5" x14ac:dyDescent="0.3">
      <c r="B8" s="6">
        <v>5</v>
      </c>
      <c r="C8" s="8" t="s">
        <v>13</v>
      </c>
      <c r="D8" s="8"/>
      <c r="F8" t="s">
        <v>71</v>
      </c>
      <c r="I8" t="s">
        <v>92</v>
      </c>
    </row>
    <row r="9" spans="2:9" ht="16.5" x14ac:dyDescent="0.3">
      <c r="B9" s="9">
        <v>6</v>
      </c>
      <c r="C9" s="10" t="s">
        <v>14</v>
      </c>
      <c r="D9" s="10" t="s">
        <v>47</v>
      </c>
    </row>
    <row r="10" spans="2:9" ht="16.5" x14ac:dyDescent="0.3">
      <c r="B10" s="6">
        <v>7</v>
      </c>
      <c r="C10" s="8" t="s">
        <v>15</v>
      </c>
      <c r="D10" s="8"/>
      <c r="I10" t="s">
        <v>93</v>
      </c>
    </row>
    <row r="11" spans="2:9" ht="16.5" x14ac:dyDescent="0.3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ht="16.5" x14ac:dyDescent="0.3">
      <c r="B12" s="6">
        <v>9</v>
      </c>
      <c r="C12" s="8" t="s">
        <v>17</v>
      </c>
      <c r="D12" s="8" t="s">
        <v>47</v>
      </c>
      <c r="F12" t="s">
        <v>70</v>
      </c>
    </row>
    <row r="13" spans="2:9" ht="16.5" x14ac:dyDescent="0.3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ht="16.5" x14ac:dyDescent="0.3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ht="16.5" x14ac:dyDescent="0.3">
      <c r="B15" s="9">
        <v>12</v>
      </c>
      <c r="C15" s="10" t="s">
        <v>156</v>
      </c>
      <c r="D15" s="10"/>
    </row>
    <row r="16" spans="2:9" ht="16.5" x14ac:dyDescent="0.3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ht="16.5" x14ac:dyDescent="0.3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ht="16.5" x14ac:dyDescent="0.3">
      <c r="B18" s="6">
        <v>15</v>
      </c>
      <c r="C18" s="8" t="s">
        <v>22</v>
      </c>
      <c r="D18" s="8"/>
    </row>
    <row r="19" spans="2:9" ht="16.5" x14ac:dyDescent="0.3">
      <c r="B19" s="9">
        <v>16</v>
      </c>
      <c r="C19" s="10" t="s">
        <v>23</v>
      </c>
      <c r="D19" s="10" t="s">
        <v>47</v>
      </c>
      <c r="F19" t="s">
        <v>55</v>
      </c>
    </row>
    <row r="20" spans="2:9" ht="16.5" x14ac:dyDescent="0.3">
      <c r="B20" s="6">
        <v>17</v>
      </c>
      <c r="C20" s="8" t="s">
        <v>24</v>
      </c>
      <c r="D20" s="8" t="s">
        <v>47</v>
      </c>
      <c r="F20" t="s">
        <v>56</v>
      </c>
    </row>
    <row r="21" spans="2:9" ht="16.5" x14ac:dyDescent="0.3">
      <c r="B21" s="9">
        <v>18</v>
      </c>
      <c r="C21" s="10" t="s">
        <v>25</v>
      </c>
      <c r="D21" s="10" t="s">
        <v>47</v>
      </c>
      <c r="F21" t="s">
        <v>58</v>
      </c>
    </row>
    <row r="22" spans="2:9" ht="16.5" x14ac:dyDescent="0.3">
      <c r="B22" s="6">
        <v>19</v>
      </c>
      <c r="C22" s="8" t="s">
        <v>26</v>
      </c>
      <c r="D22" s="8" t="s">
        <v>47</v>
      </c>
      <c r="F22" t="s">
        <v>57</v>
      </c>
    </row>
    <row r="23" spans="2:9" ht="16.5" x14ac:dyDescent="0.3">
      <c r="B23" s="9">
        <v>20</v>
      </c>
      <c r="C23" s="10" t="s">
        <v>27</v>
      </c>
      <c r="D23" s="10" t="s">
        <v>47</v>
      </c>
    </row>
    <row r="24" spans="2:9" ht="16.5" x14ac:dyDescent="0.3">
      <c r="B24" s="6">
        <v>21</v>
      </c>
      <c r="C24" s="8" t="s">
        <v>28</v>
      </c>
      <c r="D24" s="8" t="s">
        <v>47</v>
      </c>
      <c r="F24" t="s">
        <v>59</v>
      </c>
    </row>
    <row r="25" spans="2:9" ht="16.5" x14ac:dyDescent="0.3">
      <c r="B25" s="9">
        <v>22</v>
      </c>
      <c r="C25" s="10" t="s">
        <v>29</v>
      </c>
      <c r="D25" s="10"/>
      <c r="F25" t="s">
        <v>60</v>
      </c>
    </row>
    <row r="26" spans="2:9" ht="16.5" x14ac:dyDescent="0.3">
      <c r="B26" s="6">
        <v>23</v>
      </c>
      <c r="C26" s="8" t="s">
        <v>30</v>
      </c>
      <c r="D26" s="8" t="s">
        <v>52</v>
      </c>
    </row>
    <row r="27" spans="2:9" ht="16.5" x14ac:dyDescent="0.3">
      <c r="B27" s="9">
        <v>24</v>
      </c>
      <c r="C27" s="10" t="s">
        <v>31</v>
      </c>
      <c r="D27" s="10" t="s">
        <v>47</v>
      </c>
      <c r="F27" t="s">
        <v>61</v>
      </c>
    </row>
    <row r="28" spans="2:9" ht="16.5" x14ac:dyDescent="0.3">
      <c r="B28" s="6">
        <v>25</v>
      </c>
      <c r="C28" s="8" t="s">
        <v>32</v>
      </c>
      <c r="D28" s="8"/>
      <c r="F28" t="s">
        <v>62</v>
      </c>
    </row>
    <row r="29" spans="2:9" ht="16.5" x14ac:dyDescent="0.3">
      <c r="B29" s="9">
        <v>26</v>
      </c>
      <c r="C29" s="10" t="s">
        <v>33</v>
      </c>
      <c r="D29" s="10" t="s">
        <v>47</v>
      </c>
    </row>
    <row r="30" spans="2:9" ht="16.5" x14ac:dyDescent="0.3">
      <c r="B30" s="6">
        <v>27</v>
      </c>
      <c r="C30" s="8" t="s">
        <v>34</v>
      </c>
      <c r="D30" s="8"/>
      <c r="F30" t="s">
        <v>63</v>
      </c>
    </row>
    <row r="31" spans="2:9" ht="16.5" x14ac:dyDescent="0.3">
      <c r="B31" s="9">
        <v>28</v>
      </c>
      <c r="C31" s="10" t="s">
        <v>35</v>
      </c>
      <c r="D31" s="10" t="s">
        <v>47</v>
      </c>
      <c r="F31" t="s">
        <v>64</v>
      </c>
    </row>
    <row r="32" spans="2:9" ht="16.5" x14ac:dyDescent="0.3">
      <c r="B32" s="6">
        <v>29</v>
      </c>
      <c r="C32" s="8" t="s">
        <v>36</v>
      </c>
      <c r="D32" s="8" t="s">
        <v>47</v>
      </c>
    </row>
    <row r="33" spans="2:16" ht="16.5" x14ac:dyDescent="0.3">
      <c r="B33" s="9">
        <v>30</v>
      </c>
      <c r="C33" s="10" t="s">
        <v>155</v>
      </c>
      <c r="D33" s="10"/>
      <c r="F33" t="s">
        <v>75</v>
      </c>
    </row>
    <row r="34" spans="2:16" ht="16.5" x14ac:dyDescent="0.3">
      <c r="B34" s="6">
        <v>31</v>
      </c>
      <c r="C34" s="8" t="s">
        <v>37</v>
      </c>
      <c r="D34" s="10" t="s">
        <v>47</v>
      </c>
      <c r="F34" t="s">
        <v>78</v>
      </c>
    </row>
    <row r="35" spans="2:16" ht="16.5" x14ac:dyDescent="0.3">
      <c r="B35" s="9">
        <v>32</v>
      </c>
      <c r="C35" s="10" t="s">
        <v>38</v>
      </c>
      <c r="D35" s="10" t="s">
        <v>47</v>
      </c>
      <c r="F35" t="s">
        <v>65</v>
      </c>
    </row>
    <row r="36" spans="2:16" ht="16.5" x14ac:dyDescent="0.3">
      <c r="B36" s="6">
        <v>33</v>
      </c>
      <c r="C36" s="8" t="s">
        <v>39</v>
      </c>
      <c r="D36" s="8" t="s">
        <v>47</v>
      </c>
      <c r="F36" t="s">
        <v>66</v>
      </c>
    </row>
    <row r="37" spans="2:16" ht="16.5" x14ac:dyDescent="0.3">
      <c r="B37" s="9">
        <v>34</v>
      </c>
      <c r="C37" s="10" t="s">
        <v>40</v>
      </c>
      <c r="D37" s="10" t="s">
        <v>47</v>
      </c>
    </row>
    <row r="38" spans="2:16" ht="16.5" x14ac:dyDescent="0.3">
      <c r="B38" s="6">
        <v>35</v>
      </c>
      <c r="C38" s="8" t="s">
        <v>41</v>
      </c>
      <c r="D38" s="8"/>
    </row>
    <row r="39" spans="2:16" ht="16.5" x14ac:dyDescent="0.3">
      <c r="B39" s="9">
        <v>36</v>
      </c>
      <c r="C39" s="10" t="s">
        <v>42</v>
      </c>
      <c r="D39" s="10" t="s">
        <v>47</v>
      </c>
      <c r="F39" t="s">
        <v>67</v>
      </c>
    </row>
    <row r="40" spans="2:16" ht="16.5" x14ac:dyDescent="0.3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ht="16.5" x14ac:dyDescent="0.3">
      <c r="B41" s="9">
        <v>38</v>
      </c>
      <c r="C41" s="10" t="s">
        <v>44</v>
      </c>
      <c r="D41" s="10" t="s">
        <v>47</v>
      </c>
    </row>
    <row r="42" spans="2:16" ht="16.5" x14ac:dyDescent="0.3">
      <c r="B42" s="6">
        <v>39</v>
      </c>
      <c r="C42" s="8" t="s">
        <v>45</v>
      </c>
      <c r="D42" s="8" t="s">
        <v>47</v>
      </c>
      <c r="F42" t="s">
        <v>76</v>
      </c>
    </row>
    <row r="43" spans="2:16" ht="16.5" x14ac:dyDescent="0.3">
      <c r="B43" s="9">
        <v>40</v>
      </c>
      <c r="C43" s="10" t="s">
        <v>46</v>
      </c>
      <c r="D43" s="10" t="s">
        <v>47</v>
      </c>
      <c r="F43" t="s">
        <v>77</v>
      </c>
    </row>
    <row r="44" spans="2:16" ht="16.5" x14ac:dyDescent="0.3">
      <c r="B44" s="9">
        <v>41</v>
      </c>
      <c r="C44" t="s">
        <v>118</v>
      </c>
      <c r="D44" s="10"/>
    </row>
    <row r="45" spans="2:16" ht="16.5" x14ac:dyDescent="0.3">
      <c r="B45" s="9">
        <v>42</v>
      </c>
      <c r="C45" s="18" t="s">
        <v>102</v>
      </c>
      <c r="D45" s="10"/>
      <c r="F45" t="s">
        <v>79</v>
      </c>
    </row>
    <row r="46" spans="2:16" ht="16.5" x14ac:dyDescent="0.3">
      <c r="B46" s="364">
        <v>43</v>
      </c>
      <c r="C46" t="s">
        <v>145</v>
      </c>
      <c r="F46" t="s">
        <v>80</v>
      </c>
    </row>
    <row r="48" spans="2:16" ht="16.5" x14ac:dyDescent="0.3">
      <c r="F48" t="s">
        <v>81</v>
      </c>
    </row>
    <row r="49" spans="6:6" ht="16.5" x14ac:dyDescent="0.3">
      <c r="F49" t="s">
        <v>82</v>
      </c>
    </row>
    <row r="51" spans="6:6" ht="16.5" x14ac:dyDescent="0.3">
      <c r="F51" t="s">
        <v>83</v>
      </c>
    </row>
    <row r="52" spans="6:6" ht="16.5" x14ac:dyDescent="0.3">
      <c r="F52" t="s">
        <v>84</v>
      </c>
    </row>
    <row r="54" spans="6:6" ht="16.5" x14ac:dyDescent="0.3">
      <c r="F54" t="s">
        <v>85</v>
      </c>
    </row>
    <row r="55" spans="6:6" ht="16.5" x14ac:dyDescent="0.3">
      <c r="F55" t="s">
        <v>86</v>
      </c>
    </row>
    <row r="57" spans="6:6" ht="16.5" x14ac:dyDescent="0.3">
      <c r="F57" t="s">
        <v>87</v>
      </c>
    </row>
    <row r="58" spans="6:6" ht="16.5" x14ac:dyDescent="0.3">
      <c r="F58" t="s">
        <v>88</v>
      </c>
    </row>
    <row r="60" spans="6:6" ht="16.5" x14ac:dyDescent="0.3">
      <c r="F60" t="s">
        <v>89</v>
      </c>
    </row>
    <row r="61" spans="6:6" ht="16.5" x14ac:dyDescent="0.3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6.5" x14ac:dyDescent="0.3"/>
  <cols>
    <col min="1" max="2" width="0.5" customWidth="1"/>
    <col min="3" max="3" width="19" customWidth="1"/>
    <col min="4" max="4" width="15.75" customWidth="1"/>
    <col min="5" max="5" width="18.75" customWidth="1"/>
    <col min="6" max="6" width="21.5" customWidth="1"/>
    <col min="7" max="8" width="24.375" customWidth="1"/>
    <col min="9" max="9" width="35.375" customWidth="1"/>
    <col min="10" max="10" width="14.375" customWidth="1"/>
    <col min="11" max="12" width="6.5" customWidth="1"/>
    <col min="13" max="13" width="6" customWidth="1"/>
    <col min="14" max="14" width="6.625" customWidth="1"/>
    <col min="15" max="15" width="6" customWidth="1"/>
    <col min="16" max="16" width="14" customWidth="1"/>
    <col min="17" max="17" width="18.75" customWidth="1"/>
    <col min="18" max="18" width="15.75" customWidth="1"/>
    <col min="19" max="19" width="18.75" customWidth="1"/>
    <col min="20" max="20" width="15.75" customWidth="1"/>
    <col min="21" max="21" width="18.75" customWidth="1"/>
    <col min="22" max="22" width="15.75" customWidth="1"/>
    <col min="23" max="23" width="18.75" customWidth="1"/>
    <col min="24" max="24" width="15.75" customWidth="1"/>
    <col min="25" max="25" width="18.75" customWidth="1"/>
    <col min="26" max="26" width="15.75" customWidth="1"/>
    <col min="27" max="27" width="18.75" customWidth="1"/>
    <col min="28" max="28" width="21.5" customWidth="1"/>
    <col min="29" max="29" width="24.375" customWidth="1"/>
    <col min="30" max="30" width="21.5" customWidth="1"/>
    <col min="31" max="31" width="15.75" customWidth="1"/>
    <col min="32" max="32" width="18.75" customWidth="1"/>
    <col min="33" max="33" width="21.5" customWidth="1"/>
    <col min="34" max="34" width="15.75" customWidth="1"/>
    <col min="35" max="35" width="18.75" customWidth="1"/>
    <col min="36" max="36" width="21.5" customWidth="1"/>
    <col min="37" max="37" width="15.75" customWidth="1"/>
    <col min="38" max="38" width="18.75" customWidth="1"/>
    <col min="39" max="40" width="21.5" customWidth="1"/>
    <col min="41" max="41" width="24.375" customWidth="1"/>
    <col min="42" max="42" width="27.125" customWidth="1"/>
    <col min="43" max="43" width="11.125" customWidth="1"/>
    <col min="44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3"/>
    <row r="6" spans="3:42" x14ac:dyDescent="0.3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3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3">
      <c r="C8" s="153" t="s">
        <v>122</v>
      </c>
      <c r="D8">
        <v>180</v>
      </c>
      <c r="E8">
        <v>3931</v>
      </c>
    </row>
    <row r="9" spans="3:42" x14ac:dyDescent="0.3">
      <c r="C9" s="153" t="s">
        <v>117</v>
      </c>
      <c r="D9">
        <v>348</v>
      </c>
      <c r="E9">
        <v>7423</v>
      </c>
      <c r="I9" t="s">
        <v>138</v>
      </c>
    </row>
    <row r="10" spans="3:42" x14ac:dyDescent="0.3">
      <c r="H10" s="229">
        <f>7267*3200</f>
        <v>23254400</v>
      </c>
      <c r="J10" s="231"/>
    </row>
    <row r="11" spans="3:42" x14ac:dyDescent="0.3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3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3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6.5" x14ac:dyDescent="0.3"/>
  <cols>
    <col min="2" max="2" width="14" customWidth="1"/>
    <col min="3" max="3" width="7.375" customWidth="1"/>
    <col min="4" max="4" width="9.25" customWidth="1"/>
    <col min="5" max="5" width="13" customWidth="1"/>
  </cols>
  <sheetData>
    <row r="14" spans="2:5" x14ac:dyDescent="0.3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3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3">
      <c r="B16" s="153">
        <v>29</v>
      </c>
      <c r="C16">
        <v>8</v>
      </c>
      <c r="D16">
        <v>217</v>
      </c>
      <c r="E16" s="189">
        <v>27.125</v>
      </c>
    </row>
    <row r="17" spans="2:5" x14ac:dyDescent="0.3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3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3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3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3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3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3">
      <c r="B30" s="153">
        <v>39</v>
      </c>
      <c r="C30">
        <v>7</v>
      </c>
      <c r="D30">
        <v>126</v>
      </c>
      <c r="E30" s="189">
        <v>18</v>
      </c>
    </row>
    <row r="31" spans="2:5" x14ac:dyDescent="0.3">
      <c r="B31" s="153">
        <v>37</v>
      </c>
      <c r="C31">
        <v>4</v>
      </c>
      <c r="D31">
        <v>57</v>
      </c>
      <c r="E31" s="189">
        <v>14.25</v>
      </c>
    </row>
    <row r="32" spans="2:5" x14ac:dyDescent="0.3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2025-11-26T06:33:50Z</cp:lastPrinted>
  <dcterms:created xsi:type="dcterms:W3CDTF">2021-05-05T13:25:05Z</dcterms:created>
  <dcterms:modified xsi:type="dcterms:W3CDTF">2025-11-26T06:36:12Z</dcterms:modified>
</cp:coreProperties>
</file>