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78A533C7-2892-4958-9FFC-06031431E9A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N11" i="1" s="1"/>
  <c r="O9" i="1"/>
  <c r="Q9" i="1" s="1"/>
  <c r="T9" i="1"/>
  <c r="H10" i="1"/>
  <c r="M10" i="1"/>
  <c r="O10" i="1"/>
  <c r="Q10" i="1"/>
  <c r="T10" i="1"/>
  <c r="H11" i="1"/>
  <c r="M11" i="1"/>
  <c r="N15" i="1" s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N14" i="1" s="1"/>
  <c r="O19" i="1"/>
  <c r="Q19" i="1"/>
  <c r="T19" i="1"/>
  <c r="H20" i="1"/>
  <c r="M20" i="1"/>
  <c r="O20" i="1"/>
  <c r="Q20" i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N18" i="1" s="1"/>
  <c r="O23" i="1"/>
  <c r="Q23" i="1"/>
  <c r="T23" i="1"/>
  <c r="H24" i="1"/>
  <c r="M24" i="1"/>
  <c r="O24" i="1"/>
  <c r="Q24" i="1"/>
  <c r="T24" i="1"/>
  <c r="H25" i="1"/>
  <c r="M25" i="1"/>
  <c r="O25" i="1"/>
  <c r="Q25" i="1" s="1"/>
  <c r="T25" i="1"/>
  <c r="H26" i="1"/>
  <c r="M26" i="1"/>
  <c r="N26" i="1"/>
  <c r="O26" i="1"/>
  <c r="Q26" i="1"/>
  <c r="T26" i="1"/>
  <c r="H27" i="1"/>
  <c r="M27" i="1"/>
  <c r="O27" i="1"/>
  <c r="Q27" i="1" s="1"/>
  <c r="T27" i="1"/>
  <c r="C28" i="1"/>
  <c r="G28" i="1"/>
  <c r="I10" i="1" s="1"/>
  <c r="J10" i="1" s="1"/>
  <c r="F28" i="1"/>
  <c r="E28" i="1"/>
  <c r="G11" i="6"/>
  <c r="F11" i="6"/>
  <c r="E11" i="6"/>
  <c r="T7" i="1"/>
  <c r="O7" i="1"/>
  <c r="Q7" i="1" s="1"/>
  <c r="M7" i="1"/>
  <c r="H7" i="1"/>
  <c r="T28" i="1"/>
  <c r="T29" i="1"/>
  <c r="O28" i="1"/>
  <c r="Q28" i="1" s="1"/>
  <c r="O29" i="1"/>
  <c r="Q29" i="1" s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T46" i="1"/>
  <c r="O45" i="1"/>
  <c r="Q45" i="1" s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E13" i="3"/>
  <c r="D13" i="3"/>
  <c r="E12" i="3"/>
  <c r="AP6" i="3"/>
  <c r="I9" i="1" l="1"/>
  <c r="P9" i="1" s="1"/>
  <c r="L9" i="1" s="1"/>
  <c r="I12" i="1"/>
  <c r="J12" i="1" s="1"/>
  <c r="I7" i="1"/>
  <c r="J7" i="1" s="1"/>
  <c r="I8" i="1"/>
  <c r="J8" i="1" s="1"/>
  <c r="I27" i="1"/>
  <c r="I26" i="1"/>
  <c r="J26" i="1" s="1"/>
  <c r="I25" i="1"/>
  <c r="I24" i="1"/>
  <c r="I22" i="1"/>
  <c r="J22" i="1" s="1"/>
  <c r="I21" i="1"/>
  <c r="I20" i="1"/>
  <c r="I18" i="1"/>
  <c r="J18" i="1" s="1"/>
  <c r="I17" i="1"/>
  <c r="I16" i="1"/>
  <c r="I14" i="1"/>
  <c r="J14" i="1" s="1"/>
  <c r="I13" i="1"/>
  <c r="P12" i="1"/>
  <c r="L12" i="1" s="1"/>
  <c r="I11" i="1"/>
  <c r="J11" i="1" s="1"/>
  <c r="I23" i="1"/>
  <c r="I19" i="1"/>
  <c r="J19" i="1" s="1"/>
  <c r="I15" i="1"/>
  <c r="J15" i="1" s="1"/>
  <c r="J9" i="1"/>
  <c r="N22" i="1"/>
  <c r="N25" i="1"/>
  <c r="N21" i="1"/>
  <c r="N17" i="1"/>
  <c r="N13" i="1"/>
  <c r="N9" i="1"/>
  <c r="N10" i="1"/>
  <c r="N24" i="1"/>
  <c r="N20" i="1"/>
  <c r="P18" i="1"/>
  <c r="L18" i="1" s="1"/>
  <c r="N16" i="1"/>
  <c r="N12" i="1"/>
  <c r="P10" i="1"/>
  <c r="L10" i="1" s="1"/>
  <c r="N8" i="1"/>
  <c r="N27" i="1"/>
  <c r="N23" i="1"/>
  <c r="N19" i="1"/>
  <c r="P29" i="1"/>
  <c r="P28" i="1"/>
  <c r="N7" i="1"/>
  <c r="H28" i="1"/>
  <c r="U27" i="1" s="1"/>
  <c r="P41" i="1"/>
  <c r="P37" i="1"/>
  <c r="P33" i="1"/>
  <c r="P44" i="1"/>
  <c r="P40" i="1"/>
  <c r="P36" i="1"/>
  <c r="P32" i="1"/>
  <c r="P43" i="1"/>
  <c r="P39" i="1"/>
  <c r="P35" i="1"/>
  <c r="P31" i="1"/>
  <c r="P42" i="1"/>
  <c r="P38" i="1"/>
  <c r="P34" i="1"/>
  <c r="P30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8" i="1" l="1"/>
  <c r="L8" i="1" s="1"/>
  <c r="U26" i="1"/>
  <c r="U23" i="1"/>
  <c r="U18" i="1"/>
  <c r="P7" i="1"/>
  <c r="L7" i="1" s="1"/>
  <c r="P14" i="1"/>
  <c r="L14" i="1" s="1"/>
  <c r="U10" i="1"/>
  <c r="U9" i="1"/>
  <c r="U25" i="1"/>
  <c r="P15" i="1"/>
  <c r="L15" i="1" s="1"/>
  <c r="J16" i="1"/>
  <c r="P16" i="1"/>
  <c r="L16" i="1" s="1"/>
  <c r="P21" i="1"/>
  <c r="L21" i="1" s="1"/>
  <c r="J21" i="1"/>
  <c r="U16" i="1"/>
  <c r="U24" i="1"/>
  <c r="U21" i="1"/>
  <c r="P26" i="1"/>
  <c r="L26" i="1" s="1"/>
  <c r="U15" i="1"/>
  <c r="U12" i="1"/>
  <c r="P23" i="1"/>
  <c r="L23" i="1" s="1"/>
  <c r="J23" i="1"/>
  <c r="P17" i="1"/>
  <c r="L17" i="1" s="1"/>
  <c r="J17" i="1"/>
  <c r="P27" i="1"/>
  <c r="L27" i="1" s="1"/>
  <c r="J27" i="1"/>
  <c r="U17" i="1"/>
  <c r="P22" i="1"/>
  <c r="L22" i="1" s="1"/>
  <c r="U14" i="1"/>
  <c r="U22" i="1"/>
  <c r="P19" i="1"/>
  <c r="L19" i="1" s="1"/>
  <c r="P11" i="1"/>
  <c r="L11" i="1" s="1"/>
  <c r="P13" i="1"/>
  <c r="L13" i="1" s="1"/>
  <c r="J13" i="1"/>
  <c r="J24" i="1"/>
  <c r="P24" i="1"/>
  <c r="L24" i="1" s="1"/>
  <c r="I28" i="1"/>
  <c r="U20" i="1"/>
  <c r="U13" i="1"/>
  <c r="U11" i="1"/>
  <c r="U19" i="1"/>
  <c r="U8" i="1"/>
  <c r="J20" i="1"/>
  <c r="P20" i="1"/>
  <c r="L20" i="1" s="1"/>
  <c r="P25" i="1"/>
  <c r="L25" i="1" s="1"/>
  <c r="J25" i="1"/>
  <c r="U44" i="1"/>
  <c r="U31" i="1"/>
  <c r="U7" i="1"/>
  <c r="U30" i="1"/>
  <c r="U43" i="1"/>
  <c r="U42" i="1"/>
  <c r="U41" i="1"/>
  <c r="U40" i="1"/>
  <c r="U39" i="1"/>
  <c r="U38" i="1"/>
  <c r="U37" i="1"/>
  <c r="U36" i="1"/>
  <c r="U29" i="1"/>
  <c r="U46" i="1"/>
  <c r="U35" i="1"/>
  <c r="U34" i="1"/>
  <c r="U33" i="1"/>
  <c r="U32" i="1"/>
  <c r="U28" i="1"/>
  <c r="N28" i="1"/>
  <c r="U45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R8" i="1"/>
  <c r="S8" i="1" s="1"/>
  <c r="R24" i="1"/>
  <c r="S24" i="1" s="1"/>
  <c r="R26" i="1"/>
  <c r="S26" i="1" s="1"/>
  <c r="R27" i="1"/>
  <c r="S27" i="1" s="1"/>
  <c r="R9" i="1"/>
  <c r="S9" i="1" s="1"/>
  <c r="R20" i="1"/>
  <c r="S20" i="1" s="1"/>
  <c r="R13" i="1"/>
  <c r="S13" i="1" s="1"/>
  <c r="R14" i="1"/>
  <c r="S14" i="1" s="1"/>
  <c r="R15" i="1"/>
  <c r="S15" i="1" s="1"/>
  <c r="R17" i="1"/>
  <c r="S17" i="1" s="1"/>
  <c r="R18" i="1"/>
  <c r="S18" i="1" s="1"/>
  <c r="R19" i="1"/>
  <c r="S19" i="1" s="1"/>
  <c r="R21" i="1"/>
  <c r="S21" i="1" s="1"/>
  <c r="R22" i="1"/>
  <c r="S22" i="1" s="1"/>
  <c r="R23" i="1"/>
  <c r="S23" i="1" s="1"/>
  <c r="R25" i="1"/>
  <c r="S25" i="1" s="1"/>
  <c r="R10" i="1"/>
  <c r="S10" i="1" s="1"/>
  <c r="R11" i="1"/>
  <c r="S11" i="1" s="1"/>
  <c r="R12" i="1"/>
  <c r="S12" i="1" s="1"/>
  <c r="R16" i="1"/>
  <c r="S16" i="1" s="1"/>
  <c r="R7" i="1"/>
  <c r="S7" i="1" s="1"/>
  <c r="R28" i="1"/>
  <c r="S28" i="1" s="1"/>
  <c r="R29" i="1"/>
  <c r="S29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R33" i="1"/>
  <c r="S33" i="1" s="1"/>
  <c r="R37" i="1"/>
  <c r="S37" i="1" s="1"/>
  <c r="R41" i="1"/>
  <c r="S41" i="1" s="1"/>
  <c r="R46" i="1"/>
  <c r="S46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<sst xmlns="http://schemas.openxmlformats.org/spreadsheetml/2006/main" count="270" uniqueCount="178">
  <si>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</si>
  <si>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</si>
  <si>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</si>
  <si>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</si>
  <si>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</si>
  <si>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</si>
  <si>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</si>
  <si>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</si>
  <si>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</si>
  <si>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</si>
  <si>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</si>
  <si>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</si>
  <si>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</si>
  <si>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</si>
  <si>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</si>
  <si>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</si>
  <si>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</si>
  <si>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</si>
  <si>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</si>
  <si>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</si>
  <si>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</si>
  <si>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</si>
  <si>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</si>
  <si>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</si>
  <si>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</si>
  <si>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</si>
  <si>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</si>
  <si>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</si>
  <si>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</si>
  <si>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</si>
  <si>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</si>
  <si>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</si>
  <si>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</si>
  <si>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</si>
  <si>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</si>
  <si>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</si>
  <si>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</si>
  <si>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</si>
  <si>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</si>
  <si>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</si>
  <si>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</si>
  <si>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</si>
  <si>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</si>
  <si>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</si>
  <si>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</si>
  <si>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</si>
  <si>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</si>
  <si>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</si>
  <si>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</si>
  <si>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</si>
  <si>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</si>
  <si>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</si>
  <si>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</si>
  <si>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</si>
  <si>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</si>
  <si>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</si>
  <si>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</si>
  <si>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</si>
  <si>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</si>
  <si>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</si>
  <si>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</si>
  <si>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</si>
  <si>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</si>
  <si>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</si>
  <si>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</si>
  <si>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</si>
  <si>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</si>
  <si>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</si>
  <si>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</si>
  <si>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</si>
  <si>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</si>
  <si>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</si>
  <si>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</si>
  <si>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</si>
  <si>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</si>
  <si>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</si>
  <si>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</si>
  <si>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</si>
  <si>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</si>
  <si>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</si>
  <si>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</si>
  <si>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</si>
  <si>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</si>
  <si>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</si>
  <si>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</si>
  <si>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</si>
  <si>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</si>
  <si>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</si>
  <si>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</si>
  <si>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</si>
  <si>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</si>
  <si>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</si>
  <si>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</si>
  <si>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</si>
  <si>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</si>
  <si>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</si>
  <si>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</si>
  <si>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</si>
  <si>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</si>
  <si>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</si>
  <si>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</si>
  <si>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</si>
  <si>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</si>
  <si>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</si>
  <si>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</si>
  <si>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</si>
  <si>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</si>
  <si>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</si>
  <si>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</si>
  <si>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</si>
  <si>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</si>
  <si>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</si>
  <si>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</si>
  <si>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</si>
  <si>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</si>
  <si>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</si>
  <si>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</si>
  <si>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</si>
  <si>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</si>
  <si>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</si>
  <si>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</si>
  <si>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</si>
  <si>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</si>
  <si>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</si>
  <si>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</si>
  <si>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</si>
  <si>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</si>
  <si>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</si>
  <si>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</si>
  <si>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</si>
  <si>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</si>
  <si>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</si>
  <si>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</si>
  <si>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</si>
  <si>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</si>
  <si>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</si>
  <si>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</si>
  <si>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</si>
  <si>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</si>
  <si>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</si>
  <si>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</si>
  <si>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</si>
  <si>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</si>
  <si>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</si>
  <si>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</si>
  <si>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</si>
  <si>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</si>
  <si>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</si>
  <si>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</si>
  <si>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</si>
  <si>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VALENCIA MENDOZA JHON</t>
  </si>
  <si>
    <t>FRANCO CARVAJAL GERARDO ANTONIO</t>
  </si>
  <si>
    <t>JARAMILLO JARAMILLO FRANCISCO WBEIMAR</t>
  </si>
  <si>
    <t>HINCAPIE VILLA JUAN ESTIVEN</t>
  </si>
  <si>
    <t>LOPERA ALVAREZ ESTIVEN</t>
  </si>
  <si>
    <t>ESPINOZA CHAVARRIA GUILLERMO LEON</t>
  </si>
  <si>
    <t>ARAQUE ARROYAVE JOSE ALBEIRO</t>
  </si>
  <si>
    <t>YEPES TORRES JHON ALEXANDER</t>
  </si>
  <si>
    <t>LONDOÑO LOPERA DUVAN ANDRES</t>
  </si>
  <si>
    <t>MARULANDA JARAMILLO DAWER ANDRES</t>
  </si>
  <si>
    <t>CARTAGENA RAMIREZ FREDY ALONSO</t>
  </si>
  <si>
    <t>CALLE BOTERO ANDRES CAMILO</t>
  </si>
  <si>
    <t>PARRA VILLA YUBER ALONSO</t>
  </si>
  <si>
    <t>MACIAS HERNANDEZ JULIAN DAVID</t>
  </si>
  <si>
    <t>MIRANDA MACHADO ALVARO</t>
  </si>
  <si>
    <t>GARCIA DAVID WILSON ALBERTO</t>
  </si>
  <si>
    <t>MACEA ARBELAEZ MATEO</t>
  </si>
  <si>
    <t xml:space="preserve">DAVID HENRY GIOVANNY </t>
  </si>
  <si>
    <t xml:space="preserve">GONZALEZ IPUANA RENE </t>
  </si>
  <si>
    <t>88XM</t>
  </si>
  <si>
    <t xml:space="preserve">6 Descuentos (Transbordo) </t>
  </si>
  <si>
    <t xml:space="preserve">1 Descuento (Despachador) </t>
  </si>
  <si>
    <t xml:space="preserve">1 Descuento (Usuario desubicado) </t>
  </si>
  <si>
    <t xml:space="preserve">2 Descuentos (Usuarios desubicados) </t>
  </si>
  <si>
    <t xml:space="preserve">2 Descuentos (Conduct y despachador) </t>
  </si>
  <si>
    <t xml:space="preserve">Se descuenta 0.5 viaje de 5 40 am ya que NO ingresa a la minorista luego de ir al recaudo. 2 Descuentos (Transbordo) </t>
  </si>
  <si>
    <t>Se descuenta 0.5 viaje de 8 30 am ya que NO ingresa a la minorista luego de ir al recaudo.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</si>
  <si>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17.2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</si>
</sst>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21</c:v>
                </c:pt>
                <c:pt idx="10">
                  <c:v>23</c:v>
                </c:pt>
                <c:pt idx="11">
                  <c:v>27</c:v>
                </c:pt>
                <c:pt idx="12">
                  <c:v>31</c:v>
                </c:pt>
                <c:pt idx="13">
                  <c:v>35</c:v>
                </c:pt>
                <c:pt idx="14" formatCode="General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 formatCode="General">
                  <c:v>42</c:v>
                </c:pt>
                <c:pt idx="20">
                  <c:v>43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16.333333333333332</c:v>
                </c:pt>
                <c:pt idx="1">
                  <c:v>24.5</c:v>
                </c:pt>
                <c:pt idx="2">
                  <c:v>20.333333333333332</c:v>
                </c:pt>
                <c:pt idx="3">
                  <c:v>13.9</c:v>
                </c:pt>
                <c:pt idx="4">
                  <c:v>18.833333333333332</c:v>
                </c:pt>
                <c:pt idx="5">
                  <c:v>19.555555555555557</c:v>
                </c:pt>
                <c:pt idx="6">
                  <c:v>20.333333333333332</c:v>
                </c:pt>
                <c:pt idx="7">
                  <c:v>18</c:v>
                </c:pt>
                <c:pt idx="8">
                  <c:v>17</c:v>
                </c:pt>
                <c:pt idx="9">
                  <c:v>17.916666666666668</c:v>
                </c:pt>
                <c:pt idx="10">
                  <c:v>19.5</c:v>
                </c:pt>
                <c:pt idx="11">
                  <c:v>16.272727272727273</c:v>
                </c:pt>
                <c:pt idx="12">
                  <c:v>16.3</c:v>
                </c:pt>
                <c:pt idx="13">
                  <c:v>16.399999999999999</c:v>
                </c:pt>
                <c:pt idx="14">
                  <c:v>13.5</c:v>
                </c:pt>
                <c:pt idx="15">
                  <c:v>16.888888888888889</c:v>
                </c:pt>
                <c:pt idx="16">
                  <c:v>10.714285714285714</c:v>
                </c:pt>
                <c:pt idx="17">
                  <c:v>15.3</c:v>
                </c:pt>
                <c:pt idx="18">
                  <c:v>18.75</c:v>
                </c:pt>
                <c:pt idx="19">
                  <c:v>18.399999999999999</c:v>
                </c:pt>
                <c:pt idx="20">
                  <c:v>15.111111111111111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7.2 USUARIOS 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zoomScaleNormal="100" workbookViewId="0">
      <selection activeCell="B28" sqref="B28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bestFit="1" customWidth="1"/>
    <col min="9" max="9" width="10.375" style="149" bestFit="1" customWidth="1"/>
    <col min="10" max="10" width="10.375" style="362" customWidth="1"/>
    <col min="11" max="11" width="58.75" customWidth="1"/>
    <col min="12" max="12" width="10.5" style="337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5" t="s">
        <v>144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143</v>
      </c>
      <c r="E2" s="366"/>
      <c r="F2" s="366"/>
      <c r="G2" s="366"/>
      <c r="H2" s="366"/>
      <c r="I2" s="366"/>
      <c r="J2" s="366"/>
      <c r="K2" s="366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+SUM(G6:G1839)/2</f>
        <v>3416</v>
      </c>
      <c r="R3" s="55">
        <f>+SUM(E6:E1839)/2</f>
        <v>198</v>
      </c>
      <c r="S3" s="55">
        <f>+Q3-R3</f>
        <v>3218</v>
      </c>
      <c r="T3" s="56">
        <f>+S3/R3</f>
        <v>16.252525252525253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45978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169</v>
      </c>
      <c r="C7" s="166">
        <v>1</v>
      </c>
      <c r="D7" s="151" t="s">
        <v>149</v>
      </c>
      <c r="E7" s="150">
        <v>9</v>
      </c>
      <c r="F7" s="150">
        <v>0</v>
      </c>
      <c r="G7" s="165">
        <v>147</v>
      </c>
      <c r="H7" s="226">
        <f t="shared" ref="H7:H27" si="0">+G7/E7</f>
        <v>16.333333333333332</v>
      </c>
      <c r="I7" s="227">
        <f>+(SUM($G$7:$G$1048576)/SUM($E$7:$E$1048576))*E7</f>
        <v>155.27272727272728</v>
      </c>
      <c r="J7" s="363">
        <f>+Tabla2[[#This Row],[PROM DE USUARIOS]]-Tabla2[[#This Row],[USUARIOS]]</f>
        <v>8.2727272727272805</v>
      </c>
      <c r="K7" s="151" t="s">
        <v>170</v>
      </c>
      <c r="L7" s="163">
        <f t="shared" ref="L7:L8" si="1">P7*585</f>
        <v>85569.545454545456</v>
      </c>
      <c r="M7" s="162" t="str">
        <f>+VLOOKUP(C7,Lista!B:D,3,0)</f>
        <v>MICRO</v>
      </c>
      <c r="N7" s="371">
        <f>+(SUMIFS(G:G,M:M,"MICRO",E:E,"&gt;0")*100)/COUNTIF($E$7:$E$27,"&gt;0")</f>
        <v>9547.6190476190477</v>
      </c>
      <c r="O7" s="50">
        <f t="shared" ref="O7:O8" si="2">+(E7*1)-V7</f>
        <v>9</v>
      </c>
      <c r="P7" s="47">
        <f t="shared" ref="P7:P8" si="3">+I7-O7-W7</f>
        <v>146.27272727272728</v>
      </c>
      <c r="Q7" s="49">
        <f t="shared" ref="Q7:Q8" si="4">+G7-O7</f>
        <v>138</v>
      </c>
      <c r="R7" s="51">
        <f t="shared" ref="R7:R8" si="5">+E7*$T$3</f>
        <v>146.27272727272728</v>
      </c>
      <c r="S7" s="46">
        <f t="shared" ref="S7:S26" si="6">+R7*550</f>
        <v>80450</v>
      </c>
      <c r="T7" t="str">
        <f t="shared" ref="T7:T8" si="7">+IF(K7&lt;&gt;"",K7,"")</f>
        <v xml:space="preserve">6 Descuentos (Transbordo) </v>
      </c>
      <c r="U7">
        <f>+RANK(H7,$H$6:$H$1048576,1)</f>
        <v>8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169</v>
      </c>
      <c r="C8" s="166">
        <v>2</v>
      </c>
      <c r="D8" s="151" t="s">
        <v>167</v>
      </c>
      <c r="E8" s="150">
        <v>6</v>
      </c>
      <c r="F8" s="150">
        <v>0</v>
      </c>
      <c r="G8" s="165">
        <v>147</v>
      </c>
      <c r="H8" s="226">
        <f t="shared" ref="H8:H27" si="8">+G8/E8</f>
        <v>24.5</v>
      </c>
      <c r="I8" s="227">
        <f t="shared" ref="I8:I27" si="9">+(SUM($G$7:$G$1048576)/SUM($E$7:$E$1048576))*E8</f>
        <v>103.51515151515152</v>
      </c>
      <c r="J8" s="363">
        <f>+Tabla2[[#This Row],[PROM DE USUARIOS]]-Tabla2[[#This Row],[USUARIOS]]</f>
        <v>-43.484848484848484</v>
      </c>
      <c r="K8" s="151" t="s">
        <v>171</v>
      </c>
      <c r="L8" s="163">
        <f t="shared" ref="L8:L27" si="10">P8*585</f>
        <v>57046.36363636364</v>
      </c>
      <c r="M8" s="162">
        <f>+VLOOKUP(C8,Lista!B:D,3,0)</f>
        <v>0</v>
      </c>
      <c r="N8" s="371">
        <f t="shared" ref="N8:N27" si="11">+(SUMIFS(G:G,M:M,"MICRO",E:E,"&gt;0")*100)/COUNTIF($E$7:$E$27,"&gt;0")</f>
        <v>9547.6190476190477</v>
      </c>
      <c r="O8" s="50">
        <f t="shared" ref="O8:O27" si="12">+(E8*1)-V8</f>
        <v>6</v>
      </c>
      <c r="P8" s="47">
        <f t="shared" ref="P8:P27" si="13">+I8-O8-W8</f>
        <v>97.515151515151516</v>
      </c>
      <c r="Q8" s="49">
        <f t="shared" ref="Q8:Q27" si="14">+G8-O8</f>
        <v>141</v>
      </c>
      <c r="R8" s="51">
        <f t="shared" ref="R8:R27" si="15">+E8*$T$3</f>
        <v>97.515151515151516</v>
      </c>
      <c r="S8" s="46">
        <f t="shared" ref="S8:S27" si="16">+R8*550</f>
        <v>53633.333333333336</v>
      </c>
      <c r="T8" t="str">
        <f t="shared" ref="T8:T27" si="17">+IF(K8&lt;&gt;"",K8,"")</f>
        <v xml:space="preserve">1 Descuento (Despachador) </v>
      </c>
      <c r="U8">
        <f t="shared" ref="U8:U27" si="18">+RANK(H8,$H$6:$H$1048576,1)</f>
        <v>22</v>
      </c>
      <c r="Y8" t="str">
        <f>TRIM(Tabla2[[#This Row],[CONDUCTOR]])</f>
        <v>DAVID HENRY GIOVANNY</v>
      </c>
    </row>
    <row r="9" spans="1:32" x14ac:dyDescent="0.2">
      <c r="B9" s="136" t="s">
        <v>169</v>
      </c>
      <c r="C9" s="166">
        <v>3</v>
      </c>
      <c r="D9" s="151" t="s">
        <v>168</v>
      </c>
      <c r="E9" s="150">
        <v>9</v>
      </c>
      <c r="F9" s="150">
        <v>0</v>
      </c>
      <c r="G9" s="165">
        <v>183</v>
      </c>
      <c r="H9" s="226">
        <f t="shared" si="8"/>
        <v>20.333333333333332</v>
      </c>
      <c r="I9" s="227">
        <f t="shared" si="9"/>
        <v>155.27272727272728</v>
      </c>
      <c r="J9" s="363">
        <f>+Tabla2[[#This Row],[PROM DE USUARIOS]]-Tabla2[[#This Row],[USUARIOS]]</f>
        <v>-27.72727272727272</v>
      </c>
      <c r="K9" s="151"/>
      <c r="L9" s="163">
        <f t="shared" si="10"/>
        <v>85569.545454545456</v>
      </c>
      <c r="M9" s="162" t="str">
        <f>+VLOOKUP(C9,Lista!B:D,3,0)</f>
        <v>MICRO</v>
      </c>
      <c r="N9" s="371">
        <f t="shared" si="11"/>
        <v>9547.6190476190477</v>
      </c>
      <c r="O9" s="50">
        <f t="shared" si="12"/>
        <v>9</v>
      </c>
      <c r="P9" s="47">
        <f t="shared" si="13"/>
        <v>146.27272727272728</v>
      </c>
      <c r="Q9" s="49">
        <f t="shared" si="14"/>
        <v>174</v>
      </c>
      <c r="R9" s="51">
        <f t="shared" si="15"/>
        <v>146.27272727272728</v>
      </c>
      <c r="S9" s="46">
        <f t="shared" si="16"/>
        <v>80450</v>
      </c>
      <c r="T9" t="str">
        <f t="shared" si="17"/>
        <v/>
      </c>
      <c r="U9">
        <f t="shared" si="18"/>
        <v>20</v>
      </c>
      <c r="Y9" t="str">
        <f>TRIM(Tabla2[[#This Row],[CONDUCTOR]])</f>
        <v>GONZALEZ IPUANA RENE</v>
      </c>
    </row>
    <row r="10" spans="1:32" x14ac:dyDescent="0.2">
      <c r="B10" s="136" t="s">
        <v>169</v>
      </c>
      <c r="C10" s="166">
        <v>5</v>
      </c>
      <c r="D10" s="151" t="s">
        <v>158</v>
      </c>
      <c r="E10" s="150">
        <v>10</v>
      </c>
      <c r="F10" s="150">
        <v>0</v>
      </c>
      <c r="G10" s="165">
        <v>139</v>
      </c>
      <c r="H10" s="226">
        <f t="shared" si="8"/>
        <v>13.9</v>
      </c>
      <c r="I10" s="227">
        <f t="shared" si="9"/>
        <v>172.52525252525254</v>
      </c>
      <c r="J10" s="363">
        <f>+Tabla2[[#This Row],[PROM DE USUARIOS]]-Tabla2[[#This Row],[USUARIOS]]</f>
        <v>33.52525252525254</v>
      </c>
      <c r="K10" s="151"/>
      <c r="L10" s="163">
        <f t="shared" si="10"/>
        <v>95077.272727272735</v>
      </c>
      <c r="M10" s="162">
        <f>+VLOOKUP(C10,Lista!B:D,3,0)</f>
        <v>0</v>
      </c>
      <c r="N10" s="371">
        <f t="shared" si="11"/>
        <v>9547.6190476190477</v>
      </c>
      <c r="O10" s="50">
        <f t="shared" si="12"/>
        <v>10</v>
      </c>
      <c r="P10" s="47">
        <f t="shared" si="13"/>
        <v>162.52525252525254</v>
      </c>
      <c r="Q10" s="49">
        <f t="shared" si="14"/>
        <v>129</v>
      </c>
      <c r="R10" s="51">
        <f t="shared" si="15"/>
        <v>162.52525252525254</v>
      </c>
      <c r="S10" s="46">
        <f t="shared" si="16"/>
        <v>89388.888888888891</v>
      </c>
      <c r="T10" t="str">
        <f t="shared" si="17"/>
        <v/>
      </c>
      <c r="U10">
        <f t="shared" si="18"/>
        <v>3</v>
      </c>
      <c r="Y10" t="str">
        <f>TRIM(Tabla2[[#This Row],[CONDUCTOR]])</f>
        <v>LONDOÑO LOPERA DUVAN ANDRES</v>
      </c>
    </row>
    <row r="11" spans="1:32" x14ac:dyDescent="0.2">
      <c r="B11" s="136" t="s">
        <v>169</v>
      </c>
      <c r="C11" s="166">
        <v>9</v>
      </c>
      <c r="D11" s="151" t="s">
        <v>160</v>
      </c>
      <c r="E11" s="150">
        <v>12</v>
      </c>
      <c r="F11" s="150">
        <v>0</v>
      </c>
      <c r="G11" s="146">
        <v>226</v>
      </c>
      <c r="H11" s="226">
        <f t="shared" si="8"/>
        <v>18.833333333333332</v>
      </c>
      <c r="I11" s="227">
        <f t="shared" si="9"/>
        <v>207.03030303030303</v>
      </c>
      <c r="J11" s="363">
        <f>+Tabla2[[#This Row],[PROM DE USUARIOS]]-Tabla2[[#This Row],[USUARIOS]]</f>
        <v>-18.969696969696969</v>
      </c>
      <c r="K11" s="151" t="s">
        <v>171</v>
      </c>
      <c r="L11" s="163">
        <f t="shared" si="10"/>
        <v>114092.72727272728</v>
      </c>
      <c r="M11" s="162" t="str">
        <f>+VLOOKUP(C11,Lista!B:D,3,0)</f>
        <v>MICRO</v>
      </c>
      <c r="N11" s="371">
        <f t="shared" si="11"/>
        <v>9547.6190476190477</v>
      </c>
      <c r="O11" s="50">
        <f t="shared" si="12"/>
        <v>12</v>
      </c>
      <c r="P11" s="47">
        <f t="shared" si="13"/>
        <v>195.03030303030303</v>
      </c>
      <c r="Q11" s="49">
        <f t="shared" si="14"/>
        <v>214</v>
      </c>
      <c r="R11" s="51">
        <f t="shared" si="15"/>
        <v>195.03030303030303</v>
      </c>
      <c r="S11" s="46">
        <f t="shared" si="16"/>
        <v>107266.66666666667</v>
      </c>
      <c r="T11" t="str">
        <f t="shared" si="17"/>
        <v xml:space="preserve">1 Descuento (Despachador) </v>
      </c>
      <c r="U11">
        <f t="shared" si="18"/>
        <v>17</v>
      </c>
      <c r="Y11" t="str">
        <f>TRIM(Tabla2[[#This Row],[CONDUCTOR]])</f>
        <v>CARTAGENA RAMIREZ FREDY ALONSO</v>
      </c>
    </row>
    <row r="12" spans="1:32" x14ac:dyDescent="0.2">
      <c r="B12" s="136" t="s">
        <v>169</v>
      </c>
      <c r="C12" s="166">
        <v>11</v>
      </c>
      <c r="D12" s="151" t="s">
        <v>157</v>
      </c>
      <c r="E12" s="150">
        <v>9</v>
      </c>
      <c r="F12" s="150">
        <v>0</v>
      </c>
      <c r="G12" s="165">
        <v>176</v>
      </c>
      <c r="H12" s="226">
        <f t="shared" si="8"/>
        <v>19.555555555555557</v>
      </c>
      <c r="I12" s="227">
        <f t="shared" si="9"/>
        <v>155.27272727272728</v>
      </c>
      <c r="J12" s="363">
        <f>+Tabla2[[#This Row],[PROM DE USUARIOS]]-Tabla2[[#This Row],[USUARIOS]]</f>
        <v>-20.72727272727272</v>
      </c>
      <c r="K12" s="151"/>
      <c r="L12" s="163">
        <f t="shared" si="10"/>
        <v>85569.545454545456</v>
      </c>
      <c r="M12" s="162" t="str">
        <f>+VLOOKUP(C12,Lista!B:D,3,0)</f>
        <v>MICRO</v>
      </c>
      <c r="N12" s="371">
        <f t="shared" si="11"/>
        <v>9547.6190476190477</v>
      </c>
      <c r="O12" s="50">
        <f t="shared" si="12"/>
        <v>9</v>
      </c>
      <c r="P12" s="47">
        <f t="shared" si="13"/>
        <v>146.27272727272728</v>
      </c>
      <c r="Q12" s="49">
        <f t="shared" si="14"/>
        <v>167</v>
      </c>
      <c r="R12" s="51">
        <f t="shared" si="15"/>
        <v>146.27272727272728</v>
      </c>
      <c r="S12" s="46">
        <f t="shared" si="16"/>
        <v>80450</v>
      </c>
      <c r="T12" t="str">
        <f t="shared" si="17"/>
        <v/>
      </c>
      <c r="U12">
        <f t="shared" si="18"/>
        <v>19</v>
      </c>
      <c r="Y12" t="str">
        <f>TRIM(Tabla2[[#This Row],[CONDUCTOR]])</f>
        <v>YEPES TORRES JHON ALEXANDER</v>
      </c>
    </row>
    <row r="13" spans="1:32" x14ac:dyDescent="0.2">
      <c r="B13" s="136" t="s">
        <v>169</v>
      </c>
      <c r="C13" s="166">
        <v>13</v>
      </c>
      <c r="D13" s="151" t="s">
        <v>164</v>
      </c>
      <c r="E13" s="150">
        <v>9</v>
      </c>
      <c r="F13" s="150">
        <v>0</v>
      </c>
      <c r="G13" s="165">
        <v>183</v>
      </c>
      <c r="H13" s="226">
        <f t="shared" si="8"/>
        <v>20.333333333333332</v>
      </c>
      <c r="I13" s="227">
        <f t="shared" si="9"/>
        <v>155.27272727272728</v>
      </c>
      <c r="J13" s="363">
        <f>+Tabla2[[#This Row],[PROM DE USUARIOS]]-Tabla2[[#This Row],[USUARIOS]]</f>
        <v>-27.72727272727272</v>
      </c>
      <c r="K13" s="151"/>
      <c r="L13" s="163">
        <f t="shared" si="10"/>
        <v>85569.545454545456</v>
      </c>
      <c r="M13" s="162" t="str">
        <f>+VLOOKUP(C13,Lista!B:D,3,0)</f>
        <v>MICRO</v>
      </c>
      <c r="N13" s="371">
        <f t="shared" si="11"/>
        <v>9547.6190476190477</v>
      </c>
      <c r="O13" s="50">
        <f t="shared" si="12"/>
        <v>9</v>
      </c>
      <c r="P13" s="47">
        <f t="shared" si="13"/>
        <v>146.27272727272728</v>
      </c>
      <c r="Q13" s="49">
        <f t="shared" si="14"/>
        <v>174</v>
      </c>
      <c r="R13" s="51">
        <f t="shared" si="15"/>
        <v>146.27272727272728</v>
      </c>
      <c r="S13" s="46">
        <f t="shared" si="16"/>
        <v>80450</v>
      </c>
      <c r="T13" t="str">
        <f t="shared" si="17"/>
        <v/>
      </c>
      <c r="U13">
        <f t="shared" si="18"/>
        <v>20</v>
      </c>
      <c r="Y13" t="str">
        <f>TRIM(Tabla2[[#This Row],[CONDUCTOR]])</f>
        <v>MIRANDA MACHADO ALVARO</v>
      </c>
    </row>
    <row r="14" spans="1:32" x14ac:dyDescent="0.2">
      <c r="B14" s="136" t="s">
        <v>169</v>
      </c>
      <c r="C14" s="166">
        <v>15</v>
      </c>
      <c r="D14" s="151" t="s">
        <v>155</v>
      </c>
      <c r="E14" s="150">
        <v>8</v>
      </c>
      <c r="F14" s="150">
        <v>0</v>
      </c>
      <c r="G14" s="165">
        <v>144</v>
      </c>
      <c r="H14" s="226">
        <f t="shared" si="8"/>
        <v>18</v>
      </c>
      <c r="I14" s="227">
        <f t="shared" si="9"/>
        <v>138.02020202020202</v>
      </c>
      <c r="J14" s="363">
        <f>+Tabla2[[#This Row],[PROM DE USUARIOS]]-Tabla2[[#This Row],[USUARIOS]]</f>
        <v>-5.9797979797979792</v>
      </c>
      <c r="K14" s="151"/>
      <c r="L14" s="163">
        <f t="shared" si="10"/>
        <v>76061.818181818177</v>
      </c>
      <c r="M14" s="162">
        <f>+VLOOKUP(C14,Lista!B:D,3,0)</f>
        <v>0</v>
      </c>
      <c r="N14" s="371">
        <f t="shared" si="11"/>
        <v>9547.6190476190477</v>
      </c>
      <c r="O14" s="50">
        <f t="shared" si="12"/>
        <v>8</v>
      </c>
      <c r="P14" s="47">
        <f t="shared" si="13"/>
        <v>130.02020202020202</v>
      </c>
      <c r="Q14" s="49">
        <f t="shared" si="14"/>
        <v>136</v>
      </c>
      <c r="R14" s="51">
        <f t="shared" si="15"/>
        <v>130.02020202020202</v>
      </c>
      <c r="S14" s="46">
        <f t="shared" si="16"/>
        <v>71511.111111111109</v>
      </c>
      <c r="T14" t="str">
        <f t="shared" si="17"/>
        <v/>
      </c>
      <c r="U14">
        <f t="shared" si="18"/>
        <v>14</v>
      </c>
      <c r="Y14" t="str">
        <f>TRIM(Tabla2[[#This Row],[CONDUCTOR]])</f>
        <v>ESPINOZA CHAVARRIA GUILLERMO LEON</v>
      </c>
    </row>
    <row r="15" spans="1:32" s="2" customFormat="1" ht="22.5" x14ac:dyDescent="0.2">
      <c r="B15" s="136" t="s">
        <v>169</v>
      </c>
      <c r="C15" s="166">
        <v>17</v>
      </c>
      <c r="D15" s="136" t="s">
        <v>162</v>
      </c>
      <c r="E15" s="150">
        <v>10</v>
      </c>
      <c r="F15" s="150">
        <v>0</v>
      </c>
      <c r="G15" s="379">
        <v>170</v>
      </c>
      <c r="H15" s="375">
        <f t="shared" si="8"/>
        <v>17</v>
      </c>
      <c r="I15" s="376">
        <f t="shared" si="9"/>
        <v>172.52525252525254</v>
      </c>
      <c r="J15" s="377">
        <f>+Tabla2[[#This Row],[PROM DE USUARIOS]]-Tabla2[[#This Row],[USUARIOS]]</f>
        <v>2.5252525252525402</v>
      </c>
      <c r="K15" s="378" t="s">
        <v>176</v>
      </c>
      <c r="L15" s="163">
        <f t="shared" si="10"/>
        <v>95077.272727272735</v>
      </c>
      <c r="M15" s="162" t="str">
        <f>+VLOOKUP(C15,Lista!B:D,3,0)</f>
        <v>MICRO</v>
      </c>
      <c r="N15" s="371">
        <f t="shared" si="11"/>
        <v>9547.6190476190477</v>
      </c>
      <c r="O15" s="50">
        <f t="shared" si="12"/>
        <v>10</v>
      </c>
      <c r="P15" s="47">
        <f t="shared" si="13"/>
        <v>162.52525252525254</v>
      </c>
      <c r="Q15" s="49">
        <f t="shared" si="14"/>
        <v>160</v>
      </c>
      <c r="R15" s="51">
        <f t="shared" si="15"/>
        <v>162.52525252525254</v>
      </c>
      <c r="S15" s="46">
        <f t="shared" si="16"/>
        <v>89388.888888888891</v>
      </c>
      <c r="T15" s="2" t="str">
        <f t="shared" si="17"/>
        <v>Se descuenta 0.5 viaje de 8 30 am ya que NO ingresa a la minorista luego de ir al recaudo.</v>
      </c>
      <c r="U15" s="2">
        <f t="shared" si="18"/>
        <v>11</v>
      </c>
      <c r="Y15" s="2" t="str">
        <f>TRIM(Tabla2[[#This Row],[CONDUCTOR]])</f>
        <v>PARRA VILLA YUBER ALONSO</v>
      </c>
    </row>
    <row r="16" spans="1:32" x14ac:dyDescent="0.2">
      <c r="B16" s="136" t="s">
        <v>169</v>
      </c>
      <c r="C16" s="166">
        <v>21</v>
      </c>
      <c r="D16" s="151" t="s">
        <v>163</v>
      </c>
      <c r="E16" s="150">
        <v>12</v>
      </c>
      <c r="F16" s="150">
        <v>0</v>
      </c>
      <c r="G16" s="146">
        <v>215</v>
      </c>
      <c r="H16" s="226">
        <f t="shared" si="8"/>
        <v>17.916666666666668</v>
      </c>
      <c r="I16" s="227">
        <f t="shared" si="9"/>
        <v>207.03030303030303</v>
      </c>
      <c r="J16" s="363">
        <f>+Tabla2[[#This Row],[PROM DE USUARIOS]]-Tabla2[[#This Row],[USUARIOS]]</f>
        <v>-7.9696969696969688</v>
      </c>
      <c r="K16" s="151" t="s">
        <v>172</v>
      </c>
      <c r="L16" s="163">
        <f t="shared" si="10"/>
        <v>114092.72727272728</v>
      </c>
      <c r="M16" s="162" t="str">
        <f>+VLOOKUP(C16,Lista!B:D,3,0)</f>
        <v>MICRO</v>
      </c>
      <c r="N16" s="371">
        <f t="shared" si="11"/>
        <v>9547.6190476190477</v>
      </c>
      <c r="O16" s="50">
        <f t="shared" si="12"/>
        <v>12</v>
      </c>
      <c r="P16" s="47">
        <f t="shared" si="13"/>
        <v>195.03030303030303</v>
      </c>
      <c r="Q16" s="49">
        <f t="shared" si="14"/>
        <v>203</v>
      </c>
      <c r="R16" s="51">
        <f t="shared" si="15"/>
        <v>195.03030303030303</v>
      </c>
      <c r="S16" s="46">
        <f t="shared" si="16"/>
        <v>107266.66666666667</v>
      </c>
      <c r="T16" t="str">
        <f t="shared" si="17"/>
        <v xml:space="preserve">1 Descuento (Usuario desubicado) </v>
      </c>
      <c r="U16">
        <f t="shared" si="18"/>
        <v>13</v>
      </c>
      <c r="Y16" t="str">
        <f>TRIM(Tabla2[[#This Row],[CONDUCTOR]])</f>
        <v>MACIAS HERNANDEZ JULIAN DAVID</v>
      </c>
    </row>
    <row r="17" spans="2:25" s="2" customFormat="1" ht="22.5" x14ac:dyDescent="0.2">
      <c r="B17" s="136" t="s">
        <v>169</v>
      </c>
      <c r="C17" s="166">
        <v>23</v>
      </c>
      <c r="D17" s="136" t="s">
        <v>151</v>
      </c>
      <c r="E17" s="150">
        <v>10</v>
      </c>
      <c r="F17" s="150">
        <v>0.5</v>
      </c>
      <c r="G17" s="374">
        <v>195</v>
      </c>
      <c r="H17" s="375">
        <f t="shared" si="8"/>
        <v>19.5</v>
      </c>
      <c r="I17" s="376">
        <f t="shared" si="9"/>
        <v>172.52525252525254</v>
      </c>
      <c r="J17" s="377">
        <f>+Tabla2[[#This Row],[PROM DE USUARIOS]]-Tabla2[[#This Row],[USUARIOS]]</f>
        <v>-22.47474747474746</v>
      </c>
      <c r="K17" s="378" t="s">
        <v>175</v>
      </c>
      <c r="L17" s="163">
        <f t="shared" si="10"/>
        <v>95077.272727272735</v>
      </c>
      <c r="M17" s="162" t="str">
        <f>+VLOOKUP(C17,Lista!B:D,3,0)</f>
        <v xml:space="preserve">MICRO </v>
      </c>
      <c r="N17" s="371">
        <f t="shared" si="11"/>
        <v>9547.6190476190477</v>
      </c>
      <c r="O17" s="50">
        <f t="shared" si="12"/>
        <v>10</v>
      </c>
      <c r="P17" s="47">
        <f t="shared" si="13"/>
        <v>162.52525252525254</v>
      </c>
      <c r="Q17" s="49">
        <f t="shared" si="14"/>
        <v>185</v>
      </c>
      <c r="R17" s="51">
        <f t="shared" si="15"/>
        <v>162.52525252525254</v>
      </c>
      <c r="S17" s="46">
        <f t="shared" si="16"/>
        <v>89388.888888888891</v>
      </c>
      <c r="T17" s="2" t="str">
        <f t="shared" si="17"/>
        <v xml:space="preserve">Se descuenta 0.5 viaje de 5 40 am ya que NO ingresa a la minorista luego de ir al recaudo. 2 Descuentos (Transbordo) </v>
      </c>
      <c r="U17" s="2">
        <f t="shared" si="18"/>
        <v>18</v>
      </c>
      <c r="Y17" s="2" t="str">
        <f>TRIM(Tabla2[[#This Row],[CONDUCTOR]])</f>
        <v>FRANCO CARVAJAL GERARDO ANTONIO</v>
      </c>
    </row>
    <row r="18" spans="2:25" x14ac:dyDescent="0.2">
      <c r="B18" s="136" t="s">
        <v>169</v>
      </c>
      <c r="C18" s="166">
        <v>27</v>
      </c>
      <c r="D18" s="151" t="s">
        <v>150</v>
      </c>
      <c r="E18" s="150">
        <v>11</v>
      </c>
      <c r="F18" s="150">
        <v>0</v>
      </c>
      <c r="G18" s="165">
        <v>179</v>
      </c>
      <c r="H18" s="226">
        <f t="shared" si="8"/>
        <v>16.272727272727273</v>
      </c>
      <c r="I18" s="227">
        <f t="shared" si="9"/>
        <v>189.77777777777777</v>
      </c>
      <c r="J18" s="363">
        <f>+Tabla2[[#This Row],[PROM DE USUARIOS]]-Tabla2[[#This Row],[USUARIOS]]</f>
        <v>10.777777777777771</v>
      </c>
      <c r="K18" s="151"/>
      <c r="L18" s="163">
        <f t="shared" si="10"/>
        <v>104585</v>
      </c>
      <c r="M18" s="162" t="str">
        <f>+VLOOKUP(C18,Lista!B:D,3,0)</f>
        <v>MICRO</v>
      </c>
      <c r="N18" s="371">
        <f t="shared" si="11"/>
        <v>9547.6190476190477</v>
      </c>
      <c r="O18" s="50">
        <f t="shared" si="12"/>
        <v>11</v>
      </c>
      <c r="P18" s="47">
        <f t="shared" si="13"/>
        <v>178.77777777777777</v>
      </c>
      <c r="Q18" s="49">
        <f t="shared" si="14"/>
        <v>168</v>
      </c>
      <c r="R18" s="51">
        <f t="shared" si="15"/>
        <v>178.77777777777777</v>
      </c>
      <c r="S18" s="46">
        <f t="shared" si="16"/>
        <v>98327.777777777781</v>
      </c>
      <c r="T18" t="str">
        <f t="shared" si="17"/>
        <v/>
      </c>
      <c r="U18">
        <f t="shared" si="18"/>
        <v>6</v>
      </c>
      <c r="Y18" t="str">
        <f>TRIM(Tabla2[[#This Row],[CONDUCTOR]])</f>
        <v>VALENCIA MENDOZA JHON</v>
      </c>
    </row>
    <row r="19" spans="2:25" x14ac:dyDescent="0.2">
      <c r="B19" s="136" t="s">
        <v>169</v>
      </c>
      <c r="C19" s="166">
        <v>31</v>
      </c>
      <c r="D19" s="151" t="s">
        <v>153</v>
      </c>
      <c r="E19" s="150">
        <v>10</v>
      </c>
      <c r="F19" s="150">
        <v>0</v>
      </c>
      <c r="G19" s="165">
        <v>163</v>
      </c>
      <c r="H19" s="226">
        <f t="shared" si="8"/>
        <v>16.3</v>
      </c>
      <c r="I19" s="227">
        <f t="shared" si="9"/>
        <v>172.52525252525254</v>
      </c>
      <c r="J19" s="363">
        <f>+Tabla2[[#This Row],[PROM DE USUARIOS]]-Tabla2[[#This Row],[USUARIOS]]</f>
        <v>9.5252525252525402</v>
      </c>
      <c r="K19" s="151"/>
      <c r="L19" s="163">
        <f t="shared" si="10"/>
        <v>95077.272727272735</v>
      </c>
      <c r="M19" s="162" t="str">
        <f>+VLOOKUP(C19,Lista!B:D,3,0)</f>
        <v>MICRO</v>
      </c>
      <c r="N19" s="371">
        <f t="shared" si="11"/>
        <v>9547.6190476190477</v>
      </c>
      <c r="O19" s="50">
        <f t="shared" si="12"/>
        <v>10</v>
      </c>
      <c r="P19" s="47">
        <f t="shared" si="13"/>
        <v>162.52525252525254</v>
      </c>
      <c r="Q19" s="49">
        <f t="shared" si="14"/>
        <v>153</v>
      </c>
      <c r="R19" s="51">
        <f t="shared" si="15"/>
        <v>162.52525252525254</v>
      </c>
      <c r="S19" s="46">
        <f t="shared" si="16"/>
        <v>89388.888888888891</v>
      </c>
      <c r="T19" t="str">
        <f t="shared" si="17"/>
        <v/>
      </c>
      <c r="U19">
        <f t="shared" si="18"/>
        <v>7</v>
      </c>
      <c r="Y19" t="str">
        <f>TRIM(Tabla2[[#This Row],[CONDUCTOR]])</f>
        <v>HINCAPIE VILLA JUAN ESTIVEN</v>
      </c>
    </row>
    <row r="20" spans="2:25" x14ac:dyDescent="0.2">
      <c r="B20" s="136" t="s">
        <v>169</v>
      </c>
      <c r="C20" s="166">
        <v>35</v>
      </c>
      <c r="D20" s="151" t="s">
        <v>156</v>
      </c>
      <c r="E20" s="150">
        <v>10</v>
      </c>
      <c r="F20" s="150">
        <v>0</v>
      </c>
      <c r="G20" s="165">
        <v>164</v>
      </c>
      <c r="H20" s="226">
        <f t="shared" si="8"/>
        <v>16.399999999999999</v>
      </c>
      <c r="I20" s="227">
        <f t="shared" si="9"/>
        <v>172.52525252525254</v>
      </c>
      <c r="J20" s="363">
        <f>+Tabla2[[#This Row],[PROM DE USUARIOS]]-Tabla2[[#This Row],[USUARIOS]]</f>
        <v>8.5252525252525402</v>
      </c>
      <c r="K20" s="151" t="s">
        <v>173</v>
      </c>
      <c r="L20" s="163">
        <f t="shared" si="10"/>
        <v>95077.272727272735</v>
      </c>
      <c r="M20" s="162">
        <f>+VLOOKUP(C20,Lista!B:D,3,0)</f>
        <v>0</v>
      </c>
      <c r="N20" s="371">
        <f t="shared" si="11"/>
        <v>9547.6190476190477</v>
      </c>
      <c r="O20" s="50">
        <f t="shared" si="12"/>
        <v>10</v>
      </c>
      <c r="P20" s="47">
        <f t="shared" si="13"/>
        <v>162.52525252525254</v>
      </c>
      <c r="Q20" s="49">
        <f t="shared" si="14"/>
        <v>154</v>
      </c>
      <c r="R20" s="51">
        <f t="shared" si="15"/>
        <v>162.52525252525254</v>
      </c>
      <c r="S20" s="46">
        <f t="shared" si="16"/>
        <v>89388.888888888891</v>
      </c>
      <c r="T20" t="str">
        <f t="shared" si="17"/>
        <v xml:space="preserve">2 Descuentos (Usuarios desubicados) </v>
      </c>
      <c r="U20">
        <f t="shared" si="18"/>
        <v>9</v>
      </c>
      <c r="Y20" t="str">
        <f>TRIM(Tabla2[[#This Row],[CONDUCTOR]])</f>
        <v>ARAQUE ARROYAVE JOSE ALBEIRO</v>
      </c>
    </row>
    <row r="21" spans="2:25" x14ac:dyDescent="0.2">
      <c r="B21" s="136" t="s">
        <v>169</v>
      </c>
      <c r="C21" s="137">
        <v>36</v>
      </c>
      <c r="D21" s="151" t="s">
        <v>152</v>
      </c>
      <c r="E21" s="150">
        <v>10</v>
      </c>
      <c r="F21" s="150">
        <v>0</v>
      </c>
      <c r="G21" s="146">
        <v>135</v>
      </c>
      <c r="H21" s="226">
        <f t="shared" si="8"/>
        <v>13.5</v>
      </c>
      <c r="I21" s="227">
        <f t="shared" si="9"/>
        <v>172.52525252525254</v>
      </c>
      <c r="J21" s="363">
        <f>+Tabla2[[#This Row],[PROM DE USUARIOS]]-Tabla2[[#This Row],[USUARIOS]]</f>
        <v>37.52525252525254</v>
      </c>
      <c r="K21" s="151"/>
      <c r="L21" s="163">
        <f t="shared" si="10"/>
        <v>95077.272727272735</v>
      </c>
      <c r="M21" s="162" t="str">
        <f>+VLOOKUP(C21,Lista!B:D,3,0)</f>
        <v>MICRO</v>
      </c>
      <c r="N21" s="371">
        <f t="shared" si="11"/>
        <v>9547.6190476190477</v>
      </c>
      <c r="O21" s="50">
        <f t="shared" si="12"/>
        <v>10</v>
      </c>
      <c r="P21" s="47">
        <f t="shared" si="13"/>
        <v>162.52525252525254</v>
      </c>
      <c r="Q21" s="49">
        <f t="shared" si="14"/>
        <v>125</v>
      </c>
      <c r="R21" s="51">
        <f t="shared" si="15"/>
        <v>162.52525252525254</v>
      </c>
      <c r="S21" s="46">
        <f t="shared" si="16"/>
        <v>89388.888888888891</v>
      </c>
      <c r="T21" t="str">
        <f t="shared" si="17"/>
        <v/>
      </c>
      <c r="U21">
        <f t="shared" si="18"/>
        <v>2</v>
      </c>
      <c r="Y21" t="str">
        <f>TRIM(Tabla2[[#This Row],[CONDUCTOR]])</f>
        <v>JARAMILLO JARAMILLO FRANCISCO WBEIMAR</v>
      </c>
    </row>
    <row r="22" spans="2:25" x14ac:dyDescent="0.2">
      <c r="B22" s="136" t="s">
        <v>169</v>
      </c>
      <c r="C22" s="166">
        <v>37</v>
      </c>
      <c r="D22" s="151" t="s">
        <v>148</v>
      </c>
      <c r="E22" s="150">
        <v>9</v>
      </c>
      <c r="F22" s="150">
        <v>0</v>
      </c>
      <c r="G22" s="165">
        <v>152</v>
      </c>
      <c r="H22" s="226">
        <f t="shared" si="8"/>
        <v>16.888888888888889</v>
      </c>
      <c r="I22" s="227">
        <f t="shared" si="9"/>
        <v>155.27272727272728</v>
      </c>
      <c r="J22" s="363">
        <f>+Tabla2[[#This Row],[PROM DE USUARIOS]]-Tabla2[[#This Row],[USUARIOS]]</f>
        <v>3.2727272727272805</v>
      </c>
      <c r="K22" s="151" t="s">
        <v>173</v>
      </c>
      <c r="L22" s="163">
        <f t="shared" si="10"/>
        <v>85569.545454545456</v>
      </c>
      <c r="M22" s="162">
        <f>+VLOOKUP(C22,Lista!B:D,3,0)</f>
        <v>0</v>
      </c>
      <c r="N22" s="371">
        <f t="shared" si="11"/>
        <v>9547.6190476190477</v>
      </c>
      <c r="O22" s="50">
        <f t="shared" si="12"/>
        <v>9</v>
      </c>
      <c r="P22" s="47">
        <f t="shared" si="13"/>
        <v>146.27272727272728</v>
      </c>
      <c r="Q22" s="49">
        <f t="shared" si="14"/>
        <v>143</v>
      </c>
      <c r="R22" s="51">
        <f t="shared" si="15"/>
        <v>146.27272727272728</v>
      </c>
      <c r="S22" s="46">
        <f t="shared" si="16"/>
        <v>80450</v>
      </c>
      <c r="T22" t="str">
        <f t="shared" si="17"/>
        <v xml:space="preserve">2 Descuentos (Usuarios desubicados) </v>
      </c>
      <c r="U22">
        <f t="shared" si="18"/>
        <v>10</v>
      </c>
      <c r="Y22" t="str">
        <f>TRIM(Tabla2[[#This Row],[CONDUCTOR]])</f>
        <v>VERENZUELA MARTINEZ ALEXANDER</v>
      </c>
    </row>
    <row r="23" spans="2:25" x14ac:dyDescent="0.2">
      <c r="B23" s="136" t="s">
        <v>169</v>
      </c>
      <c r="C23" s="166">
        <v>38</v>
      </c>
      <c r="D23" s="151" t="s">
        <v>159</v>
      </c>
      <c r="E23" s="150">
        <v>7</v>
      </c>
      <c r="F23" s="150">
        <v>0</v>
      </c>
      <c r="G23" s="165">
        <v>75</v>
      </c>
      <c r="H23" s="226">
        <f t="shared" si="8"/>
        <v>10.714285714285714</v>
      </c>
      <c r="I23" s="227">
        <f t="shared" si="9"/>
        <v>120.76767676767676</v>
      </c>
      <c r="J23" s="363">
        <f>+Tabla2[[#This Row],[PROM DE USUARIOS]]-Tabla2[[#This Row],[USUARIOS]]</f>
        <v>45.767676767676761</v>
      </c>
      <c r="K23" s="151"/>
      <c r="L23" s="163">
        <f t="shared" si="10"/>
        <v>66554.090909090912</v>
      </c>
      <c r="M23" s="162" t="str">
        <f>+VLOOKUP(C23,Lista!B:D,3,0)</f>
        <v>MICRO</v>
      </c>
      <c r="N23" s="371">
        <f t="shared" si="11"/>
        <v>9547.6190476190477</v>
      </c>
      <c r="O23" s="50">
        <f t="shared" si="12"/>
        <v>7</v>
      </c>
      <c r="P23" s="47">
        <f t="shared" si="13"/>
        <v>113.76767676767676</v>
      </c>
      <c r="Q23" s="49">
        <f t="shared" si="14"/>
        <v>68</v>
      </c>
      <c r="R23" s="51">
        <f t="shared" si="15"/>
        <v>113.76767676767676</v>
      </c>
      <c r="S23" s="46">
        <f t="shared" si="16"/>
        <v>62572.222222222219</v>
      </c>
      <c r="T23" t="str">
        <f t="shared" si="17"/>
        <v/>
      </c>
      <c r="U23">
        <f t="shared" si="18"/>
        <v>1</v>
      </c>
      <c r="Y23" t="str">
        <f>TRIM(Tabla2[[#This Row],[CONDUCTOR]])</f>
        <v>MARULANDA JARAMILLO DAWER ANDRES</v>
      </c>
    </row>
    <row r="24" spans="2:25" x14ac:dyDescent="0.2">
      <c r="B24" s="136" t="s">
        <v>169</v>
      </c>
      <c r="C24" s="166">
        <v>39</v>
      </c>
      <c r="D24" s="151" t="s">
        <v>166</v>
      </c>
      <c r="E24" s="150">
        <v>10</v>
      </c>
      <c r="F24" s="150"/>
      <c r="G24" s="165">
        <v>153</v>
      </c>
      <c r="H24" s="226">
        <f t="shared" si="8"/>
        <v>15.3</v>
      </c>
      <c r="I24" s="227">
        <f t="shared" si="9"/>
        <v>172.52525252525254</v>
      </c>
      <c r="J24" s="363">
        <f>+Tabla2[[#This Row],[PROM DE USUARIOS]]-Tabla2[[#This Row],[USUARIOS]]</f>
        <v>19.52525252525254</v>
      </c>
      <c r="K24" s="151"/>
      <c r="L24" s="163">
        <f t="shared" si="10"/>
        <v>95077.272727272735</v>
      </c>
      <c r="M24" s="162" t="str">
        <f>+VLOOKUP(C24,Lista!B:D,3,0)</f>
        <v>MICRO</v>
      </c>
      <c r="N24" s="371">
        <f t="shared" si="11"/>
        <v>9547.6190476190477</v>
      </c>
      <c r="O24" s="50">
        <f t="shared" si="12"/>
        <v>10</v>
      </c>
      <c r="P24" s="47">
        <f t="shared" si="13"/>
        <v>162.52525252525254</v>
      </c>
      <c r="Q24" s="49">
        <f t="shared" si="14"/>
        <v>143</v>
      </c>
      <c r="R24" s="51">
        <f t="shared" si="15"/>
        <v>162.52525252525254</v>
      </c>
      <c r="S24" s="46">
        <f t="shared" si="16"/>
        <v>89388.888888888891</v>
      </c>
      <c r="T24" t="str">
        <f t="shared" si="17"/>
        <v/>
      </c>
      <c r="U24">
        <f t="shared" si="18"/>
        <v>5</v>
      </c>
      <c r="Y24" t="str">
        <f>TRIM(Tabla2[[#This Row],[CONDUCTOR]])</f>
        <v>MACEA ARBELAEZ MATEO</v>
      </c>
    </row>
    <row r="25" spans="2:25" x14ac:dyDescent="0.2">
      <c r="B25" s="136" t="s">
        <v>169</v>
      </c>
      <c r="C25" s="166">
        <v>41</v>
      </c>
      <c r="D25" s="151" t="s">
        <v>165</v>
      </c>
      <c r="E25" s="150">
        <v>8</v>
      </c>
      <c r="F25" s="150">
        <v>0</v>
      </c>
      <c r="G25" s="165">
        <v>150</v>
      </c>
      <c r="H25" s="226">
        <f t="shared" si="8"/>
        <v>18.75</v>
      </c>
      <c r="I25" s="227">
        <f t="shared" si="9"/>
        <v>138.02020202020202</v>
      </c>
      <c r="J25" s="363">
        <f>+Tabla2[[#This Row],[PROM DE USUARIOS]]-Tabla2[[#This Row],[USUARIOS]]</f>
        <v>-11.979797979797979</v>
      </c>
      <c r="K25" s="151"/>
      <c r="L25" s="163">
        <f t="shared" si="10"/>
        <v>76061.818181818177</v>
      </c>
      <c r="M25" s="162">
        <f>+VLOOKUP(C25,Lista!B:D,3,0)</f>
        <v>0</v>
      </c>
      <c r="N25" s="371">
        <f t="shared" si="11"/>
        <v>9547.6190476190477</v>
      </c>
      <c r="O25" s="50">
        <f t="shared" si="12"/>
        <v>8</v>
      </c>
      <c r="P25" s="47">
        <f t="shared" si="13"/>
        <v>130.02020202020202</v>
      </c>
      <c r="Q25" s="49">
        <f t="shared" si="14"/>
        <v>142</v>
      </c>
      <c r="R25" s="51">
        <f t="shared" si="15"/>
        <v>130.02020202020202</v>
      </c>
      <c r="S25" s="46">
        <f t="shared" si="16"/>
        <v>71511.111111111109</v>
      </c>
      <c r="T25" t="str">
        <f t="shared" si="17"/>
        <v/>
      </c>
      <c r="U25">
        <f t="shared" si="18"/>
        <v>16</v>
      </c>
      <c r="Y25" t="str">
        <f>TRIM(Tabla2[[#This Row],[CONDUCTOR]])</f>
        <v>GARCIA DAVID WILSON ALBERTO</v>
      </c>
    </row>
    <row r="26" spans="2:25" x14ac:dyDescent="0.2">
      <c r="B26" s="136" t="s">
        <v>169</v>
      </c>
      <c r="C26" s="137">
        <v>42</v>
      </c>
      <c r="D26" s="151" t="s">
        <v>154</v>
      </c>
      <c r="E26" s="150">
        <v>10</v>
      </c>
      <c r="F26" s="150">
        <v>0</v>
      </c>
      <c r="G26" s="146">
        <v>184</v>
      </c>
      <c r="H26" s="226">
        <f t="shared" si="8"/>
        <v>18.399999999999999</v>
      </c>
      <c r="I26" s="227">
        <f t="shared" si="9"/>
        <v>172.52525252525254</v>
      </c>
      <c r="J26" s="363">
        <f>+Tabla2[[#This Row],[PROM DE USUARIOS]]-Tabla2[[#This Row],[USUARIOS]]</f>
        <v>-11.47474747474746</v>
      </c>
      <c r="K26" s="151"/>
      <c r="L26" s="163">
        <f t="shared" si="10"/>
        <v>95077.272727272735</v>
      </c>
      <c r="M26" s="162">
        <f>+VLOOKUP(C26,Lista!B:D,3,0)</f>
        <v>0</v>
      </c>
      <c r="N26" s="371">
        <f t="shared" si="11"/>
        <v>9547.6190476190477</v>
      </c>
      <c r="O26" s="50">
        <f t="shared" si="12"/>
        <v>10</v>
      </c>
      <c r="P26" s="47">
        <f t="shared" si="13"/>
        <v>162.52525252525254</v>
      </c>
      <c r="Q26" s="49">
        <f t="shared" si="14"/>
        <v>174</v>
      </c>
      <c r="R26" s="51">
        <f t="shared" si="15"/>
        <v>162.52525252525254</v>
      </c>
      <c r="S26" s="46">
        <f t="shared" si="16"/>
        <v>89388.888888888891</v>
      </c>
      <c r="T26" t="str">
        <f t="shared" si="17"/>
        <v/>
      </c>
      <c r="U26">
        <f t="shared" si="18"/>
        <v>15</v>
      </c>
      <c r="Y26" t="str">
        <f>TRIM(Tabla2[[#This Row],[CONDUCTOR]])</f>
        <v>LOPERA ALVAREZ ESTIVEN</v>
      </c>
    </row>
    <row r="27" spans="2:25" x14ac:dyDescent="0.2">
      <c r="B27" s="136" t="s">
        <v>169</v>
      </c>
      <c r="C27" s="166">
        <v>43</v>
      </c>
      <c r="D27" s="151" t="s">
        <v>161</v>
      </c>
      <c r="E27" s="150">
        <v>9</v>
      </c>
      <c r="F27" s="150">
        <v>0</v>
      </c>
      <c r="G27" s="165">
        <v>136</v>
      </c>
      <c r="H27" s="226">
        <f t="shared" si="8"/>
        <v>15.111111111111111</v>
      </c>
      <c r="I27" s="227">
        <f t="shared" si="9"/>
        <v>155.27272727272728</v>
      </c>
      <c r="J27" s="363">
        <f>+Tabla2[[#This Row],[PROM DE USUARIOS]]-Tabla2[[#This Row],[USUARIOS]]</f>
        <v>19.27272727272728</v>
      </c>
      <c r="K27" s="151" t="s">
        <v>174</v>
      </c>
      <c r="L27" s="163">
        <f t="shared" si="10"/>
        <v>85569.545454545456</v>
      </c>
      <c r="M27" s="162">
        <f>+VLOOKUP(C27,Lista!B:D,3,0)</f>
        <v>0</v>
      </c>
      <c r="N27" s="371">
        <f t="shared" si="11"/>
        <v>9547.6190476190477</v>
      </c>
      <c r="O27" s="50">
        <f t="shared" si="12"/>
        <v>9</v>
      </c>
      <c r="P27" s="47">
        <f t="shared" si="13"/>
        <v>146.27272727272728</v>
      </c>
      <c r="Q27" s="49">
        <f t="shared" si="14"/>
        <v>127</v>
      </c>
      <c r="R27" s="51">
        <f t="shared" si="15"/>
        <v>146.27272727272728</v>
      </c>
      <c r="S27" s="46">
        <f t="shared" si="16"/>
        <v>80450</v>
      </c>
      <c r="T27" t="str">
        <f t="shared" si="17"/>
        <v xml:space="preserve">2 Descuentos (Conduct y despachador) </v>
      </c>
      <c r="U27">
        <f t="shared" si="18"/>
        <v>4</v>
      </c>
      <c r="Y27" t="str">
        <f>TRIM(Tabla2[[#This Row],[CONDUCTOR]])</f>
        <v>CALLE BOTERO ANDRES CAMILO</v>
      </c>
    </row>
    <row r="28" spans="2:25" x14ac:dyDescent="0.2">
      <c r="B28" s="232"/>
      <c r="C28" s="239">
        <f>SUBTOTAL(102,Tabla2[VEH])</f>
        <v>21</v>
      </c>
      <c r="D28" s="233" t="s">
        <v>129</v>
      </c>
      <c r="E28" s="234">
        <f>SUBTOTAL(109,Tabla2[VIAJES])</f>
        <v>198</v>
      </c>
      <c r="F28" s="234">
        <f>SUBTOTAL(109,Tabla2[VIAJES PERD.])</f>
        <v>0.5</v>
      </c>
      <c r="G28" s="240">
        <f>SUBTOTAL(109,Tabla2[USUARIOS])</f>
        <v>3416</v>
      </c>
      <c r="H28" s="373">
        <f>+Tabla2[[#Totals],[USUARIOS]]/Tabla2[[#Totals],[VIAJES]]</f>
        <v>17.252525252525253</v>
      </c>
      <c r="I28" s="240">
        <f>SUBTOTAL(109,Tabla2[PROM DE USUARIOS])</f>
        <v>3416.0000000000009</v>
      </c>
      <c r="J28" s="372">
        <f>SUBTOTAL(109,Tabla2[RECIBE / ENTREGA])</f>
        <v>1.4210854715202004E-13</v>
      </c>
      <c r="K28" s="235" t="s">
        <v>177</v>
      </c>
      <c r="L28" s="236"/>
      <c r="M28" s="237"/>
      <c r="N28" s="238">
        <f>SUBTOTAL(109,Tabla2[DIFER. MICRO - BUS ])</f>
        <v>200500.00000000006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7:S29" si="19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9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ref="S30:S44" si="20">+R30*550</f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20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20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20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20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20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20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20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20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20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20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20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20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20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20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:S46" si="21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21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2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25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25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25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25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25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25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26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26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26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26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26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4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21" priority="175" operator="containsText" text="M">
      <formula>NOT(ISERROR(SEARCH("M",M7)))</formula>
    </cfRule>
  </conditionalFormatting>
  <conditionalFormatting sqref="U6">
    <cfRule type="cellIs" dxfId="20" priority="172" operator="between">
      <formula>1</formula>
      <formula>4</formula>
    </cfRule>
  </conditionalFormatting>
  <conditionalFormatting sqref="E29:E1158 E7:E27">
    <cfRule type="cellIs" dxfId="19" priority="170" operator="greaterThan">
      <formula>7</formula>
    </cfRule>
  </conditionalFormatting>
  <conditionalFormatting sqref="E1468:E4746">
    <cfRule type="cellIs" dxfId="18" priority="137" operator="greaterThan">
      <formula>7</formula>
    </cfRule>
  </conditionalFormatting>
  <conditionalFormatting sqref="I29:I1230 G29:G31 I7:I27">
    <cfRule type="cellIs" dxfId="17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16" priority="297711" operator="greaterThan">
      <formula>$H$28</formula>
    </cfRule>
  </conditionalFormatting>
  <conditionalFormatting sqref="L7:L1230">
    <cfRule type="top10" dxfId="15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112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113</v>
      </c>
      <c r="E2" s="369"/>
      <c r="F2" s="369"/>
      <c r="G2" s="369"/>
      <c r="H2" s="369"/>
      <c r="I2" s="369"/>
      <c r="J2" s="369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117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2025-11-18T05:05:29Z</dcterms:modified>
</cp:coreProperties>
</file>