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vA\Master\IBED stage\Jolanda\Data\Lab_data\"/>
    </mc:Choice>
  </mc:AlternateContent>
  <bookViews>
    <workbookView xWindow="0" yWindow="0" windowWidth="28800" windowHeight="12435"/>
  </bookViews>
  <sheets>
    <sheet name="pigments" sheetId="1" r:id="rId1"/>
    <sheet name="dissolved nutrients" sheetId="2" r:id="rId2"/>
    <sheet name="DIC-DIC" sheetId="3" r:id="rId3"/>
    <sheet name="DW-part" sheetId="4" r:id="rId4"/>
  </sheets>
  <calcPr calcId="152511"/>
</workbook>
</file>

<file path=xl/calcChain.xml><?xml version="1.0" encoding="utf-8"?>
<calcChain xmlns="http://schemas.openxmlformats.org/spreadsheetml/2006/main">
  <c r="AB171" i="1" l="1"/>
  <c r="AB172" i="1"/>
  <c r="AB170" i="1"/>
  <c r="AB176" i="1"/>
  <c r="AB177" i="1"/>
  <c r="AB178" i="1"/>
  <c r="AD178" i="1"/>
  <c r="AB182" i="1"/>
  <c r="AB183" i="1"/>
  <c r="AB184" i="1"/>
  <c r="AB116" i="1"/>
  <c r="AB117" i="1"/>
  <c r="AB118" i="1"/>
  <c r="AB122" i="1"/>
  <c r="AB123" i="1"/>
  <c r="AB124" i="1"/>
  <c r="AB128" i="1"/>
  <c r="AB129" i="1"/>
  <c r="AB130" i="1"/>
  <c r="AB134" i="1"/>
  <c r="AB135" i="1"/>
  <c r="AB136" i="1"/>
  <c r="AB140" i="1"/>
  <c r="AC142" i="1" s="1"/>
  <c r="AB141" i="1"/>
  <c r="AB142" i="1"/>
  <c r="AB146" i="1"/>
  <c r="AB147" i="1"/>
  <c r="AB148" i="1"/>
  <c r="AB152" i="1"/>
  <c r="AB153" i="1"/>
  <c r="AB154" i="1"/>
  <c r="AB158" i="1"/>
  <c r="AD160" i="1" s="1"/>
  <c r="AB159" i="1"/>
  <c r="AB160" i="1"/>
  <c r="AB164" i="1"/>
  <c r="AB165" i="1"/>
  <c r="AB166" i="1"/>
  <c r="AB104" i="1"/>
  <c r="AB105" i="1"/>
  <c r="AB106" i="1"/>
  <c r="AB110" i="1"/>
  <c r="AD112" i="1" s="1"/>
  <c r="AB111" i="1"/>
  <c r="AB112" i="1"/>
  <c r="AB100" i="1"/>
  <c r="AB99" i="1"/>
  <c r="AB98" i="1"/>
  <c r="AD100" i="1" s="1"/>
  <c r="AB2" i="1"/>
  <c r="AD124" i="1" l="1"/>
  <c r="AC136" i="1"/>
  <c r="AC178" i="1"/>
  <c r="AC148" i="1"/>
  <c r="AD142" i="1"/>
  <c r="AD172" i="1"/>
  <c r="AC172" i="1"/>
  <c r="AC184" i="1"/>
  <c r="AD184" i="1"/>
  <c r="AD166" i="1"/>
  <c r="AC160" i="1"/>
  <c r="AC154" i="1"/>
  <c r="AD148" i="1"/>
  <c r="AC130" i="1"/>
  <c r="AC124" i="1"/>
  <c r="AC118" i="1"/>
  <c r="AD130" i="1"/>
  <c r="AD118" i="1"/>
  <c r="AC166" i="1"/>
  <c r="AD136" i="1"/>
  <c r="AD154" i="1"/>
  <c r="AC112" i="1"/>
  <c r="AD106" i="1"/>
  <c r="AC106" i="1"/>
  <c r="AC100" i="1"/>
  <c r="H127" i="4"/>
  <c r="H126" i="4"/>
  <c r="I126" i="4" s="1"/>
  <c r="J126" i="4" s="1"/>
  <c r="K126" i="4" s="1"/>
  <c r="H125" i="4"/>
  <c r="H124" i="4"/>
  <c r="H123" i="4"/>
  <c r="I123" i="4" s="1"/>
  <c r="J123" i="4" s="1"/>
  <c r="K123" i="4" s="1"/>
  <c r="H122" i="4"/>
  <c r="I122" i="4" s="1"/>
  <c r="G127" i="4"/>
  <c r="G126" i="4"/>
  <c r="G125" i="4"/>
  <c r="G124" i="4"/>
  <c r="G123" i="4"/>
  <c r="G122" i="4"/>
  <c r="H121" i="4"/>
  <c r="I121" i="4" s="1"/>
  <c r="J121" i="4" s="1"/>
  <c r="K121" i="4" s="1"/>
  <c r="H120" i="4"/>
  <c r="I120" i="4" s="1"/>
  <c r="J120" i="4" s="1"/>
  <c r="K120" i="4" s="1"/>
  <c r="H119" i="4"/>
  <c r="H118" i="4"/>
  <c r="H117" i="4"/>
  <c r="I117" i="4" s="1"/>
  <c r="J117" i="4" s="1"/>
  <c r="K117" i="4" s="1"/>
  <c r="H116" i="4"/>
  <c r="I116" i="4" s="1"/>
  <c r="J116" i="4" s="1"/>
  <c r="K116" i="4" s="1"/>
  <c r="G121" i="4"/>
  <c r="G120" i="4"/>
  <c r="G119" i="4"/>
  <c r="I119" i="4" s="1"/>
  <c r="J119" i="4" s="1"/>
  <c r="K119" i="4" s="1"/>
  <c r="G118" i="4"/>
  <c r="I118" i="4" s="1"/>
  <c r="J118" i="4" s="1"/>
  <c r="K118" i="4" s="1"/>
  <c r="G117" i="4"/>
  <c r="G116" i="4"/>
  <c r="H115" i="4"/>
  <c r="H114" i="4"/>
  <c r="I114" i="4" s="1"/>
  <c r="J114" i="4" s="1"/>
  <c r="K114" i="4" s="1"/>
  <c r="H113" i="4"/>
  <c r="I113" i="4" s="1"/>
  <c r="J113" i="4" s="1"/>
  <c r="K113" i="4" s="1"/>
  <c r="H112" i="4"/>
  <c r="I112" i="4" s="1"/>
  <c r="J112" i="4" s="1"/>
  <c r="K112" i="4" s="1"/>
  <c r="H111" i="4"/>
  <c r="H110" i="4"/>
  <c r="G115" i="4"/>
  <c r="G114" i="4"/>
  <c r="G113" i="4"/>
  <c r="G112" i="4"/>
  <c r="G111" i="4"/>
  <c r="G110" i="4"/>
  <c r="I115" i="4" l="1"/>
  <c r="J115" i="4" s="1"/>
  <c r="K115" i="4" s="1"/>
  <c r="I124" i="4"/>
  <c r="J124" i="4" s="1"/>
  <c r="K124" i="4" s="1"/>
  <c r="I125" i="4"/>
  <c r="J125" i="4" s="1"/>
  <c r="K125" i="4" s="1"/>
  <c r="I110" i="4"/>
  <c r="J110" i="4" s="1"/>
  <c r="K110" i="4" s="1"/>
  <c r="R20" i="4" s="1"/>
  <c r="I127" i="4"/>
  <c r="J127" i="4" s="1"/>
  <c r="K127" i="4" s="1"/>
  <c r="I111" i="4"/>
  <c r="J111" i="4" s="1"/>
  <c r="K111" i="4" s="1"/>
  <c r="Q20" i="4" s="1"/>
  <c r="R21" i="4"/>
  <c r="Q21" i="4"/>
  <c r="H145" i="4"/>
  <c r="H144" i="4"/>
  <c r="H143" i="4"/>
  <c r="H142" i="4"/>
  <c r="I142" i="4" s="1"/>
  <c r="H141" i="4"/>
  <c r="I141" i="4" s="1"/>
  <c r="H140" i="4"/>
  <c r="G145" i="4"/>
  <c r="G144" i="4"/>
  <c r="G143" i="4"/>
  <c r="I143" i="4" s="1"/>
  <c r="G142" i="4"/>
  <c r="G141" i="4"/>
  <c r="G140" i="4"/>
  <c r="I138" i="4"/>
  <c r="H139" i="4"/>
  <c r="H138" i="4"/>
  <c r="H137" i="4"/>
  <c r="I137" i="4" s="1"/>
  <c r="H136" i="4"/>
  <c r="I136" i="4" s="1"/>
  <c r="H135" i="4"/>
  <c r="H134" i="4"/>
  <c r="I134" i="4" s="1"/>
  <c r="G139" i="4"/>
  <c r="I139" i="4" s="1"/>
  <c r="G138" i="4"/>
  <c r="G137" i="4"/>
  <c r="G136" i="4"/>
  <c r="G135" i="4"/>
  <c r="G134" i="4"/>
  <c r="H133" i="4"/>
  <c r="I133" i="4" s="1"/>
  <c r="H132" i="4"/>
  <c r="I132" i="4" s="1"/>
  <c r="H131" i="4"/>
  <c r="I131" i="4" s="1"/>
  <c r="H130" i="4"/>
  <c r="H129" i="4"/>
  <c r="H128" i="4"/>
  <c r="I128" i="4" s="1"/>
  <c r="G133" i="4"/>
  <c r="G132" i="4"/>
  <c r="G131" i="4"/>
  <c r="G130" i="4"/>
  <c r="G129" i="4"/>
  <c r="G128" i="4"/>
  <c r="I140" i="4" l="1"/>
  <c r="I135" i="4"/>
  <c r="I144" i="4"/>
  <c r="I145" i="4"/>
  <c r="I129" i="4"/>
  <c r="I130" i="4"/>
  <c r="J144" i="4"/>
  <c r="K144" i="4" s="1"/>
  <c r="E151" i="4"/>
  <c r="E149" i="4"/>
  <c r="E150" i="4"/>
  <c r="E148" i="4"/>
  <c r="E147" i="4"/>
  <c r="E146" i="4"/>
  <c r="E145" i="4"/>
  <c r="J145" i="4" s="1"/>
  <c r="K145" i="4" s="1"/>
  <c r="E144" i="4"/>
  <c r="E143" i="4"/>
  <c r="J143" i="4" s="1"/>
  <c r="K143" i="4" s="1"/>
  <c r="E142" i="4"/>
  <c r="J142" i="4" s="1"/>
  <c r="K142" i="4" s="1"/>
  <c r="E141" i="4"/>
  <c r="J141" i="4" s="1"/>
  <c r="K141" i="4" s="1"/>
  <c r="E140" i="4"/>
  <c r="J140" i="4" s="1"/>
  <c r="K140" i="4" s="1"/>
  <c r="E139" i="4"/>
  <c r="J139" i="4" s="1"/>
  <c r="K139" i="4" s="1"/>
  <c r="Q25" i="4" l="1"/>
  <c r="R25" i="4"/>
  <c r="E138" i="4"/>
  <c r="J138" i="4" s="1"/>
  <c r="K138" i="4" s="1"/>
  <c r="E137" i="4"/>
  <c r="J137" i="4" s="1"/>
  <c r="K137" i="4" s="1"/>
  <c r="E136" i="4"/>
  <c r="J136" i="4" s="1"/>
  <c r="K136" i="4" s="1"/>
  <c r="E135" i="4"/>
  <c r="J135" i="4" s="1"/>
  <c r="K135" i="4" s="1"/>
  <c r="E134" i="4"/>
  <c r="J134" i="4" s="1"/>
  <c r="K134" i="4" s="1"/>
  <c r="R24" i="4" l="1"/>
  <c r="Q24" i="4"/>
  <c r="E133" i="4"/>
  <c r="J133" i="4" s="1"/>
  <c r="K133" i="4" s="1"/>
  <c r="E132" i="4"/>
  <c r="J132" i="4" s="1"/>
  <c r="K132" i="4" s="1"/>
  <c r="E131" i="4"/>
  <c r="J131" i="4" s="1"/>
  <c r="K131" i="4" s="1"/>
  <c r="E130" i="4"/>
  <c r="J130" i="4" s="1"/>
  <c r="K130" i="4" s="1"/>
  <c r="E129" i="4"/>
  <c r="J129" i="4" s="1"/>
  <c r="K129" i="4" s="1"/>
  <c r="E128" i="4"/>
  <c r="J128" i="4" s="1"/>
  <c r="K128" i="4" s="1"/>
  <c r="Q23" i="4" l="1"/>
  <c r="R23" i="4"/>
  <c r="H85" i="4"/>
  <c r="H84" i="4"/>
  <c r="H83" i="4"/>
  <c r="H82" i="4"/>
  <c r="H81" i="4"/>
  <c r="I81" i="4" s="1"/>
  <c r="J81" i="4" s="1"/>
  <c r="K81" i="4" s="1"/>
  <c r="H80" i="4"/>
  <c r="G77" i="4"/>
  <c r="H79" i="4"/>
  <c r="H78" i="4"/>
  <c r="H77" i="4"/>
  <c r="H76" i="4"/>
  <c r="H75" i="4"/>
  <c r="H74" i="4"/>
  <c r="H73" i="4"/>
  <c r="H72" i="4"/>
  <c r="H71" i="4"/>
  <c r="H70" i="4"/>
  <c r="H69" i="4"/>
  <c r="H68" i="4"/>
  <c r="H67" i="4"/>
  <c r="H66" i="4"/>
  <c r="H65" i="4"/>
  <c r="H63" i="4"/>
  <c r="H64" i="4"/>
  <c r="H62" i="4"/>
  <c r="H58" i="4"/>
  <c r="H61" i="4"/>
  <c r="H60" i="4"/>
  <c r="I60" i="4" s="1"/>
  <c r="J60" i="4" s="1"/>
  <c r="K60" i="4" s="1"/>
  <c r="H59" i="4"/>
  <c r="H57" i="4"/>
  <c r="H56" i="4"/>
  <c r="H55" i="4"/>
  <c r="H54" i="4"/>
  <c r="H53" i="4"/>
  <c r="H52" i="4"/>
  <c r="H51" i="4"/>
  <c r="I51" i="4" s="1"/>
  <c r="J51" i="4" s="1"/>
  <c r="K51" i="4" s="1"/>
  <c r="H50" i="4"/>
  <c r="H49" i="4"/>
  <c r="H48" i="4"/>
  <c r="H47" i="4"/>
  <c r="H46" i="4"/>
  <c r="H45" i="4"/>
  <c r="H44" i="4"/>
  <c r="H43" i="4"/>
  <c r="H42" i="4"/>
  <c r="H41" i="4"/>
  <c r="H40" i="4"/>
  <c r="H39" i="4"/>
  <c r="J37" i="4"/>
  <c r="H38" i="4"/>
  <c r="I38" i="4" s="1"/>
  <c r="J38" i="4" s="1"/>
  <c r="K38" i="4" s="1"/>
  <c r="G85" i="4"/>
  <c r="G84" i="4"/>
  <c r="I84" i="4" s="1"/>
  <c r="J84" i="4" s="1"/>
  <c r="K84" i="4" s="1"/>
  <c r="G83" i="4"/>
  <c r="G82" i="4"/>
  <c r="G81" i="4"/>
  <c r="G80" i="4"/>
  <c r="G79" i="4"/>
  <c r="G78" i="4"/>
  <c r="G76" i="4"/>
  <c r="I76" i="4" s="1"/>
  <c r="J76" i="4" s="1"/>
  <c r="K76" i="4" s="1"/>
  <c r="G75" i="4"/>
  <c r="G74" i="4"/>
  <c r="G73" i="4"/>
  <c r="I73" i="4" s="1"/>
  <c r="J73" i="4" s="1"/>
  <c r="K73" i="4" s="1"/>
  <c r="G72" i="4"/>
  <c r="G71" i="4"/>
  <c r="I71" i="4" s="1"/>
  <c r="J71" i="4" s="1"/>
  <c r="K71" i="4" s="1"/>
  <c r="G70" i="4"/>
  <c r="G69" i="4"/>
  <c r="G68" i="4"/>
  <c r="G67" i="4"/>
  <c r="G66" i="4"/>
  <c r="I66" i="4" s="1"/>
  <c r="J66" i="4" s="1"/>
  <c r="K66" i="4" s="1"/>
  <c r="G65" i="4"/>
  <c r="G64" i="4"/>
  <c r="I64" i="4" s="1"/>
  <c r="J64" i="4" s="1"/>
  <c r="K64" i="4" s="1"/>
  <c r="G63" i="4"/>
  <c r="G62" i="4"/>
  <c r="G61" i="4"/>
  <c r="G60" i="4"/>
  <c r="G59" i="4"/>
  <c r="G58" i="4"/>
  <c r="G57" i="4"/>
  <c r="G56" i="4"/>
  <c r="G55" i="4"/>
  <c r="G54" i="4"/>
  <c r="G53" i="4"/>
  <c r="G52" i="4"/>
  <c r="I52" i="4" s="1"/>
  <c r="J52" i="4" s="1"/>
  <c r="K52" i="4" s="1"/>
  <c r="G51" i="4"/>
  <c r="G50" i="4"/>
  <c r="G49" i="4"/>
  <c r="I49" i="4" s="1"/>
  <c r="J49" i="4" s="1"/>
  <c r="K49" i="4" s="1"/>
  <c r="G48" i="4"/>
  <c r="G47" i="4"/>
  <c r="G46" i="4"/>
  <c r="G45" i="4"/>
  <c r="G44" i="4"/>
  <c r="G43" i="4"/>
  <c r="G42" i="4"/>
  <c r="G41" i="4"/>
  <c r="I41" i="4" s="1"/>
  <c r="J41" i="4" s="1"/>
  <c r="K41" i="4" s="1"/>
  <c r="G40" i="4"/>
  <c r="G39" i="4"/>
  <c r="I39" i="4" s="1"/>
  <c r="J39" i="4" s="1"/>
  <c r="K39" i="4" s="1"/>
  <c r="G38" i="4"/>
  <c r="I61" i="4" l="1"/>
  <c r="J61" i="4" s="1"/>
  <c r="K61" i="4" s="1"/>
  <c r="I68" i="4"/>
  <c r="J68" i="4" s="1"/>
  <c r="K68" i="4" s="1"/>
  <c r="I82" i="4"/>
  <c r="J82" i="4" s="1"/>
  <c r="K82" i="4" s="1"/>
  <c r="I58" i="4"/>
  <c r="J58" i="4" s="1"/>
  <c r="K58" i="4" s="1"/>
  <c r="I69" i="4"/>
  <c r="J69" i="4" s="1"/>
  <c r="K69" i="4" s="1"/>
  <c r="Q13" i="4" s="1"/>
  <c r="I83" i="4"/>
  <c r="J83" i="4" s="1"/>
  <c r="K83" i="4" s="1"/>
  <c r="I46" i="4"/>
  <c r="J46" i="4" s="1"/>
  <c r="K46" i="4" s="1"/>
  <c r="I54" i="4"/>
  <c r="J54" i="4" s="1"/>
  <c r="K54" i="4" s="1"/>
  <c r="I62" i="4"/>
  <c r="J62" i="4" s="1"/>
  <c r="K62" i="4" s="1"/>
  <c r="R12" i="4" s="1"/>
  <c r="I70" i="4"/>
  <c r="J70" i="4" s="1"/>
  <c r="K70" i="4" s="1"/>
  <c r="I78" i="4"/>
  <c r="J78" i="4" s="1"/>
  <c r="K78" i="4" s="1"/>
  <c r="I55" i="4"/>
  <c r="J55" i="4" s="1"/>
  <c r="K55" i="4" s="1"/>
  <c r="I79" i="4"/>
  <c r="J79" i="4" s="1"/>
  <c r="K79" i="4" s="1"/>
  <c r="I85" i="4"/>
  <c r="J85" i="4" s="1"/>
  <c r="K85" i="4" s="1"/>
  <c r="I40" i="4"/>
  <c r="J40" i="4" s="1"/>
  <c r="K40" i="4" s="1"/>
  <c r="I48" i="4"/>
  <c r="J48" i="4" s="1"/>
  <c r="K48" i="4" s="1"/>
  <c r="I56" i="4"/>
  <c r="J56" i="4" s="1"/>
  <c r="K56" i="4" s="1"/>
  <c r="R11" i="4" s="1"/>
  <c r="I63" i="4"/>
  <c r="J63" i="4" s="1"/>
  <c r="K63" i="4" s="1"/>
  <c r="I72" i="4"/>
  <c r="J72" i="4" s="1"/>
  <c r="K72" i="4" s="1"/>
  <c r="I43" i="4"/>
  <c r="J43" i="4" s="1"/>
  <c r="K43" i="4" s="1"/>
  <c r="I67" i="4"/>
  <c r="J67" i="4" s="1"/>
  <c r="K67" i="4" s="1"/>
  <c r="I75" i="4"/>
  <c r="J75" i="4" s="1"/>
  <c r="K75" i="4" s="1"/>
  <c r="I57" i="4"/>
  <c r="J57" i="4" s="1"/>
  <c r="K57" i="4" s="1"/>
  <c r="I65" i="4"/>
  <c r="J65" i="4" s="1"/>
  <c r="K65" i="4" s="1"/>
  <c r="Q12" i="4" s="1"/>
  <c r="I77" i="4"/>
  <c r="J77" i="4" s="1"/>
  <c r="K77" i="4" s="1"/>
  <c r="R14" i="4" s="1"/>
  <c r="I59" i="4"/>
  <c r="J59" i="4" s="1"/>
  <c r="K59" i="4" s="1"/>
  <c r="I74" i="4"/>
  <c r="J74" i="4" s="1"/>
  <c r="K74" i="4" s="1"/>
  <c r="I80" i="4"/>
  <c r="J80" i="4" s="1"/>
  <c r="K80" i="4" s="1"/>
  <c r="R13" i="4"/>
  <c r="Q11" i="4"/>
  <c r="R15" i="4"/>
  <c r="Q15" i="4"/>
  <c r="I47" i="4"/>
  <c r="J47" i="4" s="1"/>
  <c r="K47" i="4" s="1"/>
  <c r="I42" i="4"/>
  <c r="J42" i="4" s="1"/>
  <c r="K42" i="4" s="1"/>
  <c r="Q8" i="4" s="1"/>
  <c r="I50" i="4"/>
  <c r="J50" i="4" s="1"/>
  <c r="K50" i="4" s="1"/>
  <c r="I44" i="4"/>
  <c r="J44" i="4" s="1"/>
  <c r="K44" i="4" s="1"/>
  <c r="I45" i="4"/>
  <c r="J45" i="4" s="1"/>
  <c r="K45" i="4" s="1"/>
  <c r="I53" i="4"/>
  <c r="J53" i="4" s="1"/>
  <c r="K53" i="4" s="1"/>
  <c r="E122" i="4"/>
  <c r="J122" i="4" s="1"/>
  <c r="K122" i="4" s="1"/>
  <c r="Q14" i="4" l="1"/>
  <c r="R10" i="4"/>
  <c r="Q10" i="4"/>
  <c r="R9" i="4"/>
  <c r="Q9" i="4"/>
  <c r="R22" i="4"/>
  <c r="Q22" i="4"/>
  <c r="R8" i="4"/>
  <c r="H109" i="4" l="1"/>
  <c r="H108" i="4"/>
  <c r="H107" i="4"/>
  <c r="H106" i="4"/>
  <c r="H105" i="4"/>
  <c r="H104" i="4"/>
  <c r="H103" i="4"/>
  <c r="I103" i="4" s="1"/>
  <c r="J103" i="4" s="1"/>
  <c r="K103" i="4" s="1"/>
  <c r="H102" i="4"/>
  <c r="I102" i="4" s="1"/>
  <c r="J102" i="4" s="1"/>
  <c r="K102" i="4" s="1"/>
  <c r="H101" i="4"/>
  <c r="I101" i="4" s="1"/>
  <c r="J101" i="4" s="1"/>
  <c r="K101" i="4" s="1"/>
  <c r="H100" i="4"/>
  <c r="H99" i="4"/>
  <c r="I99" i="4" s="1"/>
  <c r="J99" i="4" s="1"/>
  <c r="K99" i="4" s="1"/>
  <c r="H98" i="4"/>
  <c r="H97" i="4"/>
  <c r="I97" i="4" s="1"/>
  <c r="J97" i="4" s="1"/>
  <c r="K97" i="4" s="1"/>
  <c r="H96" i="4"/>
  <c r="H95" i="4"/>
  <c r="I95" i="4" s="1"/>
  <c r="J95" i="4" s="1"/>
  <c r="K95" i="4" s="1"/>
  <c r="H94" i="4"/>
  <c r="I94" i="4" s="1"/>
  <c r="J94" i="4" s="1"/>
  <c r="K94" i="4" s="1"/>
  <c r="H93" i="4"/>
  <c r="I93" i="4" s="1"/>
  <c r="J93" i="4" s="1"/>
  <c r="K93" i="4" s="1"/>
  <c r="H92" i="4"/>
  <c r="H91" i="4"/>
  <c r="I91" i="4" s="1"/>
  <c r="J91" i="4" s="1"/>
  <c r="K91" i="4" s="1"/>
  <c r="H90" i="4"/>
  <c r="I90" i="4" s="1"/>
  <c r="J90" i="4" s="1"/>
  <c r="K90" i="4" s="1"/>
  <c r="H89" i="4"/>
  <c r="I89" i="4" s="1"/>
  <c r="J89" i="4" s="1"/>
  <c r="K89" i="4" s="1"/>
  <c r="H88" i="4"/>
  <c r="H87" i="4"/>
  <c r="I87" i="4" s="1"/>
  <c r="J87" i="4" s="1"/>
  <c r="K87" i="4" s="1"/>
  <c r="I88" i="4"/>
  <c r="J88" i="4" s="1"/>
  <c r="K88" i="4" s="1"/>
  <c r="I92" i="4"/>
  <c r="J92" i="4" s="1"/>
  <c r="K92" i="4" s="1"/>
  <c r="I96" i="4"/>
  <c r="J96" i="4" s="1"/>
  <c r="K96" i="4" s="1"/>
  <c r="I98" i="4"/>
  <c r="J98" i="4" s="1"/>
  <c r="K98" i="4" s="1"/>
  <c r="I100" i="4"/>
  <c r="J100" i="4" s="1"/>
  <c r="K100" i="4" s="1"/>
  <c r="H86" i="4"/>
  <c r="I86" i="4" s="1"/>
  <c r="J86" i="4" s="1"/>
  <c r="K86" i="4" s="1"/>
  <c r="R17" i="4" l="1"/>
  <c r="Q17" i="4"/>
  <c r="R18" i="4"/>
  <c r="Q18" i="4"/>
  <c r="Q16" i="4"/>
  <c r="R16" i="4"/>
  <c r="I105" i="4"/>
  <c r="J105" i="4" s="1"/>
  <c r="K105" i="4" s="1"/>
  <c r="I106" i="4"/>
  <c r="J106" i="4" s="1"/>
  <c r="K106" i="4" s="1"/>
  <c r="I107" i="4"/>
  <c r="J107" i="4" s="1"/>
  <c r="K107" i="4" s="1"/>
  <c r="I108" i="4"/>
  <c r="J108" i="4" s="1"/>
  <c r="K108" i="4" s="1"/>
  <c r="I109" i="4"/>
  <c r="J109" i="4" s="1"/>
  <c r="K109" i="4" s="1"/>
  <c r="I104" i="4"/>
  <c r="J104" i="4" s="1"/>
  <c r="K104" i="4" s="1"/>
  <c r="Q19" i="4" l="1"/>
  <c r="R19" i="4"/>
  <c r="AB94" i="1"/>
  <c r="AB93" i="1"/>
  <c r="AB92" i="1"/>
  <c r="AB88" i="1"/>
  <c r="AB87" i="1"/>
  <c r="AB86" i="1"/>
  <c r="AB82" i="1"/>
  <c r="AB81" i="1"/>
  <c r="AB80" i="1"/>
  <c r="AB76" i="1"/>
  <c r="AB75" i="1"/>
  <c r="AB74" i="1"/>
  <c r="AB70" i="1"/>
  <c r="AB69" i="1"/>
  <c r="AB68" i="1"/>
  <c r="AB64" i="1"/>
  <c r="AB63" i="1"/>
  <c r="AB62" i="1"/>
  <c r="AB58" i="1"/>
  <c r="AB57" i="1"/>
  <c r="AB56" i="1"/>
  <c r="AB52" i="1"/>
  <c r="AB51" i="1"/>
  <c r="AB50" i="1"/>
  <c r="AB46" i="1"/>
  <c r="AB45" i="1"/>
  <c r="AB44" i="1"/>
  <c r="AB40" i="1"/>
  <c r="AB39" i="1"/>
  <c r="AB38" i="1"/>
  <c r="AB34" i="1"/>
  <c r="AB33" i="1"/>
  <c r="AB32" i="1"/>
  <c r="AB28" i="1"/>
  <c r="AB27" i="1"/>
  <c r="AB26" i="1"/>
  <c r="AB22" i="1"/>
  <c r="AB21" i="1"/>
  <c r="AB20" i="1"/>
  <c r="AB16" i="1"/>
  <c r="AB15" i="1"/>
  <c r="AB14" i="1"/>
  <c r="AB10" i="1"/>
  <c r="AB9" i="1"/>
  <c r="AB8" i="1"/>
  <c r="AB3" i="1"/>
  <c r="AB4" i="1"/>
  <c r="AD64" i="1" l="1"/>
  <c r="AD70" i="1"/>
  <c r="AC88" i="1"/>
  <c r="AD76" i="1"/>
  <c r="AD94" i="1"/>
  <c r="AC82" i="1"/>
  <c r="AD88" i="1"/>
  <c r="AC94" i="1"/>
  <c r="AD82" i="1"/>
  <c r="AC64" i="1"/>
  <c r="AC76" i="1"/>
  <c r="AC70" i="1"/>
  <c r="AC58" i="1"/>
  <c r="AC52" i="1"/>
  <c r="AD52" i="1"/>
  <c r="AD58" i="1" l="1"/>
  <c r="AD46" i="1"/>
  <c r="AD40" i="1"/>
  <c r="AC40" i="1"/>
  <c r="AC46" i="1" l="1"/>
  <c r="M49" i="4"/>
  <c r="N49" i="4" s="1"/>
  <c r="M48" i="4"/>
  <c r="N48" i="4" s="1"/>
  <c r="M47" i="4"/>
  <c r="N47" i="4" s="1"/>
  <c r="M46" i="4"/>
  <c r="N46" i="4" s="1"/>
  <c r="M45" i="4"/>
  <c r="N45" i="4" s="1"/>
  <c r="M44" i="4"/>
  <c r="N44" i="4" s="1"/>
  <c r="J32" i="4" l="1"/>
  <c r="K32" i="4" s="1"/>
  <c r="J33" i="4"/>
  <c r="K33" i="4" s="1"/>
  <c r="J34" i="4"/>
  <c r="K34" i="4" s="1"/>
  <c r="J35" i="4"/>
  <c r="K35" i="4" s="1"/>
  <c r="J36" i="4"/>
  <c r="K36" i="4" s="1"/>
  <c r="M38" i="4"/>
  <c r="N38" i="4" s="1"/>
  <c r="M39" i="4"/>
  <c r="N39" i="4" s="1"/>
  <c r="M40" i="4"/>
  <c r="N40" i="4" s="1"/>
  <c r="M41" i="4"/>
  <c r="N41" i="4" s="1"/>
  <c r="M42" i="4"/>
  <c r="N42" i="4" s="1"/>
  <c r="M43" i="4"/>
  <c r="N43" i="4" s="1"/>
  <c r="K37" i="4"/>
  <c r="R7" i="4" l="1"/>
  <c r="Q7" i="4"/>
  <c r="AD4" i="1"/>
  <c r="AD34" i="1" l="1"/>
  <c r="AC28" i="1"/>
  <c r="AD22" i="1"/>
  <c r="AD16" i="1"/>
  <c r="AD10" i="1"/>
  <c r="AC4" i="1"/>
  <c r="AC16" i="1"/>
  <c r="AD28" i="1"/>
  <c r="AC10" i="1"/>
  <c r="AC22" i="1"/>
  <c r="AC34" i="1"/>
  <c r="J31" i="4"/>
  <c r="K31" i="4" s="1"/>
  <c r="J30" i="4"/>
  <c r="K30" i="4" s="1"/>
  <c r="J29" i="4"/>
  <c r="K29" i="4" s="1"/>
  <c r="J28" i="4"/>
  <c r="K28" i="4" s="1"/>
  <c r="J27" i="4"/>
  <c r="K27" i="4" s="1"/>
  <c r="J26" i="4"/>
  <c r="K26" i="4" s="1"/>
  <c r="J25" i="4"/>
  <c r="K25" i="4" s="1"/>
  <c r="J24" i="4"/>
  <c r="K24" i="4" s="1"/>
  <c r="J23" i="4"/>
  <c r="K23" i="4" s="1"/>
  <c r="J22" i="4"/>
  <c r="K22" i="4" s="1"/>
  <c r="J21" i="4"/>
  <c r="K21" i="4" s="1"/>
  <c r="J20" i="4"/>
  <c r="K20" i="4" s="1"/>
  <c r="Q5" i="4" l="1"/>
  <c r="R5" i="4"/>
  <c r="Q6" i="4"/>
  <c r="R6" i="4"/>
  <c r="J19" i="4"/>
  <c r="K19" i="4"/>
  <c r="J18" i="4"/>
  <c r="K18" i="4" s="1"/>
  <c r="J17" i="4"/>
  <c r="K17" i="4" s="1"/>
  <c r="J16" i="4"/>
  <c r="K16" i="4"/>
  <c r="J15" i="4"/>
  <c r="K15" i="4" s="1"/>
  <c r="J14" i="4"/>
  <c r="K14" i="4" s="1"/>
  <c r="R4" i="4" l="1"/>
  <c r="Q4" i="4"/>
  <c r="J3" i="4"/>
  <c r="K3" i="4" s="1"/>
  <c r="J4" i="4"/>
  <c r="K4" i="4" s="1"/>
  <c r="J5" i="4"/>
  <c r="K5" i="4" s="1"/>
  <c r="J6" i="4"/>
  <c r="K6" i="4" s="1"/>
  <c r="J7" i="4"/>
  <c r="K7" i="4" s="1"/>
  <c r="J8" i="4"/>
  <c r="K8" i="4" s="1"/>
  <c r="J9" i="4"/>
  <c r="K9" i="4" s="1"/>
  <c r="J10" i="4"/>
  <c r="K10" i="4" s="1"/>
  <c r="J11" i="4"/>
  <c r="K11" i="4" s="1"/>
  <c r="J12" i="4"/>
  <c r="K12" i="4" s="1"/>
  <c r="J13" i="4"/>
  <c r="K13" i="4" s="1"/>
  <c r="J2" i="4"/>
  <c r="K2" i="4" s="1"/>
  <c r="Q3" i="4" l="1"/>
  <c r="R3" i="4"/>
  <c r="R2" i="4"/>
  <c r="Q2" i="4"/>
</calcChain>
</file>

<file path=xl/comments1.xml><?xml version="1.0" encoding="utf-8"?>
<comments xmlns="http://schemas.openxmlformats.org/spreadsheetml/2006/main">
  <authors>
    <author>Jolanda Verspagen</author>
  </authors>
  <commentList>
    <comment ref="F4" authorId="0" shapeId="0">
      <text>
        <r>
          <rPr>
            <b/>
            <sz val="9"/>
            <color indexed="81"/>
            <rFont val="Tahoma"/>
            <family val="2"/>
          </rPr>
          <t>Jolanda Verspagen:</t>
        </r>
        <r>
          <rPr>
            <sz val="9"/>
            <color indexed="81"/>
            <rFont val="Tahoma"/>
            <family val="2"/>
          </rPr>
          <t xml:space="preserve">
recycled
</t>
        </r>
      </text>
    </comment>
  </commentList>
</comments>
</file>

<file path=xl/sharedStrings.xml><?xml version="1.0" encoding="utf-8"?>
<sst xmlns="http://schemas.openxmlformats.org/spreadsheetml/2006/main" count="845" uniqueCount="163">
  <si>
    <t>date</t>
  </si>
  <si>
    <t>volume</t>
  </si>
  <si>
    <t>filter</t>
  </si>
  <si>
    <t>GFF</t>
  </si>
  <si>
    <t>filternr</t>
  </si>
  <si>
    <t>filter weight (mg)</t>
  </si>
  <si>
    <t>filter + sample (mg)</t>
  </si>
  <si>
    <t>mg/L</t>
  </si>
  <si>
    <t>sample (mg)</t>
  </si>
  <si>
    <t>r^2</t>
  </si>
  <si>
    <t>Chl a</t>
  </si>
  <si>
    <t>Chl b</t>
  </si>
  <si>
    <t>Chl c1</t>
  </si>
  <si>
    <t>pheophytin A</t>
  </si>
  <si>
    <t>pheoB</t>
  </si>
  <si>
    <t>antheraxanthin</t>
  </si>
  <si>
    <t>betacarotene</t>
  </si>
  <si>
    <t>transLutein</t>
  </si>
  <si>
    <t>betacryptoxanthin</t>
  </si>
  <si>
    <t>cisCanthaxanthin</t>
  </si>
  <si>
    <t>transCanthaxanthin</t>
  </si>
  <si>
    <t>cisEchinenone</t>
  </si>
  <si>
    <t>transMyxoxanthophyll</t>
  </si>
  <si>
    <t>cis9Zeaxanthin</t>
  </si>
  <si>
    <t>cis13zeaxanthin</t>
  </si>
  <si>
    <t>fucoxanthin</t>
  </si>
  <si>
    <t>chl a (ug/L)</t>
  </si>
  <si>
    <t>extraction vol (ml)</t>
  </si>
  <si>
    <t>volume (ml)</t>
  </si>
  <si>
    <t>library</t>
  </si>
  <si>
    <t>Chl c2</t>
  </si>
  <si>
    <t>prefiltered over GFF</t>
  </si>
  <si>
    <t>centrifuged for 20 min at 4000 rpm, supernatant filtered over 0.45 um</t>
  </si>
  <si>
    <t>sample manipulation</t>
  </si>
  <si>
    <t>sample analysis</t>
  </si>
  <si>
    <t>14/7 - 15/7</t>
  </si>
  <si>
    <t>remaining</t>
  </si>
  <si>
    <t>x</t>
  </si>
  <si>
    <t>R</t>
  </si>
  <si>
    <t>centrifuged for 20 min at 4000 rpm, supernatant filtered over 0.45 um, flash frozen</t>
  </si>
  <si>
    <t>sample treatment</t>
  </si>
  <si>
    <t>DIC 14/7/ - 15-7</t>
  </si>
  <si>
    <t>remarks</t>
  </si>
  <si>
    <t>precipitates in sample, DIC lower than non-frozen sample</t>
  </si>
  <si>
    <t>Alk 20/7/16</t>
  </si>
  <si>
    <t>Alk 13/7/16</t>
  </si>
  <si>
    <t>Alk 6/7/16</t>
  </si>
  <si>
    <t>Alk 27/7/16</t>
  </si>
  <si>
    <t>dilution after extraction</t>
  </si>
  <si>
    <t>chl a</t>
  </si>
  <si>
    <t>stdev</t>
  </si>
  <si>
    <t>transZeaxanthin</t>
  </si>
  <si>
    <t>epp (mg)</t>
  </si>
  <si>
    <t>epp + sample (mg)</t>
  </si>
  <si>
    <t>DW (mg/L)</t>
  </si>
  <si>
    <t>name epp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</si>
  <si>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</si>
  <si>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</si>
  <si>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</si>
  <si>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</si>
  <si>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</si>
  <si>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</si>
  <si>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</si>
  <si>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</si>
  <si>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</si>
  <si>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</si>
  <si>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</si>
  <si>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</si>
  <si>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</si>
  <si>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</si>
  <si>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</si>
  <si>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</si>
  <si>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</si>
  <si>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</si>
  <si>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</si>
  <si>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</si>
  <si>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</si>
  <si>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</si>
  <si>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</si>
  <si>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</si>
  <si>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E1</t>
  </si>
  <si>
    <t>E2</t>
  </si>
  <si>
    <t>E3</t>
  </si>
  <si>
    <t>E4</t>
  </si>
  <si>
    <t>E5</t>
  </si>
  <si>
    <t>E6</t>
  </si>
  <si>
    <t>F1</t>
  </si>
  <si>
    <t>F2</t>
  </si>
  <si>
    <t>F3</t>
  </si>
  <si>
    <t>F4</t>
  </si>
  <si>
    <t>F5</t>
  </si>
  <si>
    <t>F6</t>
  </si>
  <si>
    <t>G1</t>
  </si>
  <si>
    <t>G2</t>
  </si>
  <si>
    <t>G3</t>
  </si>
  <si>
    <t>G4</t>
  </si>
  <si>
    <t>G5</t>
  </si>
  <si>
    <t>G6</t>
  </si>
  <si>
    <t>H1</t>
  </si>
  <si>
    <t>H2</t>
  </si>
  <si>
    <t>H3</t>
  </si>
  <si>
    <t>H4</t>
  </si>
  <si>
    <t>H5</t>
  </si>
  <si>
    <t>H6</t>
  </si>
  <si>
    <t>I1</t>
  </si>
  <si>
    <t>I2</t>
  </si>
  <si>
    <t>I3</t>
  </si>
  <si>
    <t>I4</t>
  </si>
  <si>
    <t>I5</t>
  </si>
  <si>
    <t>I6</t>
  </si>
  <si>
    <t>J1</t>
  </si>
  <si>
    <t>J2</t>
  </si>
  <si>
    <t>J3</t>
  </si>
  <si>
    <t>J4</t>
  </si>
  <si>
    <t>J5</t>
  </si>
  <si>
    <t>J6</t>
  </si>
  <si>
    <t>K1</t>
  </si>
  <si>
    <t>K2</t>
  </si>
  <si>
    <t>K3</t>
  </si>
  <si>
    <t>K4</t>
  </si>
  <si>
    <t>K5</t>
  </si>
  <si>
    <t>K6</t>
  </si>
  <si>
    <t>L1</t>
  </si>
  <si>
    <t>L2</t>
  </si>
  <si>
    <t>L3</t>
  </si>
  <si>
    <t>L4</t>
  </si>
  <si>
    <t>L5</t>
  </si>
  <si>
    <t>L6</t>
  </si>
  <si>
    <t>P1</t>
  </si>
  <si>
    <t>P2</t>
  </si>
  <si>
    <t>P3</t>
  </si>
  <si>
    <t>P4</t>
  </si>
  <si>
    <t>P5</t>
  </si>
  <si>
    <t>P6</t>
  </si>
  <si>
    <t>Q1</t>
  </si>
  <si>
    <t>Q2</t>
  </si>
  <si>
    <t>Q3</t>
  </si>
  <si>
    <t>Q4</t>
  </si>
  <si>
    <t>R1</t>
  </si>
  <si>
    <t>R2</t>
  </si>
  <si>
    <t>R3</t>
  </si>
  <si>
    <t>R4</t>
  </si>
  <si>
    <t>R5</t>
  </si>
  <si>
    <t>R6</t>
  </si>
  <si>
    <t>M1</t>
  </si>
  <si>
    <t>M2</t>
  </si>
  <si>
    <t>M3</t>
  </si>
  <si>
    <t>M4</t>
  </si>
  <si>
    <t>M5</t>
  </si>
  <si>
    <t>M6</t>
  </si>
  <si>
    <t>N1</t>
  </si>
  <si>
    <t>N2</t>
  </si>
  <si>
    <t>N3</t>
  </si>
  <si>
    <t>N4</t>
  </si>
  <si>
    <t>N5</t>
  </si>
  <si>
    <t>N6</t>
  </si>
  <si>
    <t>O1</t>
  </si>
  <si>
    <t>O2</t>
  </si>
  <si>
    <t>O3</t>
  </si>
  <si>
    <t>O4</t>
  </si>
  <si>
    <t>O5</t>
  </si>
  <si>
    <t>O6</t>
  </si>
  <si>
    <t>CYANO +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</si>
</sst>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"/>
    <numFmt numFmtId="165" formatCode="dd/mm/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0" fillId="0" borderId="0" xfId="0" applyNumberFormat="1"/>
    <xf numFmtId="164" fontId="0" fillId="0" borderId="0" xfId="0" applyNumberFormat="1"/>
    <xf numFmtId="11" fontId="0" fillId="0" borderId="0" xfId="0" applyNumberFormat="1"/>
    <xf numFmtId="11" fontId="1" fillId="2" borderId="0" xfId="0" applyNumberFormat="1" applyFont="1" applyFill="1"/>
    <xf numFmtId="0" fontId="4" fillId="0" borderId="0" xfId="0" applyFont="1"/>
    <xf numFmtId="0" fontId="5" fillId="0" borderId="0" xfId="0" applyFont="1"/>
    <xf numFmtId="165" fontId="0" fillId="0" borderId="0" xfId="0" applyNumberFormat="1"/>
    <xf numFmtId="0" fontId="0" fillId="3" borderId="0" xfId="0" applyFill="1"/>
    <xf numFmtId="0" fontId="0" fillId="0" borderId="0" xfId="0" applyFill="1"/>
    <xf numFmtId="0" fontId="0" fillId="2" borderId="0" xfId="0" applyFill="1"/>
    <xf numFmtId="14" fontId="0" fillId="0" borderId="0" xfId="0" applyNumberFormat="1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607174103237096E-2"/>
          <c:y val="5.6030183727034118E-2"/>
          <c:w val="0.8498449256342957"/>
          <c:h val="0.8326195683872849"/>
        </c:manualLayout>
      </c:layout>
      <c:scatterChart>
        <c:scatterStyle val="lineMarker"/>
        <c:varyColors val="0"/>
        <c:ser>
          <c:idx val="0"/>
          <c:order val="0"/>
          <c:tx>
            <c:strRef>
              <c:f>pigments!$AG$1</c:f>
              <c:strCache>
                <c:ptCount val="1"/>
                <c:pt idx="0">
                  <c:v>chl a</c:v>
                </c:pt>
              </c:strCache>
            </c:strRef>
          </c:tx>
          <c:spPr>
            <a:ln w="19050">
              <a:solidFill>
                <a:schemeClr val="accent1"/>
              </a:solidFill>
            </a:ln>
          </c:spPr>
          <c:marker>
            <c:symbol val="diamond"/>
            <c:size val="2"/>
          </c:marker>
          <c:errBars>
            <c:errDir val="y"/>
            <c:errBarType val="both"/>
            <c:errValType val="cust"/>
            <c:noEndCap val="0"/>
            <c:plus>
              <c:numRef>
                <c:f>pigments!$AH$2:$AH$31</c:f>
                <c:numCache>
                  <c:formatCode>General</c:formatCode>
                  <c:ptCount val="30"/>
                  <c:pt idx="0">
                    <c:v>1.033169337524106</c:v>
                  </c:pt>
                  <c:pt idx="1">
                    <c:v>0.27796064469633125</c:v>
                  </c:pt>
                  <c:pt idx="2">
                    <c:v>0.28508461901687954</c:v>
                  </c:pt>
                  <c:pt idx="3">
                    <c:v>0.73873134494212445</c:v>
                  </c:pt>
                  <c:pt idx="4">
                    <c:v>1.1226998886612565</c:v>
                  </c:pt>
                  <c:pt idx="5">
                    <c:v>0.60078948060031856</c:v>
                  </c:pt>
                  <c:pt idx="6">
                    <c:v>2.6511017103898395</c:v>
                  </c:pt>
                  <c:pt idx="7">
                    <c:v>0.36340142954039029</c:v>
                  </c:pt>
                  <c:pt idx="8">
                    <c:v>3.2879616786088022</c:v>
                  </c:pt>
                  <c:pt idx="9">
                    <c:v>2.7943514453267833</c:v>
                  </c:pt>
                  <c:pt idx="10">
                    <c:v>5.4655588405944275</c:v>
                  </c:pt>
                  <c:pt idx="11">
                    <c:v>12.283959648256744</c:v>
                  </c:pt>
                  <c:pt idx="12">
                    <c:v>5.8426229178340776</c:v>
                  </c:pt>
                  <c:pt idx="13">
                    <c:v>5.3846437653757393</c:v>
                  </c:pt>
                  <c:pt idx="14">
                    <c:v>8.6432783780229752</c:v>
                  </c:pt>
                  <c:pt idx="15">
                    <c:v>14.275978727919172</c:v>
                  </c:pt>
                  <c:pt idx="16">
                    <c:v>18.811630551337092</c:v>
                  </c:pt>
                  <c:pt idx="17">
                    <c:v>3.8205821545937351</c:v>
                  </c:pt>
                  <c:pt idx="18">
                    <c:v>1.8810645921924329</c:v>
                  </c:pt>
                  <c:pt idx="19">
                    <c:v>2.9884423768913373</c:v>
                  </c:pt>
                  <c:pt idx="20">
                    <c:v>17.34783871264656</c:v>
                  </c:pt>
                  <c:pt idx="21">
                    <c:v>7.8750154285563294</c:v>
                  </c:pt>
                  <c:pt idx="22">
                    <c:v>13.474401971145122</c:v>
                  </c:pt>
                  <c:pt idx="23">
                    <c:v>3.5438045995793765</c:v>
                  </c:pt>
                  <c:pt idx="24">
                    <c:v>7.6191786643968404</c:v>
                  </c:pt>
                  <c:pt idx="25">
                    <c:v>2.2227813657667657</c:v>
                  </c:pt>
                  <c:pt idx="26">
                    <c:v>0.69870920990066332</c:v>
                  </c:pt>
                  <c:pt idx="27">
                    <c:v>4.15249869837427</c:v>
                  </c:pt>
                  <c:pt idx="28">
                    <c:v>0.62641379295159227</c:v>
                  </c:pt>
                  <c:pt idx="29">
                    <c:v>0.9135226105576143</c:v>
                  </c:pt>
                </c:numCache>
              </c:numRef>
            </c:plus>
            <c:minus>
              <c:numRef>
                <c:f>pigments!$AH$2:$AH$31</c:f>
                <c:numCache>
                  <c:formatCode>General</c:formatCode>
                  <c:ptCount val="30"/>
                  <c:pt idx="0">
                    <c:v>1.033169337524106</c:v>
                  </c:pt>
                  <c:pt idx="1">
                    <c:v>0.27796064469633125</c:v>
                  </c:pt>
                  <c:pt idx="2">
                    <c:v>0.28508461901687954</c:v>
                  </c:pt>
                  <c:pt idx="3">
                    <c:v>0.73873134494212445</c:v>
                  </c:pt>
                  <c:pt idx="4">
                    <c:v>1.1226998886612565</c:v>
                  </c:pt>
                  <c:pt idx="5">
                    <c:v>0.60078948060031856</c:v>
                  </c:pt>
                  <c:pt idx="6">
                    <c:v>2.6511017103898395</c:v>
                  </c:pt>
                  <c:pt idx="7">
                    <c:v>0.36340142954039029</c:v>
                  </c:pt>
                  <c:pt idx="8">
                    <c:v>3.2879616786088022</c:v>
                  </c:pt>
                  <c:pt idx="9">
                    <c:v>2.7943514453267833</c:v>
                  </c:pt>
                  <c:pt idx="10">
                    <c:v>5.4655588405944275</c:v>
                  </c:pt>
                  <c:pt idx="11">
                    <c:v>12.283959648256744</c:v>
                  </c:pt>
                  <c:pt idx="12">
                    <c:v>5.8426229178340776</c:v>
                  </c:pt>
                  <c:pt idx="13">
                    <c:v>5.3846437653757393</c:v>
                  </c:pt>
                  <c:pt idx="14">
                    <c:v>8.6432783780229752</c:v>
                  </c:pt>
                  <c:pt idx="15">
                    <c:v>14.275978727919172</c:v>
                  </c:pt>
                  <c:pt idx="16">
                    <c:v>18.811630551337092</c:v>
                  </c:pt>
                  <c:pt idx="17">
                    <c:v>3.8205821545937351</c:v>
                  </c:pt>
                  <c:pt idx="18">
                    <c:v>1.8810645921924329</c:v>
                  </c:pt>
                  <c:pt idx="19">
                    <c:v>2.9884423768913373</c:v>
                  </c:pt>
                  <c:pt idx="20">
                    <c:v>17.34783871264656</c:v>
                  </c:pt>
                  <c:pt idx="21">
                    <c:v>7.8750154285563294</c:v>
                  </c:pt>
                  <c:pt idx="22">
                    <c:v>13.474401971145122</c:v>
                  </c:pt>
                  <c:pt idx="23">
                    <c:v>3.5438045995793765</c:v>
                  </c:pt>
                  <c:pt idx="24">
                    <c:v>7.6191786643968404</c:v>
                  </c:pt>
                  <c:pt idx="25">
                    <c:v>2.2227813657667657</c:v>
                  </c:pt>
                  <c:pt idx="26">
                    <c:v>0.69870920990066332</c:v>
                  </c:pt>
                  <c:pt idx="27">
                    <c:v>4.15249869837427</c:v>
                  </c:pt>
                  <c:pt idx="28">
                    <c:v>0.62641379295159227</c:v>
                  </c:pt>
                  <c:pt idx="29">
                    <c:v>0.9135226105576143</c:v>
                  </c:pt>
                </c:numCache>
              </c:numRef>
            </c:minus>
          </c:errBars>
          <c:xVal>
            <c:numRef>
              <c:f>pigments!$AF$2:$AF$31</c:f>
              <c:numCache>
                <c:formatCode>m/d/yyyy</c:formatCode>
                <c:ptCount val="30"/>
                <c:pt idx="0">
                  <c:v>42439</c:v>
                </c:pt>
                <c:pt idx="1">
                  <c:v>42461</c:v>
                </c:pt>
                <c:pt idx="2">
                  <c:v>42480</c:v>
                </c:pt>
                <c:pt idx="3">
                  <c:v>42494</c:v>
                </c:pt>
                <c:pt idx="4">
                  <c:v>42501</c:v>
                </c:pt>
                <c:pt idx="5">
                  <c:v>42508</c:v>
                </c:pt>
                <c:pt idx="6">
                  <c:v>42515</c:v>
                </c:pt>
                <c:pt idx="7">
                  <c:v>42522</c:v>
                </c:pt>
                <c:pt idx="8">
                  <c:v>42536</c:v>
                </c:pt>
                <c:pt idx="9">
                  <c:v>42544</c:v>
                </c:pt>
                <c:pt idx="10">
                  <c:v>42550</c:v>
                </c:pt>
                <c:pt idx="11">
                  <c:v>42557</c:v>
                </c:pt>
                <c:pt idx="12">
                  <c:v>42564</c:v>
                </c:pt>
                <c:pt idx="13">
                  <c:v>42571</c:v>
                </c:pt>
                <c:pt idx="14">
                  <c:v>42578</c:v>
                </c:pt>
                <c:pt idx="15">
                  <c:v>42585</c:v>
                </c:pt>
                <c:pt idx="16">
                  <c:v>42592</c:v>
                </c:pt>
                <c:pt idx="17">
                  <c:v>42599</c:v>
                </c:pt>
                <c:pt idx="18">
                  <c:v>42606</c:v>
                </c:pt>
                <c:pt idx="19">
                  <c:v>42620</c:v>
                </c:pt>
                <c:pt idx="20">
                  <c:v>42627</c:v>
                </c:pt>
                <c:pt idx="21">
                  <c:v>42634</c:v>
                </c:pt>
                <c:pt idx="22">
                  <c:v>42641</c:v>
                </c:pt>
                <c:pt idx="23">
                  <c:v>42649</c:v>
                </c:pt>
                <c:pt idx="24">
                  <c:v>42655</c:v>
                </c:pt>
                <c:pt idx="25">
                  <c:v>42662</c:v>
                </c:pt>
                <c:pt idx="26">
                  <c:v>42669</c:v>
                </c:pt>
                <c:pt idx="27">
                  <c:v>42678</c:v>
                </c:pt>
                <c:pt idx="28">
                  <c:v>42683</c:v>
                </c:pt>
                <c:pt idx="29">
                  <c:v>42691</c:v>
                </c:pt>
              </c:numCache>
            </c:numRef>
          </c:xVal>
          <c:yVal>
            <c:numRef>
              <c:f>pigments!$AG$2:$AG$31</c:f>
              <c:numCache>
                <c:formatCode>General</c:formatCode>
                <c:ptCount val="30"/>
                <c:pt idx="0">
                  <c:v>22.168800000000005</c:v>
                </c:pt>
                <c:pt idx="1">
                  <c:v>10.365</c:v>
                </c:pt>
                <c:pt idx="2">
                  <c:v>13.702799999999998</c:v>
                </c:pt>
                <c:pt idx="3">
                  <c:v>12.5616</c:v>
                </c:pt>
                <c:pt idx="4">
                  <c:v>9.1919999999999984</c:v>
                </c:pt>
                <c:pt idx="5">
                  <c:v>12.854000000000001</c:v>
                </c:pt>
                <c:pt idx="6">
                  <c:v>20.305440000000001</c:v>
                </c:pt>
                <c:pt idx="7">
                  <c:v>19.779755999999999</c:v>
                </c:pt>
                <c:pt idx="8">
                  <c:v>116.83800000000001</c:v>
                </c:pt>
                <c:pt idx="9">
                  <c:v>183.06719999999999</c:v>
                </c:pt>
                <c:pt idx="10">
                  <c:v>164.7072</c:v>
                </c:pt>
                <c:pt idx="11">
                  <c:v>177.58799999999997</c:v>
                </c:pt>
                <c:pt idx="12">
                  <c:v>197.57039999999998</c:v>
                </c:pt>
                <c:pt idx="13">
                  <c:v>223.88159999999996</c:v>
                </c:pt>
                <c:pt idx="14">
                  <c:v>322.14959999999996</c:v>
                </c:pt>
                <c:pt idx="15">
                  <c:v>410.78879999999998</c:v>
                </c:pt>
                <c:pt idx="16">
                  <c:v>428.952</c:v>
                </c:pt>
                <c:pt idx="17">
                  <c:v>390.06</c:v>
                </c:pt>
                <c:pt idx="18">
                  <c:v>301.91399999999999</c:v>
                </c:pt>
                <c:pt idx="19">
                  <c:v>243.41759999999999</c:v>
                </c:pt>
                <c:pt idx="20">
                  <c:v>261.69599999999997</c:v>
                </c:pt>
                <c:pt idx="21">
                  <c:v>192.708</c:v>
                </c:pt>
                <c:pt idx="22">
                  <c:v>159.0864</c:v>
                </c:pt>
                <c:pt idx="23">
                  <c:v>143.89920000000001</c:v>
                </c:pt>
                <c:pt idx="24">
                  <c:v>110.67840000000001</c:v>
                </c:pt>
                <c:pt idx="25">
                  <c:v>87.48899999999999</c:v>
                </c:pt>
                <c:pt idx="26">
                  <c:v>70.684799999999996</c:v>
                </c:pt>
                <c:pt idx="27">
                  <c:v>45.96</c:v>
                </c:pt>
                <c:pt idx="28">
                  <c:v>22.423199999999998</c:v>
                </c:pt>
                <c:pt idx="29">
                  <c:v>14.4108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46480"/>
        <c:axId val="13333968"/>
      </c:scatterChart>
      <c:valAx>
        <c:axId val="13346480"/>
        <c:scaling>
          <c:orientation val="minMax"/>
          <c:min val="42431"/>
        </c:scaling>
        <c:delete val="0"/>
        <c:axPos val="b"/>
        <c:numFmt formatCode="dd/mm" sourceLinked="0"/>
        <c:majorTickMark val="out"/>
        <c:minorTickMark val="none"/>
        <c:tickLblPos val="nextTo"/>
        <c:crossAx val="13333968"/>
        <c:crosses val="autoZero"/>
        <c:crossBetween val="midCat"/>
        <c:majorUnit val="28"/>
      </c:valAx>
      <c:valAx>
        <c:axId val="1333396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33464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errBars>
            <c:errDir val="y"/>
            <c:errBarType val="both"/>
            <c:errValType val="cust"/>
            <c:noEndCap val="0"/>
            <c:plus>
              <c:numRef>
                <c:f>'DW-part'!$R$2:$R$26</c:f>
                <c:numCache>
                  <c:formatCode>General</c:formatCode>
                  <c:ptCount val="25"/>
                  <c:pt idx="0">
                    <c:v>0.63475629619214335</c:v>
                  </c:pt>
                  <c:pt idx="1">
                    <c:v>0.9271173963779723</c:v>
                  </c:pt>
                  <c:pt idx="2">
                    <c:v>0.55526378115872221</c:v>
                  </c:pt>
                  <c:pt idx="3">
                    <c:v>0.75516885528999234</c:v>
                  </c:pt>
                  <c:pt idx="4">
                    <c:v>0.36041180150858587</c:v>
                  </c:pt>
                  <c:pt idx="5">
                    <c:v>3.1075132966552257</c:v>
                  </c:pt>
                  <c:pt idx="6">
                    <c:v>2.0592174889192409</c:v>
                  </c:pt>
                  <c:pt idx="7">
                    <c:v>2.4281247908616148</c:v>
                  </c:pt>
                  <c:pt idx="8">
                    <c:v>1.2041054771072188</c:v>
                  </c:pt>
                  <c:pt idx="9">
                    <c:v>2.2591207729269982</c:v>
                  </c:pt>
                  <c:pt idx="10">
                    <c:v>2.4831324303530709</c:v>
                  </c:pt>
                  <c:pt idx="11">
                    <c:v>2.7272085851026691</c:v>
                  </c:pt>
                  <c:pt idx="12">
                    <c:v>12.285868000759969</c:v>
                  </c:pt>
                  <c:pt idx="13">
                    <c:v>1.4184614629269883</c:v>
                  </c:pt>
                  <c:pt idx="14">
                    <c:v>1.1891845945845763</c:v>
                  </c:pt>
                  <c:pt idx="15">
                    <c:v>2.8635252166971759</c:v>
                  </c:pt>
                  <c:pt idx="16">
                    <c:v>1.2820400409764361</c:v>
                  </c:pt>
                  <c:pt idx="17">
                    <c:v>2.2137426830283644</c:v>
                  </c:pt>
                  <c:pt idx="18">
                    <c:v>0.943279739349972</c:v>
                  </c:pt>
                  <c:pt idx="19">
                    <c:v>1.0019252300787795</c:v>
                  </c:pt>
                  <c:pt idx="20">
                    <c:v>4.0034936276776927</c:v>
                  </c:pt>
                  <c:pt idx="21">
                    <c:v>2.0158543977445285</c:v>
                  </c:pt>
                  <c:pt idx="22">
                    <c:v>3.6532070670840486</c:v>
                  </c:pt>
                  <c:pt idx="23">
                    <c:v>2.1855108566681496</c:v>
                  </c:pt>
                </c:numCache>
              </c:numRef>
            </c:plus>
            <c:minus>
              <c:numRef>
                <c:f>'DW-part'!$R$2:$R$26</c:f>
                <c:numCache>
                  <c:formatCode>General</c:formatCode>
                  <c:ptCount val="25"/>
                  <c:pt idx="0">
                    <c:v>0.63475629619214335</c:v>
                  </c:pt>
                  <c:pt idx="1">
                    <c:v>0.9271173963779723</c:v>
                  </c:pt>
                  <c:pt idx="2">
                    <c:v>0.55526378115872221</c:v>
                  </c:pt>
                  <c:pt idx="3">
                    <c:v>0.75516885528999234</c:v>
                  </c:pt>
                  <c:pt idx="4">
                    <c:v>0.36041180150858587</c:v>
                  </c:pt>
                  <c:pt idx="5">
                    <c:v>3.1075132966552257</c:v>
                  </c:pt>
                  <c:pt idx="6">
                    <c:v>2.0592174889192409</c:v>
                  </c:pt>
                  <c:pt idx="7">
                    <c:v>2.4281247908616148</c:v>
                  </c:pt>
                  <c:pt idx="8">
                    <c:v>1.2041054771072188</c:v>
                  </c:pt>
                  <c:pt idx="9">
                    <c:v>2.2591207729269982</c:v>
                  </c:pt>
                  <c:pt idx="10">
                    <c:v>2.4831324303530709</c:v>
                  </c:pt>
                  <c:pt idx="11">
                    <c:v>2.7272085851026691</c:v>
                  </c:pt>
                  <c:pt idx="12">
                    <c:v>12.285868000759969</c:v>
                  </c:pt>
                  <c:pt idx="13">
                    <c:v>1.4184614629269883</c:v>
                  </c:pt>
                  <c:pt idx="14">
                    <c:v>1.1891845945845763</c:v>
                  </c:pt>
                  <c:pt idx="15">
                    <c:v>2.8635252166971759</c:v>
                  </c:pt>
                  <c:pt idx="16">
                    <c:v>1.2820400409764361</c:v>
                  </c:pt>
                  <c:pt idx="17">
                    <c:v>2.2137426830283644</c:v>
                  </c:pt>
                  <c:pt idx="18">
                    <c:v>0.943279739349972</c:v>
                  </c:pt>
                  <c:pt idx="19">
                    <c:v>1.0019252300787795</c:v>
                  </c:pt>
                  <c:pt idx="20">
                    <c:v>4.0034936276776927</c:v>
                  </c:pt>
                  <c:pt idx="21">
                    <c:v>2.0158543977445285</c:v>
                  </c:pt>
                  <c:pt idx="22">
                    <c:v>3.6532070670840486</c:v>
                  </c:pt>
                  <c:pt idx="23">
                    <c:v>2.1855108566681496</c:v>
                  </c:pt>
                </c:numCache>
              </c:numRef>
            </c:minus>
          </c:errBars>
          <c:xVal>
            <c:numRef>
              <c:f>'DW-part'!$P$2:$P$26</c:f>
              <c:numCache>
                <c:formatCode>m/d/yyyy</c:formatCode>
                <c:ptCount val="25"/>
                <c:pt idx="0">
                  <c:v>42439</c:v>
                </c:pt>
                <c:pt idx="1">
                  <c:v>42461</c:v>
                </c:pt>
                <c:pt idx="2">
                  <c:v>42480</c:v>
                </c:pt>
                <c:pt idx="3" formatCode="dd/mm/yyyy;@">
                  <c:v>42494</c:v>
                </c:pt>
                <c:pt idx="4" formatCode="dd/mm/yyyy;@">
                  <c:v>42501</c:v>
                </c:pt>
                <c:pt idx="5" formatCode="dd/mm/yyyy;@">
                  <c:v>42508</c:v>
                </c:pt>
                <c:pt idx="6" formatCode="dd/mm/yyyy;@">
                  <c:v>42515</c:v>
                </c:pt>
                <c:pt idx="7" formatCode="dd/mm/yyyy;@">
                  <c:v>42522</c:v>
                </c:pt>
                <c:pt idx="8" formatCode="dd/mm/yyyy;@">
                  <c:v>42536</c:v>
                </c:pt>
                <c:pt idx="9" formatCode="dd/mm/yyyy;@">
                  <c:v>42544</c:v>
                </c:pt>
                <c:pt idx="10" formatCode="dd/mm/yyyy;@">
                  <c:v>42550</c:v>
                </c:pt>
                <c:pt idx="11" formatCode="dd/mm/yyyy;@">
                  <c:v>42557</c:v>
                </c:pt>
                <c:pt idx="12" formatCode="dd/mm/yyyy;@">
                  <c:v>42564</c:v>
                </c:pt>
                <c:pt idx="13" formatCode="dd/mm/yyyy;@">
                  <c:v>42571</c:v>
                </c:pt>
                <c:pt idx="14" formatCode="dd/mm/yyyy;@">
                  <c:v>42578</c:v>
                </c:pt>
                <c:pt idx="15" formatCode="dd/mm/yyyy;@">
                  <c:v>42585</c:v>
                </c:pt>
                <c:pt idx="16" formatCode="dd/mm/yyyy;@">
                  <c:v>42592</c:v>
                </c:pt>
                <c:pt idx="17" formatCode="dd/mm/yyyy;@">
                  <c:v>42599</c:v>
                </c:pt>
                <c:pt idx="18" formatCode="dd/mm/yyyy;@">
                  <c:v>42606</c:v>
                </c:pt>
                <c:pt idx="19" formatCode="dd/mm/yyyy;@">
                  <c:v>42613</c:v>
                </c:pt>
                <c:pt idx="20" formatCode="dd/mm/yyyy;@">
                  <c:v>42620</c:v>
                </c:pt>
                <c:pt idx="21" formatCode="dd/mm/yyyy;@">
                  <c:v>42627</c:v>
                </c:pt>
                <c:pt idx="22" formatCode="dd/mm/yyyy;@">
                  <c:v>42634</c:v>
                </c:pt>
                <c:pt idx="23" formatCode="dd/mm/yyyy;@">
                  <c:v>42641</c:v>
                </c:pt>
                <c:pt idx="24" formatCode="dd/mm/yyyy;@">
                  <c:v>42649</c:v>
                </c:pt>
              </c:numCache>
            </c:numRef>
          </c:xVal>
          <c:yVal>
            <c:numRef>
              <c:f>'DW-part'!$Q$2:$Q$26</c:f>
              <c:numCache>
                <c:formatCode>General</c:formatCode>
                <c:ptCount val="25"/>
                <c:pt idx="0">
                  <c:v>7.1800000000000033</c:v>
                </c:pt>
                <c:pt idx="1">
                  <c:v>9.1866666666666799</c:v>
                </c:pt>
                <c:pt idx="2">
                  <c:v>10.402666666666676</c:v>
                </c:pt>
                <c:pt idx="3">
                  <c:v>9.2600000000000193</c:v>
                </c:pt>
                <c:pt idx="4">
                  <c:v>11.771666666666659</c:v>
                </c:pt>
                <c:pt idx="5">
                  <c:v>18.941666666666634</c:v>
                </c:pt>
                <c:pt idx="6">
                  <c:v>13.828333333334276</c:v>
                </c:pt>
                <c:pt idx="7">
                  <c:v>17.454999999999643</c:v>
                </c:pt>
                <c:pt idx="8">
                  <c:v>36.504999999999278</c:v>
                </c:pt>
                <c:pt idx="9">
                  <c:v>39.866666666666788</c:v>
                </c:pt>
                <c:pt idx="10">
                  <c:v>39.356666666666506</c:v>
                </c:pt>
                <c:pt idx="11">
                  <c:v>47.383333333333248</c:v>
                </c:pt>
                <c:pt idx="12">
                  <c:v>48.537301587299687</c:v>
                </c:pt>
                <c:pt idx="13">
                  <c:v>41.540740740740951</c:v>
                </c:pt>
                <c:pt idx="14">
                  <c:v>25.769999999998465</c:v>
                </c:pt>
                <c:pt idx="15">
                  <c:v>31.571666666667682</c:v>
                </c:pt>
                <c:pt idx="16">
                  <c:v>37.046666666665118</c:v>
                </c:pt>
                <c:pt idx="17">
                  <c:v>43.131666666666909</c:v>
                </c:pt>
                <c:pt idx="18">
                  <c:v>35.471666666666643</c:v>
                </c:pt>
                <c:pt idx="19">
                  <c:v>31.87916666666511</c:v>
                </c:pt>
                <c:pt idx="20">
                  <c:v>45.425694444443735</c:v>
                </c:pt>
                <c:pt idx="21">
                  <c:v>34.560493827161174</c:v>
                </c:pt>
                <c:pt idx="22">
                  <c:v>33.193750000001323</c:v>
                </c:pt>
                <c:pt idx="23">
                  <c:v>33.193209876543058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34512"/>
        <c:axId val="2013358480"/>
      </c:scatterChart>
      <c:valAx>
        <c:axId val="13334512"/>
        <c:scaling>
          <c:orientation val="minMax"/>
        </c:scaling>
        <c:delete val="0"/>
        <c:axPos val="b"/>
        <c:numFmt formatCode="dd/mm" sourceLinked="0"/>
        <c:majorTickMark val="out"/>
        <c:minorTickMark val="none"/>
        <c:tickLblPos val="nextTo"/>
        <c:crossAx val="2013358480"/>
        <c:crosses val="autoZero"/>
        <c:crossBetween val="midCat"/>
      </c:valAx>
      <c:valAx>
        <c:axId val="201335848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33345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709612</xdr:colOff>
      <xdr:row>1</xdr:row>
      <xdr:rowOff>57150</xdr:rowOff>
    </xdr:from>
    <xdr:to>
      <xdr:col>41</xdr:col>
      <xdr:colOff>280987</xdr:colOff>
      <xdr:row>15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600075</xdr:colOff>
      <xdr:row>0</xdr:row>
      <xdr:rowOff>185737</xdr:rowOff>
    </xdr:from>
    <xdr:to>
      <xdr:col>26</xdr:col>
      <xdr:colOff>295275</xdr:colOff>
      <xdr:row>15</xdr:row>
      <xdr:rowOff>71437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87"/>
  <sheetViews>
    <sheetView tabSelected="1" zoomScaleNormal="100" workbookViewId="0">
      <pane xSplit="1" ySplit="1" topLeftCell="AC2" activePane="bottomRight" state="frozen"/>
      <selection pane="topRight" activeCell="B1" sqref="B1"/>
      <selection pane="bottomLeft" activeCell="A2" sqref="A2"/>
      <selection pane="bottomRight" activeCell="AF9" sqref="AF8:AF9"/>
    </sheetView>
  </sheetViews>
  <sheetFormatPr defaultRowHeight="15" x14ac:dyDescent="0.25"/>
  <cols>
    <col min="1" max="1" width="10.7109375" bestFit="1" customWidth="1"/>
    <col min="2" max="2" width="13.42578125" customWidth="1"/>
    <col min="4" max="4" width="17.5703125" bestFit="1" customWidth="1"/>
    <col min="5" max="5" width="17.5703125" customWidth="1"/>
    <col min="6" max="6" width="15" customWidth="1"/>
    <col min="32" max="48" width="10.7109375" bestFit="1" customWidth="1"/>
  </cols>
  <sheetData>
    <row r="1" spans="1:48" x14ac:dyDescent="0.25">
      <c r="A1" t="s">
        <v>0</v>
      </c>
      <c r="B1" t="s">
        <v>28</v>
      </c>
      <c r="C1" t="s">
        <v>2</v>
      </c>
      <c r="D1" t="s">
        <v>27</v>
      </c>
      <c r="E1" t="s">
        <v>48</v>
      </c>
      <c r="F1" t="s">
        <v>29</v>
      </c>
      <c r="G1" t="s">
        <v>9</v>
      </c>
      <c r="H1" t="s">
        <v>10</v>
      </c>
      <c r="I1" t="s">
        <v>11</v>
      </c>
      <c r="J1" t="s">
        <v>12</v>
      </c>
      <c r="K1" t="s">
        <v>30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51</v>
      </c>
      <c r="W1" t="s">
        <v>23</v>
      </c>
      <c r="X1" t="s">
        <v>24</v>
      </c>
      <c r="Y1" t="s">
        <v>25</v>
      </c>
      <c r="AB1" t="s">
        <v>26</v>
      </c>
      <c r="AG1" s="1" t="s">
        <v>49</v>
      </c>
      <c r="AH1" s="1" t="s">
        <v>50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 x14ac:dyDescent="0.25">
      <c r="A2" s="1">
        <v>42439</v>
      </c>
      <c r="B2">
        <v>150</v>
      </c>
      <c r="C2" t="s">
        <v>3</v>
      </c>
      <c r="D2">
        <v>1.8</v>
      </c>
      <c r="E2">
        <v>1</v>
      </c>
      <c r="F2" t="s">
        <v>162</v>
      </c>
      <c r="G2">
        <v>0.998</v>
      </c>
      <c r="H2">
        <v>1.9442999999999999</v>
      </c>
      <c r="I2">
        <v>0.39050000000000001</v>
      </c>
      <c r="L2">
        <v>0.68510000000000004</v>
      </c>
      <c r="M2">
        <v>0.47039999999999998</v>
      </c>
      <c r="N2" s="4">
        <v>7.5189E-15</v>
      </c>
      <c r="O2">
        <v>0.98519999999999996</v>
      </c>
      <c r="P2">
        <v>0.47949999999999998</v>
      </c>
      <c r="T2">
        <v>0.13109999999999999</v>
      </c>
      <c r="AB2">
        <f>(D2*H2*E2)/(B2/1000)</f>
        <v>23.331600000000002</v>
      </c>
      <c r="AF2" s="1">
        <v>42439</v>
      </c>
      <c r="AG2">
        <v>22.168800000000005</v>
      </c>
      <c r="AH2">
        <v>1.033169337524106</v>
      </c>
    </row>
    <row r="3" spans="1:48" x14ac:dyDescent="0.25">
      <c r="A3" s="1">
        <v>42439</v>
      </c>
      <c r="B3">
        <v>150</v>
      </c>
      <c r="C3" t="s">
        <v>3</v>
      </c>
      <c r="D3">
        <v>1.8</v>
      </c>
      <c r="E3">
        <v>1</v>
      </c>
      <c r="F3" t="s">
        <v>162</v>
      </c>
      <c r="G3">
        <v>0.998</v>
      </c>
      <c r="H3">
        <v>1.7797000000000001</v>
      </c>
      <c r="I3">
        <v>0.36199999999999999</v>
      </c>
      <c r="L3">
        <v>0.68659999999999999</v>
      </c>
      <c r="M3">
        <v>0.4783</v>
      </c>
      <c r="N3">
        <v>2.3E-2</v>
      </c>
      <c r="O3">
        <v>0.8992</v>
      </c>
      <c r="P3">
        <v>0.4708</v>
      </c>
      <c r="T3">
        <v>0.129</v>
      </c>
      <c r="AB3">
        <f t="shared" ref="AB3:AB4" si="0">(D3*H3*E3)/(B3/1000)</f>
        <v>21.356400000000001</v>
      </c>
      <c r="AF3" s="1">
        <v>42461</v>
      </c>
      <c r="AG3">
        <v>10.365</v>
      </c>
      <c r="AH3">
        <v>0.27796064469633125</v>
      </c>
    </row>
    <row r="4" spans="1:48" x14ac:dyDescent="0.25">
      <c r="A4" s="1">
        <v>42439</v>
      </c>
      <c r="B4">
        <v>150</v>
      </c>
      <c r="C4" t="s">
        <v>3</v>
      </c>
      <c r="D4">
        <v>1.8</v>
      </c>
      <c r="E4">
        <v>1</v>
      </c>
      <c r="F4" t="s">
        <v>162</v>
      </c>
      <c r="G4">
        <v>0.99790000000000001</v>
      </c>
      <c r="H4">
        <v>1.8182</v>
      </c>
      <c r="I4">
        <v>0.37109999999999999</v>
      </c>
      <c r="L4">
        <v>0.37109999999999999</v>
      </c>
      <c r="M4">
        <v>0.4753</v>
      </c>
      <c r="N4">
        <v>1.14E-2</v>
      </c>
      <c r="O4">
        <v>0.59299999999999997</v>
      </c>
      <c r="P4">
        <v>0.4496</v>
      </c>
      <c r="T4">
        <v>0.2452</v>
      </c>
      <c r="AB4">
        <f t="shared" si="0"/>
        <v>21.818400000000004</v>
      </c>
      <c r="AC4">
        <f>AVERAGE(AB2:AB4)</f>
        <v>22.168800000000005</v>
      </c>
      <c r="AD4">
        <f>STDEV(AB2:AB4)</f>
        <v>1.033169337524106</v>
      </c>
      <c r="AF4" s="1">
        <v>42480</v>
      </c>
      <c r="AG4">
        <v>13.702799999999998</v>
      </c>
      <c r="AH4">
        <v>0.28508461901687954</v>
      </c>
    </row>
    <row r="5" spans="1:48" x14ac:dyDescent="0.25">
      <c r="A5" s="1">
        <v>42439</v>
      </c>
      <c r="B5">
        <v>150</v>
      </c>
      <c r="C5" t="s">
        <v>3</v>
      </c>
      <c r="AF5" s="1">
        <v>42494</v>
      </c>
      <c r="AG5">
        <v>12.5616</v>
      </c>
      <c r="AH5">
        <v>0.73873134494212445</v>
      </c>
    </row>
    <row r="6" spans="1:48" x14ac:dyDescent="0.25">
      <c r="A6" s="1">
        <v>42439</v>
      </c>
      <c r="B6">
        <v>150</v>
      </c>
      <c r="C6" t="s">
        <v>3</v>
      </c>
      <c r="AF6" s="1">
        <v>42501</v>
      </c>
      <c r="AG6">
        <v>9.1919999999999984</v>
      </c>
      <c r="AH6">
        <v>1.1226998886612565</v>
      </c>
    </row>
    <row r="7" spans="1:48" x14ac:dyDescent="0.25">
      <c r="A7" s="1">
        <v>42439</v>
      </c>
      <c r="B7">
        <v>150</v>
      </c>
      <c r="C7" t="s">
        <v>3</v>
      </c>
      <c r="AF7" s="1">
        <v>42508</v>
      </c>
      <c r="AG7">
        <v>12.854000000000001</v>
      </c>
      <c r="AH7">
        <v>0.60078948060031856</v>
      </c>
    </row>
    <row r="8" spans="1:48" x14ac:dyDescent="0.25">
      <c r="A8" s="1">
        <v>42461</v>
      </c>
      <c r="B8">
        <v>100</v>
      </c>
      <c r="C8" t="s">
        <v>3</v>
      </c>
      <c r="D8">
        <v>1.8</v>
      </c>
      <c r="E8">
        <v>1</v>
      </c>
      <c r="F8" t="s">
        <v>162</v>
      </c>
      <c r="G8">
        <v>0.99660000000000004</v>
      </c>
      <c r="H8">
        <v>0.56969999999999998</v>
      </c>
      <c r="I8">
        <v>0.1368</v>
      </c>
      <c r="L8">
        <v>0.49199999999999999</v>
      </c>
      <c r="M8">
        <v>0.27110000000000001</v>
      </c>
      <c r="O8">
        <v>0.31950000000000001</v>
      </c>
      <c r="P8">
        <v>0.161</v>
      </c>
      <c r="T8">
        <v>0.24149999999999999</v>
      </c>
      <c r="AB8">
        <f>(D8*H8*E8)/(B8/1000)</f>
        <v>10.2546</v>
      </c>
      <c r="AF8" s="12">
        <v>42515</v>
      </c>
      <c r="AG8">
        <v>20.305440000000001</v>
      </c>
      <c r="AH8">
        <v>2.6511017103898395</v>
      </c>
    </row>
    <row r="9" spans="1:48" x14ac:dyDescent="0.25">
      <c r="A9" s="1">
        <v>42461</v>
      </c>
      <c r="B9">
        <v>100</v>
      </c>
      <c r="C9" t="s">
        <v>3</v>
      </c>
      <c r="D9">
        <v>1.8</v>
      </c>
      <c r="E9">
        <v>1</v>
      </c>
      <c r="F9" t="s">
        <v>162</v>
      </c>
      <c r="G9">
        <v>0.99639999999999995</v>
      </c>
      <c r="H9">
        <v>0.56440000000000001</v>
      </c>
      <c r="I9">
        <v>0.15049999999999999</v>
      </c>
      <c r="L9">
        <v>0.53900000000000003</v>
      </c>
      <c r="M9">
        <v>0.27460000000000001</v>
      </c>
      <c r="N9">
        <v>2.1399999999999999E-2</v>
      </c>
      <c r="O9">
        <v>0.36070000000000002</v>
      </c>
      <c r="P9">
        <v>0.12570000000000001</v>
      </c>
      <c r="T9">
        <v>0.17699999999999999</v>
      </c>
      <c r="AB9">
        <f t="shared" ref="AB9:AB10" si="1">(D9*H9*E9)/(B9/1000)</f>
        <v>10.1592</v>
      </c>
      <c r="AF9" s="12">
        <v>42522</v>
      </c>
      <c r="AG9">
        <v>19.779755999999999</v>
      </c>
      <c r="AH9">
        <v>0.36340142954039029</v>
      </c>
    </row>
    <row r="10" spans="1:48" x14ac:dyDescent="0.25">
      <c r="A10" s="1">
        <v>42461</v>
      </c>
      <c r="B10">
        <v>100</v>
      </c>
      <c r="C10" t="s">
        <v>3</v>
      </c>
      <c r="D10">
        <v>1.8</v>
      </c>
      <c r="E10">
        <v>1</v>
      </c>
      <c r="F10" t="s">
        <v>162</v>
      </c>
      <c r="G10">
        <v>0.99670000000000003</v>
      </c>
      <c r="H10">
        <v>0.59340000000000004</v>
      </c>
      <c r="I10">
        <v>0.14779999999999999</v>
      </c>
      <c r="L10">
        <v>0.48799999999999999</v>
      </c>
      <c r="M10">
        <v>0.26250000000000001</v>
      </c>
      <c r="O10">
        <v>0.31969999999999998</v>
      </c>
      <c r="P10">
        <v>0.16489999999999999</v>
      </c>
      <c r="T10">
        <v>0.23350000000000001</v>
      </c>
      <c r="AB10">
        <f t="shared" si="1"/>
        <v>10.6812</v>
      </c>
      <c r="AC10">
        <f>AVERAGE(AB8:AB10)</f>
        <v>10.365</v>
      </c>
      <c r="AD10">
        <f>STDEV(AB8:AB10)</f>
        <v>0.27796064469633125</v>
      </c>
      <c r="AF10" s="1">
        <v>42536</v>
      </c>
      <c r="AG10">
        <v>116.83800000000001</v>
      </c>
      <c r="AH10">
        <v>3.2879616786088022</v>
      </c>
    </row>
    <row r="11" spans="1:48" x14ac:dyDescent="0.25">
      <c r="A11" s="1">
        <v>42461</v>
      </c>
      <c r="B11">
        <v>100</v>
      </c>
      <c r="C11" t="s">
        <v>3</v>
      </c>
      <c r="AF11" s="1">
        <v>42544</v>
      </c>
      <c r="AG11">
        <v>183.06719999999999</v>
      </c>
      <c r="AH11">
        <v>2.7943514453267833</v>
      </c>
    </row>
    <row r="12" spans="1:48" x14ac:dyDescent="0.25">
      <c r="A12" s="1">
        <v>42461</v>
      </c>
      <c r="B12">
        <v>100</v>
      </c>
      <c r="C12" t="s">
        <v>3</v>
      </c>
      <c r="AF12" s="1">
        <v>42550</v>
      </c>
      <c r="AG12">
        <v>164.7072</v>
      </c>
      <c r="AH12">
        <v>5.4655588405944275</v>
      </c>
    </row>
    <row r="13" spans="1:48" x14ac:dyDescent="0.25">
      <c r="A13" s="1">
        <v>42461</v>
      </c>
      <c r="B13">
        <v>100</v>
      </c>
      <c r="C13" t="s">
        <v>3</v>
      </c>
      <c r="AF13" s="1">
        <v>42557</v>
      </c>
      <c r="AG13">
        <v>177.58799999999997</v>
      </c>
      <c r="AH13">
        <v>12.283959648256744</v>
      </c>
    </row>
    <row r="14" spans="1:48" x14ac:dyDescent="0.25">
      <c r="A14" s="1">
        <v>42480</v>
      </c>
      <c r="B14">
        <v>100</v>
      </c>
      <c r="C14" t="s">
        <v>3</v>
      </c>
      <c r="D14">
        <v>1.8</v>
      </c>
      <c r="E14">
        <v>1</v>
      </c>
      <c r="F14" t="s">
        <v>162</v>
      </c>
      <c r="G14">
        <v>0.999</v>
      </c>
      <c r="H14">
        <v>0.74609999999999999</v>
      </c>
      <c r="I14">
        <v>0.17599999999999999</v>
      </c>
      <c r="L14">
        <v>0.3105</v>
      </c>
      <c r="M14">
        <v>0.26800000000000002</v>
      </c>
      <c r="N14" s="4">
        <v>1.26E-2</v>
      </c>
      <c r="O14">
        <v>0.45129999999999998</v>
      </c>
      <c r="P14">
        <v>0.183</v>
      </c>
      <c r="T14">
        <v>4.24E-2</v>
      </c>
      <c r="Y14">
        <v>0.406136</v>
      </c>
      <c r="AB14">
        <f>(D14*H14*E14)/(B14/1000)</f>
        <v>13.4298</v>
      </c>
      <c r="AF14" s="1">
        <v>42564</v>
      </c>
      <c r="AG14">
        <v>197.57039999999998</v>
      </c>
      <c r="AH14">
        <v>5.8426229178340776</v>
      </c>
    </row>
    <row r="15" spans="1:48" x14ac:dyDescent="0.25">
      <c r="A15" s="1">
        <v>42480</v>
      </c>
      <c r="B15">
        <v>100</v>
      </c>
      <c r="C15" t="s">
        <v>3</v>
      </c>
      <c r="D15">
        <v>1.8</v>
      </c>
      <c r="E15">
        <v>1</v>
      </c>
      <c r="F15" t="s">
        <v>162</v>
      </c>
      <c r="G15">
        <v>0.99909999999999999</v>
      </c>
      <c r="H15">
        <v>0.76</v>
      </c>
      <c r="I15">
        <v>0.18790000000000001</v>
      </c>
      <c r="L15">
        <v>0.2883</v>
      </c>
      <c r="M15">
        <v>0.26050000000000001</v>
      </c>
      <c r="N15" s="4"/>
      <c r="O15">
        <v>0.42109999999999997</v>
      </c>
      <c r="P15">
        <v>0.19989999999999999</v>
      </c>
      <c r="T15">
        <v>3.9800000000000002E-2</v>
      </c>
      <c r="Y15">
        <v>0.35675699999999999</v>
      </c>
      <c r="AB15">
        <f t="shared" ref="AB15:AB16" si="2">(D15*H15*E15)/(B15/1000)</f>
        <v>13.68</v>
      </c>
      <c r="AF15" s="1">
        <v>42571</v>
      </c>
      <c r="AG15">
        <v>223.88159999999996</v>
      </c>
      <c r="AH15">
        <v>5.3846437653757393</v>
      </c>
    </row>
    <row r="16" spans="1:48" x14ac:dyDescent="0.25">
      <c r="A16" s="1">
        <v>42480</v>
      </c>
      <c r="B16">
        <v>100</v>
      </c>
      <c r="C16" t="s">
        <v>3</v>
      </c>
      <c r="D16">
        <v>1.8</v>
      </c>
      <c r="E16">
        <v>1</v>
      </c>
      <c r="F16" t="s">
        <v>162</v>
      </c>
      <c r="G16">
        <v>0.99909999999999999</v>
      </c>
      <c r="H16">
        <v>0.77769999999999995</v>
      </c>
      <c r="I16">
        <v>0.18690000000000001</v>
      </c>
      <c r="L16">
        <v>0.27600000000000002</v>
      </c>
      <c r="M16">
        <v>0.25269999999999998</v>
      </c>
      <c r="N16" s="4"/>
      <c r="O16">
        <v>0.4178</v>
      </c>
      <c r="P16">
        <v>0.2016</v>
      </c>
      <c r="T16">
        <v>3.7699999999999997E-2</v>
      </c>
      <c r="Y16">
        <v>0.34782299999999999</v>
      </c>
      <c r="AB16">
        <f t="shared" si="2"/>
        <v>13.998599999999998</v>
      </c>
      <c r="AC16">
        <f>AVERAGE(AB14:AB16)</f>
        <v>13.702799999999998</v>
      </c>
      <c r="AD16">
        <f>STDEV(AB14:AB16)</f>
        <v>0.28508461901687954</v>
      </c>
      <c r="AF16" s="1">
        <v>42578</v>
      </c>
      <c r="AG16">
        <v>322.14959999999996</v>
      </c>
      <c r="AH16">
        <v>8.6432783780229752</v>
      </c>
    </row>
    <row r="17" spans="1:34" x14ac:dyDescent="0.25">
      <c r="A17" s="1">
        <v>42480</v>
      </c>
      <c r="B17">
        <v>100</v>
      </c>
      <c r="C17" t="s">
        <v>3</v>
      </c>
      <c r="AF17" s="1">
        <v>42585</v>
      </c>
      <c r="AG17">
        <v>410.78879999999998</v>
      </c>
      <c r="AH17">
        <v>14.275978727919172</v>
      </c>
    </row>
    <row r="18" spans="1:34" x14ac:dyDescent="0.25">
      <c r="A18" s="1">
        <v>42480</v>
      </c>
      <c r="B18">
        <v>100</v>
      </c>
      <c r="C18" t="s">
        <v>3</v>
      </c>
      <c r="AF18" s="1">
        <v>42592</v>
      </c>
      <c r="AG18">
        <v>428.952</v>
      </c>
      <c r="AH18">
        <v>18.811630551337092</v>
      </c>
    </row>
    <row r="19" spans="1:34" x14ac:dyDescent="0.25">
      <c r="A19" s="1">
        <v>42480</v>
      </c>
      <c r="B19">
        <v>100</v>
      </c>
      <c r="C19" t="s">
        <v>3</v>
      </c>
      <c r="AF19" s="1">
        <v>42599</v>
      </c>
      <c r="AG19">
        <v>390.06</v>
      </c>
      <c r="AH19">
        <v>3.8205821545937351</v>
      </c>
    </row>
    <row r="20" spans="1:34" x14ac:dyDescent="0.25">
      <c r="A20" s="1">
        <v>42494</v>
      </c>
      <c r="B20">
        <v>100</v>
      </c>
      <c r="C20" t="s">
        <v>3</v>
      </c>
      <c r="D20">
        <v>1.8</v>
      </c>
      <c r="E20">
        <v>1</v>
      </c>
      <c r="F20" t="s">
        <v>162</v>
      </c>
      <c r="G20">
        <v>0.99919999999999998</v>
      </c>
      <c r="H20">
        <v>0.69020000000000004</v>
      </c>
      <c r="I20">
        <v>0.13619999999999999</v>
      </c>
      <c r="L20">
        <v>0.18890000000000001</v>
      </c>
      <c r="M20">
        <v>9.3100000000000002E-2</v>
      </c>
      <c r="O20">
        <v>0.37530000000000002</v>
      </c>
      <c r="P20">
        <v>0.12839999999999999</v>
      </c>
      <c r="T20">
        <v>0.28050000000000003</v>
      </c>
      <c r="AB20">
        <f>(D20*H20*E20)/(B20/1000)</f>
        <v>12.4236</v>
      </c>
      <c r="AF20" s="1">
        <v>42606</v>
      </c>
      <c r="AG20">
        <v>301.91399999999999</v>
      </c>
      <c r="AH20">
        <v>1.8810645921924329</v>
      </c>
    </row>
    <row r="21" spans="1:34" x14ac:dyDescent="0.25">
      <c r="A21" s="1">
        <v>42494</v>
      </c>
      <c r="B21">
        <v>100</v>
      </c>
      <c r="C21" t="s">
        <v>3</v>
      </c>
      <c r="D21">
        <v>1.8</v>
      </c>
      <c r="E21">
        <v>1</v>
      </c>
      <c r="F21" t="s">
        <v>162</v>
      </c>
      <c r="G21">
        <v>0.999</v>
      </c>
      <c r="H21">
        <v>0.66120000000000001</v>
      </c>
      <c r="I21">
        <v>0.1469</v>
      </c>
      <c r="L21">
        <v>0.187</v>
      </c>
      <c r="M21">
        <v>7.0300000000000001E-2</v>
      </c>
      <c r="N21" s="5"/>
      <c r="O21">
        <v>0.25609999999999999</v>
      </c>
      <c r="P21">
        <v>0.1608</v>
      </c>
      <c r="T21">
        <v>0.316</v>
      </c>
      <c r="V21">
        <v>1.9E-3</v>
      </c>
      <c r="AB21">
        <f t="shared" ref="AB21:AB22" si="3">(D21*H21*E21)/(B21/1000)</f>
        <v>11.9016</v>
      </c>
      <c r="AF21" s="1">
        <v>42620</v>
      </c>
      <c r="AG21">
        <v>243.41759999999999</v>
      </c>
      <c r="AH21">
        <v>2.9884423768913373</v>
      </c>
    </row>
    <row r="22" spans="1:34" x14ac:dyDescent="0.25">
      <c r="A22" s="1">
        <v>42494</v>
      </c>
      <c r="B22">
        <v>100</v>
      </c>
      <c r="C22" t="s">
        <v>3</v>
      </c>
      <c r="D22">
        <v>1.8</v>
      </c>
      <c r="E22">
        <v>1</v>
      </c>
      <c r="F22" t="s">
        <v>162</v>
      </c>
      <c r="G22">
        <v>0.99939999999999996</v>
      </c>
      <c r="H22">
        <v>0.74219999999999997</v>
      </c>
      <c r="I22">
        <v>0.14549999999999999</v>
      </c>
      <c r="L22">
        <v>0.19750000000000001</v>
      </c>
      <c r="M22">
        <v>9.3200000000000005E-2</v>
      </c>
      <c r="N22">
        <v>2.8999999999999998E-3</v>
      </c>
      <c r="O22">
        <v>0.44109999999999999</v>
      </c>
      <c r="P22">
        <v>0.1343</v>
      </c>
      <c r="T22">
        <v>0.24740000000000001</v>
      </c>
      <c r="AB22">
        <f t="shared" si="3"/>
        <v>13.3596</v>
      </c>
      <c r="AC22">
        <f>AVERAGE(AB20:AB22)</f>
        <v>12.5616</v>
      </c>
      <c r="AD22">
        <f>STDEV(AB20:AB22)</f>
        <v>0.73873134494212445</v>
      </c>
      <c r="AF22" s="1">
        <v>42627</v>
      </c>
      <c r="AG22">
        <v>261.69599999999997</v>
      </c>
      <c r="AH22">
        <v>17.34783871264656</v>
      </c>
    </row>
    <row r="23" spans="1:34" x14ac:dyDescent="0.25">
      <c r="A23" s="1">
        <v>42494</v>
      </c>
      <c r="B23">
        <v>100</v>
      </c>
      <c r="C23" t="s">
        <v>3</v>
      </c>
      <c r="AF23" s="1">
        <v>42634</v>
      </c>
      <c r="AG23">
        <v>192.708</v>
      </c>
      <c r="AH23">
        <v>7.8750154285563294</v>
      </c>
    </row>
    <row r="24" spans="1:34" x14ac:dyDescent="0.25">
      <c r="A24" s="1">
        <v>42494</v>
      </c>
      <c r="B24">
        <v>100</v>
      </c>
      <c r="C24" t="s">
        <v>3</v>
      </c>
      <c r="AF24" s="1">
        <v>42641</v>
      </c>
      <c r="AG24">
        <v>159.0864</v>
      </c>
      <c r="AH24">
        <v>13.474401971145122</v>
      </c>
    </row>
    <row r="25" spans="1:34" x14ac:dyDescent="0.25">
      <c r="A25" s="1">
        <v>42494</v>
      </c>
      <c r="B25">
        <v>100</v>
      </c>
      <c r="C25" t="s">
        <v>3</v>
      </c>
      <c r="AF25" s="1">
        <v>42649</v>
      </c>
      <c r="AG25">
        <v>143.89920000000001</v>
      </c>
      <c r="AH25">
        <v>3.5438045995793765</v>
      </c>
    </row>
    <row r="26" spans="1:34" x14ac:dyDescent="0.25">
      <c r="A26" s="1">
        <v>42501</v>
      </c>
      <c r="B26">
        <v>100</v>
      </c>
      <c r="C26" t="s">
        <v>3</v>
      </c>
      <c r="D26">
        <v>1.8</v>
      </c>
      <c r="E26">
        <v>1</v>
      </c>
      <c r="F26" t="s">
        <v>162</v>
      </c>
      <c r="G26">
        <v>0.99850000000000005</v>
      </c>
      <c r="H26">
        <v>0.48359999999999997</v>
      </c>
      <c r="I26">
        <v>4.7399999999999998E-2</v>
      </c>
      <c r="L26">
        <v>0.24540000000000001</v>
      </c>
      <c r="M26">
        <v>0.1008</v>
      </c>
      <c r="N26" s="4"/>
      <c r="O26">
        <v>0.38969999999999999</v>
      </c>
      <c r="P26" s="4"/>
      <c r="T26">
        <v>0.2828</v>
      </c>
      <c r="U26">
        <v>6.0000000000000001E-3</v>
      </c>
      <c r="AB26">
        <f>(D26*H26*E26)/(B26/1000)</f>
        <v>8.7047999999999988</v>
      </c>
      <c r="AF26" s="1">
        <v>42655</v>
      </c>
      <c r="AG26">
        <v>110.67840000000001</v>
      </c>
      <c r="AH26">
        <v>7.6191786643968404</v>
      </c>
    </row>
    <row r="27" spans="1:34" x14ac:dyDescent="0.25">
      <c r="A27" s="1">
        <v>42501</v>
      </c>
      <c r="B27">
        <v>100</v>
      </c>
      <c r="C27" t="s">
        <v>3</v>
      </c>
      <c r="D27">
        <v>1.8</v>
      </c>
      <c r="E27">
        <v>1</v>
      </c>
      <c r="F27" t="s">
        <v>162</v>
      </c>
      <c r="G27">
        <v>0.99890000000000001</v>
      </c>
      <c r="H27">
        <v>0.58199999999999996</v>
      </c>
      <c r="I27">
        <v>6.1499999999999999E-2</v>
      </c>
      <c r="L27">
        <v>0.24879999999999999</v>
      </c>
      <c r="M27">
        <v>0.1158</v>
      </c>
      <c r="N27" s="4"/>
      <c r="O27">
        <v>0.48980000000000001</v>
      </c>
      <c r="P27" s="4"/>
      <c r="T27">
        <v>0.25690000000000002</v>
      </c>
      <c r="U27">
        <v>1.4999999999999999E-2</v>
      </c>
      <c r="AB27">
        <f t="shared" ref="AB27:AB28" si="4">(D27*H27*E27)/(B27/1000)</f>
        <v>10.475999999999997</v>
      </c>
      <c r="AF27" s="1">
        <v>42662</v>
      </c>
      <c r="AG27">
        <v>87.48899999999999</v>
      </c>
      <c r="AH27">
        <v>2.2227813657667657</v>
      </c>
    </row>
    <row r="28" spans="1:34" x14ac:dyDescent="0.25">
      <c r="A28" s="1">
        <v>42501</v>
      </c>
      <c r="B28">
        <v>100</v>
      </c>
      <c r="C28" t="s">
        <v>3</v>
      </c>
      <c r="D28">
        <v>1.8</v>
      </c>
      <c r="E28">
        <v>1</v>
      </c>
      <c r="F28" t="s">
        <v>162</v>
      </c>
      <c r="G28">
        <v>0.99809999999999999</v>
      </c>
      <c r="H28">
        <v>0.46639999999999998</v>
      </c>
      <c r="I28">
        <v>4.1700000000000001E-2</v>
      </c>
      <c r="L28">
        <v>0.2676</v>
      </c>
      <c r="M28">
        <v>0.112</v>
      </c>
      <c r="N28" s="4"/>
      <c r="O28">
        <v>0.36059999999999998</v>
      </c>
      <c r="P28" s="4"/>
      <c r="T28">
        <v>0.31859999999999999</v>
      </c>
      <c r="AB28">
        <f t="shared" si="4"/>
        <v>8.3951999999999991</v>
      </c>
      <c r="AC28">
        <f>AVERAGE(AB26:AB28)</f>
        <v>9.1919999999999984</v>
      </c>
      <c r="AD28">
        <f>STDEV(AB26:AB28)</f>
        <v>1.1226998886612565</v>
      </c>
      <c r="AF28" s="1">
        <v>42669</v>
      </c>
      <c r="AG28">
        <v>70.684799999999996</v>
      </c>
      <c r="AH28">
        <v>0.69870920990066332</v>
      </c>
    </row>
    <row r="29" spans="1:34" x14ac:dyDescent="0.25">
      <c r="A29" s="1">
        <v>42501</v>
      </c>
      <c r="B29">
        <v>100</v>
      </c>
      <c r="C29" t="s">
        <v>3</v>
      </c>
      <c r="AF29" s="1">
        <v>42678</v>
      </c>
      <c r="AG29">
        <v>45.96</v>
      </c>
      <c r="AH29">
        <v>4.15249869837427</v>
      </c>
    </row>
    <row r="30" spans="1:34" x14ac:dyDescent="0.25">
      <c r="A30" s="1">
        <v>42501</v>
      </c>
      <c r="B30">
        <v>100</v>
      </c>
      <c r="C30" t="s">
        <v>3</v>
      </c>
      <c r="AF30" s="1">
        <v>42683</v>
      </c>
      <c r="AG30">
        <v>22.423199999999998</v>
      </c>
      <c r="AH30">
        <v>0.62641379295159227</v>
      </c>
    </row>
    <row r="31" spans="1:34" x14ac:dyDescent="0.25">
      <c r="A31" s="1">
        <v>42501</v>
      </c>
      <c r="B31">
        <v>100</v>
      </c>
      <c r="C31" t="s">
        <v>3</v>
      </c>
      <c r="AF31" s="1">
        <v>42691</v>
      </c>
      <c r="AG31">
        <v>14.4108</v>
      </c>
      <c r="AH31">
        <v>0.9135226105576143</v>
      </c>
    </row>
    <row r="32" spans="1:34" x14ac:dyDescent="0.25">
      <c r="A32" s="1">
        <v>42508</v>
      </c>
      <c r="B32">
        <v>60</v>
      </c>
      <c r="C32" t="s">
        <v>3</v>
      </c>
      <c r="D32">
        <v>1.8</v>
      </c>
      <c r="E32">
        <v>1</v>
      </c>
      <c r="F32" t="s">
        <v>162</v>
      </c>
      <c r="G32">
        <v>0.99870000000000003</v>
      </c>
      <c r="H32">
        <v>0.42499999999999999</v>
      </c>
      <c r="I32">
        <v>1.6899999999999998E-2</v>
      </c>
      <c r="L32">
        <v>0.2</v>
      </c>
      <c r="M32">
        <v>7.0000000000000007E-2</v>
      </c>
      <c r="O32">
        <v>0.38669999999999999</v>
      </c>
      <c r="T32">
        <v>0.25580000000000003</v>
      </c>
      <c r="X32">
        <v>0.14933099999999999</v>
      </c>
      <c r="AB32">
        <f>(D32*H32*E32)/(B32/1000)</f>
        <v>12.75</v>
      </c>
    </row>
    <row r="33" spans="1:30" x14ac:dyDescent="0.25">
      <c r="A33" s="1">
        <v>42508</v>
      </c>
      <c r="B33">
        <v>60</v>
      </c>
      <c r="C33" t="s">
        <v>3</v>
      </c>
      <c r="D33">
        <v>1.8</v>
      </c>
      <c r="E33">
        <v>1</v>
      </c>
      <c r="F33" t="s">
        <v>162</v>
      </c>
      <c r="G33">
        <v>0.99890000000000001</v>
      </c>
      <c r="H33">
        <v>0.41039999999999999</v>
      </c>
      <c r="I33">
        <v>2.75E-2</v>
      </c>
      <c r="L33">
        <v>0.19040000000000001</v>
      </c>
      <c r="M33">
        <v>7.3099999999999998E-2</v>
      </c>
      <c r="O33">
        <v>0.38390000000000002</v>
      </c>
      <c r="T33">
        <v>0.21149999999999999</v>
      </c>
      <c r="U33">
        <v>5.4699999999999999E-2</v>
      </c>
      <c r="AB33">
        <f t="shared" ref="AB33:AB34" si="5">(D33*H33*E33)/(B33/1000)</f>
        <v>12.312000000000001</v>
      </c>
    </row>
    <row r="34" spans="1:30" x14ac:dyDescent="0.25">
      <c r="A34" s="1">
        <v>42508</v>
      </c>
      <c r="B34">
        <v>60</v>
      </c>
      <c r="C34" t="s">
        <v>3</v>
      </c>
      <c r="D34">
        <v>1.8</v>
      </c>
      <c r="E34">
        <v>1</v>
      </c>
      <c r="F34" t="s">
        <v>162</v>
      </c>
      <c r="G34">
        <v>0.99890000000000001</v>
      </c>
      <c r="H34">
        <v>0.45</v>
      </c>
      <c r="I34">
        <v>1.72E-2</v>
      </c>
      <c r="L34">
        <v>0.19939999999999999</v>
      </c>
      <c r="M34">
        <v>8.09E-2</v>
      </c>
      <c r="O34">
        <v>0.38579999999999998</v>
      </c>
      <c r="T34">
        <v>0.25269999999999998</v>
      </c>
      <c r="U34">
        <v>2.7699999999999999E-2</v>
      </c>
      <c r="X34">
        <v>0.115525</v>
      </c>
      <c r="AB34">
        <f t="shared" si="5"/>
        <v>13.500000000000002</v>
      </c>
      <c r="AC34">
        <f>AVERAGE(AB32:AB34)</f>
        <v>12.854000000000001</v>
      </c>
      <c r="AD34">
        <f>STDEV(AB32:AB34)</f>
        <v>0.60078948060031856</v>
      </c>
    </row>
    <row r="35" spans="1:30" x14ac:dyDescent="0.25">
      <c r="A35" s="1">
        <v>42508</v>
      </c>
      <c r="B35">
        <v>60</v>
      </c>
      <c r="C35" t="s">
        <v>3</v>
      </c>
    </row>
    <row r="36" spans="1:30" x14ac:dyDescent="0.25">
      <c r="A36" s="1">
        <v>42508</v>
      </c>
      <c r="B36">
        <v>60</v>
      </c>
      <c r="C36" t="s">
        <v>3</v>
      </c>
    </row>
    <row r="37" spans="1:30" x14ac:dyDescent="0.25">
      <c r="A37" s="1">
        <v>42508</v>
      </c>
      <c r="B37">
        <v>60</v>
      </c>
      <c r="C37" t="s">
        <v>3</v>
      </c>
    </row>
    <row r="38" spans="1:30" x14ac:dyDescent="0.25">
      <c r="A38" s="12">
        <v>42515</v>
      </c>
      <c r="B38">
        <v>50</v>
      </c>
      <c r="C38" t="s">
        <v>3</v>
      </c>
      <c r="D38">
        <v>1.8</v>
      </c>
      <c r="E38">
        <v>1</v>
      </c>
      <c r="F38" t="s">
        <v>162</v>
      </c>
      <c r="G38">
        <v>0.99929999999999997</v>
      </c>
      <c r="H38">
        <v>0.49209999999999998</v>
      </c>
      <c r="I38">
        <v>3.0599999999999999E-2</v>
      </c>
      <c r="L38">
        <v>0.14419999999999999</v>
      </c>
      <c r="M38">
        <v>6.3399999999999998E-2</v>
      </c>
      <c r="O38">
        <v>0.371</v>
      </c>
      <c r="U38">
        <v>5.6800000000000003E-2</v>
      </c>
      <c r="AB38">
        <f>(D38*H38*E38)/(B38/1000)</f>
        <v>17.715599999999998</v>
      </c>
    </row>
    <row r="39" spans="1:30" x14ac:dyDescent="0.25">
      <c r="A39" s="12">
        <v>42515</v>
      </c>
      <c r="B39">
        <v>50</v>
      </c>
      <c r="C39" t="s">
        <v>3</v>
      </c>
      <c r="D39">
        <v>1.8</v>
      </c>
      <c r="E39">
        <v>1</v>
      </c>
      <c r="F39" t="s">
        <v>162</v>
      </c>
      <c r="G39">
        <v>0.99909999999999999</v>
      </c>
      <c r="H39">
        <v>0.5917</v>
      </c>
      <c r="I39">
        <v>0.33900000000000002</v>
      </c>
      <c r="L39">
        <v>0.1993</v>
      </c>
      <c r="M39">
        <v>9.35E-2</v>
      </c>
      <c r="T39">
        <v>0.14319999999999999</v>
      </c>
      <c r="U39">
        <v>3.5799999999999998E-2</v>
      </c>
      <c r="V39">
        <v>0.34060000000000001</v>
      </c>
      <c r="X39">
        <v>1.0134300000000001E-2</v>
      </c>
      <c r="AB39">
        <f t="shared" ref="AB39:AB40" si="6">(D39*H39*E39)/(B39/1000)</f>
        <v>21.301200000000001</v>
      </c>
    </row>
    <row r="40" spans="1:30" x14ac:dyDescent="0.25">
      <c r="A40" s="12">
        <v>42515</v>
      </c>
      <c r="B40">
        <v>50</v>
      </c>
      <c r="C40" t="s">
        <v>3</v>
      </c>
      <c r="D40">
        <v>1.8</v>
      </c>
      <c r="E40">
        <v>1</v>
      </c>
      <c r="F40" t="s">
        <v>162</v>
      </c>
      <c r="G40">
        <v>0.99919999999999998</v>
      </c>
      <c r="H40">
        <v>0.48170000000000002</v>
      </c>
      <c r="I40">
        <v>3.27E-2</v>
      </c>
      <c r="L40">
        <v>0.13370000000000001</v>
      </c>
      <c r="M40">
        <v>5.3499999999999999E-2</v>
      </c>
      <c r="O40">
        <v>0.34300000000000003</v>
      </c>
      <c r="T40">
        <v>3.3799999999999997E-2</v>
      </c>
      <c r="U40">
        <v>5.7099999999999998E-2</v>
      </c>
      <c r="AB40">
        <f t="shared" si="6"/>
        <v>17.341200000000001</v>
      </c>
      <c r="AC40">
        <f>AVERAGE(AB38:AB40)</f>
        <v>18.786000000000001</v>
      </c>
      <c r="AD40">
        <f>STDEV(AB38:AB40)</f>
        <v>2.1862564168001897</v>
      </c>
    </row>
    <row r="41" spans="1:30" x14ac:dyDescent="0.25">
      <c r="A41" s="12">
        <v>42515</v>
      </c>
      <c r="B41">
        <v>50</v>
      </c>
      <c r="C41" t="s">
        <v>3</v>
      </c>
    </row>
    <row r="42" spans="1:30" x14ac:dyDescent="0.25">
      <c r="A42" s="12">
        <v>42515</v>
      </c>
      <c r="B42">
        <v>50</v>
      </c>
      <c r="C42" t="s">
        <v>3</v>
      </c>
    </row>
    <row r="43" spans="1:30" x14ac:dyDescent="0.25">
      <c r="A43" s="12">
        <v>42515</v>
      </c>
      <c r="B43">
        <v>50</v>
      </c>
      <c r="C43" t="s">
        <v>3</v>
      </c>
    </row>
    <row r="44" spans="1:30" x14ac:dyDescent="0.25">
      <c r="A44" s="12">
        <v>42522</v>
      </c>
      <c r="B44">
        <v>50</v>
      </c>
      <c r="C44" t="s">
        <v>3</v>
      </c>
      <c r="D44">
        <v>1.8</v>
      </c>
      <c r="E44">
        <v>1</v>
      </c>
      <c r="F44" t="s">
        <v>162</v>
      </c>
      <c r="G44">
        <v>0.99929999999999997</v>
      </c>
      <c r="H44">
        <v>0.51249999999999996</v>
      </c>
      <c r="I44">
        <v>7.85E-2</v>
      </c>
      <c r="L44">
        <v>0.13569999999999999</v>
      </c>
      <c r="M44">
        <v>9.0499999999999997E-2</v>
      </c>
      <c r="O44">
        <v>0.42370000000000002</v>
      </c>
      <c r="P44">
        <v>1.41E-2</v>
      </c>
      <c r="T44">
        <v>0.10680000000000001</v>
      </c>
      <c r="U44">
        <v>7.2700000000000001E-2</v>
      </c>
      <c r="V44">
        <v>9.1399999999999995E-2</v>
      </c>
      <c r="AB44">
        <f>(D44*H44*E44)/(B44/1000)</f>
        <v>18.45</v>
      </c>
    </row>
    <row r="45" spans="1:30" x14ac:dyDescent="0.25">
      <c r="A45" s="12">
        <v>42522</v>
      </c>
      <c r="B45">
        <v>50</v>
      </c>
      <c r="C45" t="s">
        <v>3</v>
      </c>
      <c r="D45">
        <v>1.8</v>
      </c>
      <c r="E45">
        <v>1</v>
      </c>
      <c r="F45" t="s">
        <v>162</v>
      </c>
      <c r="G45">
        <v>0.99939999999999996</v>
      </c>
      <c r="H45">
        <v>0.4985</v>
      </c>
      <c r="I45">
        <v>7.6899999999999996E-2</v>
      </c>
      <c r="L45">
        <v>0.13039999999999999</v>
      </c>
      <c r="M45">
        <v>9.3899999999999997E-2</v>
      </c>
      <c r="O45">
        <v>0.42599999999999999</v>
      </c>
      <c r="P45">
        <v>2.07E-2</v>
      </c>
      <c r="T45">
        <v>8.2699999999999996E-2</v>
      </c>
      <c r="U45">
        <v>7.0999999999999994E-2</v>
      </c>
      <c r="V45">
        <v>8.3099999999999993E-2</v>
      </c>
      <c r="X45">
        <v>7.9000000000000008E-3</v>
      </c>
      <c r="AB45">
        <f t="shared" ref="AB45:AB46" si="7">(D45*H45*E45)/(B45/1000)</f>
        <v>17.945999999999998</v>
      </c>
    </row>
    <row r="46" spans="1:30" x14ac:dyDescent="0.25">
      <c r="A46" s="12">
        <v>42522</v>
      </c>
      <c r="B46">
        <v>50</v>
      </c>
      <c r="C46" t="s">
        <v>3</v>
      </c>
      <c r="D46">
        <v>1.8</v>
      </c>
      <c r="E46">
        <v>1</v>
      </c>
      <c r="F46" t="s">
        <v>162</v>
      </c>
      <c r="G46">
        <v>0.99929999999999997</v>
      </c>
      <c r="H46">
        <v>0.49120000000000003</v>
      </c>
      <c r="I46">
        <v>7.5700000000000003E-2</v>
      </c>
      <c r="L46">
        <v>0.13009999999999999</v>
      </c>
      <c r="M46">
        <v>9.1999999999999998E-2</v>
      </c>
      <c r="O46">
        <v>0.50349999999999995</v>
      </c>
      <c r="P46">
        <v>2.1999999999999999E-2</v>
      </c>
      <c r="T46">
        <v>7.7399999999999997E-2</v>
      </c>
      <c r="U46">
        <v>6.6799999999999998E-2</v>
      </c>
      <c r="AB46">
        <f t="shared" si="7"/>
        <v>17.683199999999999</v>
      </c>
      <c r="AC46">
        <f>AVERAGE(AB44:AB46)</f>
        <v>18.026399999999999</v>
      </c>
      <c r="AD46">
        <f>STDEV(AB44:AB46)</f>
        <v>0.38967124605236153</v>
      </c>
    </row>
    <row r="47" spans="1:30" x14ac:dyDescent="0.25">
      <c r="A47" s="12">
        <v>42522</v>
      </c>
      <c r="B47">
        <v>50</v>
      </c>
      <c r="C47" t="s">
        <v>3</v>
      </c>
    </row>
    <row r="48" spans="1:30" x14ac:dyDescent="0.25">
      <c r="A48" s="12">
        <v>42522</v>
      </c>
      <c r="B48">
        <v>50</v>
      </c>
      <c r="C48" t="s">
        <v>3</v>
      </c>
    </row>
    <row r="49" spans="1:30" x14ac:dyDescent="0.25">
      <c r="A49" s="12">
        <v>42522</v>
      </c>
      <c r="B49">
        <v>50</v>
      </c>
      <c r="C49" t="s">
        <v>3</v>
      </c>
    </row>
    <row r="50" spans="1:30" x14ac:dyDescent="0.25">
      <c r="A50" s="1">
        <v>42536</v>
      </c>
      <c r="B50" s="2">
        <v>30</v>
      </c>
      <c r="C50" t="s">
        <v>3</v>
      </c>
      <c r="D50">
        <v>1.8</v>
      </c>
      <c r="E50">
        <v>1</v>
      </c>
      <c r="F50" t="s">
        <v>162</v>
      </c>
      <c r="G50">
        <v>0.99929999999999997</v>
      </c>
      <c r="H50">
        <v>1.9184000000000001</v>
      </c>
      <c r="I50">
        <v>0.105</v>
      </c>
      <c r="L50">
        <v>0.3301</v>
      </c>
      <c r="M50">
        <v>0.25869999999999999</v>
      </c>
      <c r="O50">
        <v>0.58660000000000001</v>
      </c>
      <c r="T50">
        <v>0.16420000000000001</v>
      </c>
      <c r="U50">
        <v>0.37540000000000001</v>
      </c>
      <c r="V50">
        <v>5.0000000000000001E-4</v>
      </c>
      <c r="AB50">
        <f>(D50*H50*E50)/(B50/1000)</f>
        <v>115.10400000000001</v>
      </c>
    </row>
    <row r="51" spans="1:30" x14ac:dyDescent="0.25">
      <c r="A51" s="1">
        <v>42536</v>
      </c>
      <c r="B51" s="2">
        <v>30</v>
      </c>
      <c r="C51" t="s">
        <v>3</v>
      </c>
      <c r="D51">
        <v>1.8</v>
      </c>
      <c r="E51">
        <v>1</v>
      </c>
      <c r="F51" t="s">
        <v>162</v>
      </c>
      <c r="G51">
        <v>0.99950000000000006</v>
      </c>
      <c r="H51">
        <v>2.0105</v>
      </c>
      <c r="I51">
        <v>0.11600000000000001</v>
      </c>
      <c r="L51">
        <v>0.28920000000000001</v>
      </c>
      <c r="M51">
        <v>0.2429</v>
      </c>
      <c r="O51">
        <v>0.66539999999999999</v>
      </c>
      <c r="Q51">
        <v>1.4E-3</v>
      </c>
      <c r="U51">
        <v>0.4103</v>
      </c>
      <c r="V51">
        <v>6.9999999999999999E-4</v>
      </c>
      <c r="AB51">
        <f t="shared" ref="AB51:AB52" si="8">(D51*H51*E51)/(B51/1000)</f>
        <v>120.63000000000001</v>
      </c>
    </row>
    <row r="52" spans="1:30" x14ac:dyDescent="0.25">
      <c r="A52" s="1">
        <v>42536</v>
      </c>
      <c r="B52" s="2">
        <v>30</v>
      </c>
      <c r="C52" t="s">
        <v>3</v>
      </c>
      <c r="D52">
        <v>1.8</v>
      </c>
      <c r="E52">
        <v>1</v>
      </c>
      <c r="F52" t="s">
        <v>162</v>
      </c>
      <c r="G52">
        <v>0.99939999999999996</v>
      </c>
      <c r="H52">
        <v>1.913</v>
      </c>
      <c r="I52">
        <v>0.111</v>
      </c>
      <c r="L52">
        <v>0.30080000000000001</v>
      </c>
      <c r="M52">
        <v>0.2382</v>
      </c>
      <c r="O52">
        <v>0.62039999999999995</v>
      </c>
      <c r="R52">
        <v>0.69299999999999995</v>
      </c>
      <c r="T52">
        <v>6.4799999999999996E-2</v>
      </c>
      <c r="U52">
        <v>0.38090000000000002</v>
      </c>
      <c r="AB52">
        <f t="shared" si="8"/>
        <v>114.78</v>
      </c>
      <c r="AC52">
        <f>AVERAGE(AB50:AB52)</f>
        <v>116.83800000000001</v>
      </c>
      <c r="AD52">
        <f>STDEV(AB50:AB52)</f>
        <v>3.2879616786088022</v>
      </c>
    </row>
    <row r="53" spans="1:30" x14ac:dyDescent="0.25">
      <c r="A53" s="1">
        <v>42536</v>
      </c>
      <c r="B53" s="2">
        <v>30</v>
      </c>
      <c r="C53" t="s">
        <v>3</v>
      </c>
    </row>
    <row r="54" spans="1:30" x14ac:dyDescent="0.25">
      <c r="A54" s="1">
        <v>42536</v>
      </c>
      <c r="B54" s="2">
        <v>30</v>
      </c>
      <c r="C54" t="s">
        <v>3</v>
      </c>
    </row>
    <row r="55" spans="1:30" x14ac:dyDescent="0.25">
      <c r="A55" s="1">
        <v>42536</v>
      </c>
      <c r="B55" s="2">
        <v>30</v>
      </c>
      <c r="C55" t="s">
        <v>3</v>
      </c>
    </row>
    <row r="56" spans="1:30" x14ac:dyDescent="0.25">
      <c r="A56" s="1">
        <v>42544</v>
      </c>
      <c r="B56" s="2">
        <v>25</v>
      </c>
      <c r="C56" t="s">
        <v>3</v>
      </c>
      <c r="D56">
        <v>1.8</v>
      </c>
      <c r="E56">
        <v>1</v>
      </c>
      <c r="F56" t="s">
        <v>162</v>
      </c>
      <c r="G56">
        <v>0.99950000000000006</v>
      </c>
      <c r="H56">
        <v>2.5051000000000001</v>
      </c>
      <c r="I56">
        <v>0.122</v>
      </c>
      <c r="L56">
        <v>0.15690000000000001</v>
      </c>
      <c r="M56">
        <v>0.1787</v>
      </c>
      <c r="Q56">
        <v>0.62639999999999996</v>
      </c>
      <c r="T56">
        <v>0.3044</v>
      </c>
      <c r="U56">
        <v>0.57620000000000005</v>
      </c>
      <c r="AB56">
        <f>(D56*H56*E56)/(B56/1000)</f>
        <v>180.36720000000003</v>
      </c>
    </row>
    <row r="57" spans="1:30" x14ac:dyDescent="0.25">
      <c r="A57" s="1">
        <v>42544</v>
      </c>
      <c r="B57" s="2">
        <v>25</v>
      </c>
      <c r="C57" t="s">
        <v>3</v>
      </c>
      <c r="D57">
        <v>1.8</v>
      </c>
      <c r="E57">
        <v>1</v>
      </c>
      <c r="F57" t="s">
        <v>162</v>
      </c>
      <c r="G57">
        <v>0.99939999999999996</v>
      </c>
      <c r="H57">
        <v>2.5400999999999998</v>
      </c>
      <c r="I57">
        <v>0.11749999999999999</v>
      </c>
      <c r="L57">
        <v>0.1333</v>
      </c>
      <c r="M57">
        <v>0.1724</v>
      </c>
      <c r="Q57">
        <v>0.62670000000000003</v>
      </c>
      <c r="U57">
        <v>0.60040000000000004</v>
      </c>
      <c r="AB57">
        <f t="shared" ref="AB57:AB58" si="9">(D57*H57*E57)/(B57/1000)</f>
        <v>182.88719999999998</v>
      </c>
    </row>
    <row r="58" spans="1:30" x14ac:dyDescent="0.25">
      <c r="A58" s="1">
        <v>42544</v>
      </c>
      <c r="B58" s="2">
        <v>25</v>
      </c>
      <c r="C58" t="s">
        <v>3</v>
      </c>
      <c r="D58">
        <v>1.8</v>
      </c>
      <c r="E58">
        <v>1</v>
      </c>
      <c r="F58" t="s">
        <v>162</v>
      </c>
      <c r="G58">
        <v>0.99939999999999996</v>
      </c>
      <c r="H58">
        <v>2.5825999999999998</v>
      </c>
      <c r="I58">
        <v>0.1116</v>
      </c>
      <c r="L58">
        <v>0.18279999999999999</v>
      </c>
      <c r="M58">
        <v>0.1923</v>
      </c>
      <c r="Q58">
        <v>0.62419999999999998</v>
      </c>
      <c r="T58">
        <v>0.37141000000000002</v>
      </c>
      <c r="U58">
        <v>0.60960000000000003</v>
      </c>
      <c r="AB58">
        <f t="shared" si="9"/>
        <v>185.94719999999998</v>
      </c>
      <c r="AC58">
        <f>AVERAGE(AB56:AB58)</f>
        <v>183.06719999999999</v>
      </c>
      <c r="AD58">
        <f>STDEV(AB56:AB58)</f>
        <v>2.7943514453267833</v>
      </c>
    </row>
    <row r="59" spans="1:30" x14ac:dyDescent="0.25">
      <c r="A59" s="1">
        <v>42544</v>
      </c>
      <c r="B59" s="2">
        <v>25</v>
      </c>
      <c r="C59" t="s">
        <v>3</v>
      </c>
    </row>
    <row r="60" spans="1:30" x14ac:dyDescent="0.25">
      <c r="A60" s="1">
        <v>42544</v>
      </c>
      <c r="B60" s="2">
        <v>25</v>
      </c>
      <c r="C60" t="s">
        <v>3</v>
      </c>
    </row>
    <row r="61" spans="1:30" x14ac:dyDescent="0.25">
      <c r="A61" s="1">
        <v>42544</v>
      </c>
      <c r="B61" s="2">
        <v>25</v>
      </c>
      <c r="C61" t="s">
        <v>3</v>
      </c>
    </row>
    <row r="62" spans="1:30" x14ac:dyDescent="0.25">
      <c r="A62" s="1">
        <v>42550</v>
      </c>
      <c r="B62" s="2">
        <v>25</v>
      </c>
      <c r="C62" t="s">
        <v>3</v>
      </c>
      <c r="D62">
        <v>1.8</v>
      </c>
      <c r="E62">
        <v>1</v>
      </c>
      <c r="F62" t="s">
        <v>162</v>
      </c>
      <c r="G62">
        <v>0.99950000000000006</v>
      </c>
      <c r="H62">
        <v>2.3616999999999999</v>
      </c>
      <c r="I62">
        <v>0.14560000000000001</v>
      </c>
      <c r="L62">
        <v>0.32829999999999998</v>
      </c>
      <c r="M62">
        <v>0.27400000000000002</v>
      </c>
      <c r="O62">
        <v>0.28189999999999998</v>
      </c>
      <c r="Q62">
        <v>0.58260000000000001</v>
      </c>
      <c r="U62">
        <v>0.59489999999999998</v>
      </c>
      <c r="AB62">
        <f>(D62*H62*E62)/(B62/1000)</f>
        <v>170.04239999999999</v>
      </c>
    </row>
    <row r="63" spans="1:30" x14ac:dyDescent="0.25">
      <c r="A63" s="1">
        <v>42550</v>
      </c>
      <c r="B63" s="2">
        <v>25</v>
      </c>
      <c r="C63" t="s">
        <v>3</v>
      </c>
      <c r="D63">
        <v>1.8</v>
      </c>
      <c r="E63">
        <v>1</v>
      </c>
      <c r="F63" t="s">
        <v>162</v>
      </c>
      <c r="G63">
        <v>0.99950000000000006</v>
      </c>
      <c r="H63">
        <v>2.21</v>
      </c>
      <c r="I63">
        <v>0.14099999999999999</v>
      </c>
      <c r="L63">
        <v>0.28220000000000001</v>
      </c>
      <c r="M63">
        <v>0.25919999999999999</v>
      </c>
      <c r="O63">
        <v>0.38800000000000001</v>
      </c>
      <c r="Q63">
        <v>0.44750000000000001</v>
      </c>
      <c r="U63">
        <v>0.54630000000000001</v>
      </c>
      <c r="AB63">
        <f t="shared" ref="AB63:AB64" si="10">(D63*H63*E63)/(B63/1000)</f>
        <v>159.12</v>
      </c>
    </row>
    <row r="64" spans="1:30" x14ac:dyDescent="0.25">
      <c r="A64" s="1">
        <v>42550</v>
      </c>
      <c r="B64" s="2">
        <v>25</v>
      </c>
      <c r="C64" t="s">
        <v>3</v>
      </c>
      <c r="D64">
        <v>1.8</v>
      </c>
      <c r="E64">
        <v>1</v>
      </c>
      <c r="F64" t="s">
        <v>162</v>
      </c>
      <c r="G64">
        <v>0.99950000000000006</v>
      </c>
      <c r="H64">
        <v>2.2911000000000001</v>
      </c>
      <c r="I64">
        <v>0.1492</v>
      </c>
      <c r="L64">
        <v>0.28589999999999999</v>
      </c>
      <c r="M64">
        <v>0.25190000000000001</v>
      </c>
      <c r="Q64">
        <v>0.8246</v>
      </c>
      <c r="U64">
        <v>0.59279999999999999</v>
      </c>
      <c r="AB64">
        <f t="shared" si="10"/>
        <v>164.95920000000001</v>
      </c>
      <c r="AC64">
        <f>AVERAGE(AB62:AB64)</f>
        <v>164.7072</v>
      </c>
      <c r="AD64">
        <f>STDEV(AB62:AB64)</f>
        <v>5.4655588405944275</v>
      </c>
    </row>
    <row r="65" spans="1:30" x14ac:dyDescent="0.25">
      <c r="A65" s="1">
        <v>42550</v>
      </c>
      <c r="B65" s="2">
        <v>25</v>
      </c>
      <c r="C65" t="s">
        <v>3</v>
      </c>
    </row>
    <row r="66" spans="1:30" x14ac:dyDescent="0.25">
      <c r="A66" s="1">
        <v>42550</v>
      </c>
      <c r="B66" s="2">
        <v>25</v>
      </c>
      <c r="C66" t="s">
        <v>3</v>
      </c>
    </row>
    <row r="67" spans="1:30" x14ac:dyDescent="0.25">
      <c r="A67" s="1">
        <v>42550</v>
      </c>
      <c r="B67" s="2">
        <v>25</v>
      </c>
      <c r="C67" t="s">
        <v>3</v>
      </c>
    </row>
    <row r="68" spans="1:30" x14ac:dyDescent="0.25">
      <c r="A68" s="1">
        <v>42557</v>
      </c>
      <c r="B68" s="2">
        <v>25</v>
      </c>
      <c r="C68" t="s">
        <v>3</v>
      </c>
      <c r="D68">
        <v>1.8</v>
      </c>
      <c r="E68">
        <v>1</v>
      </c>
      <c r="F68" t="s">
        <v>162</v>
      </c>
      <c r="G68">
        <v>0.99960000000000004</v>
      </c>
      <c r="H68">
        <v>2.4958999999999998</v>
      </c>
      <c r="I68">
        <v>0.13439999999999999</v>
      </c>
      <c r="L68">
        <v>0.19750000000000001</v>
      </c>
      <c r="M68">
        <v>0.19</v>
      </c>
      <c r="Q68">
        <v>0.84209999999999996</v>
      </c>
      <c r="U68">
        <v>0.68269999999999997</v>
      </c>
      <c r="AB68">
        <f>(D68*H68*E68)/(B68/1000)</f>
        <v>179.70479999999998</v>
      </c>
    </row>
    <row r="69" spans="1:30" x14ac:dyDescent="0.25">
      <c r="A69" s="1">
        <v>42557</v>
      </c>
      <c r="B69" s="2">
        <v>25</v>
      </c>
      <c r="C69" t="s">
        <v>3</v>
      </c>
      <c r="D69">
        <v>1.8</v>
      </c>
      <c r="E69">
        <v>1</v>
      </c>
      <c r="F69" t="s">
        <v>162</v>
      </c>
      <c r="G69">
        <v>0.99960000000000004</v>
      </c>
      <c r="H69">
        <v>2.2831000000000001</v>
      </c>
      <c r="I69">
        <v>0.12790000000000001</v>
      </c>
      <c r="L69">
        <v>0.17649999999999999</v>
      </c>
      <c r="M69">
        <v>0.1764</v>
      </c>
      <c r="Q69">
        <v>0.76160000000000005</v>
      </c>
      <c r="T69">
        <v>0.27529999999999999</v>
      </c>
      <c r="U69">
        <v>0.60260000000000002</v>
      </c>
      <c r="AB69">
        <f t="shared" ref="AB69:AB70" si="11">(D69*H69*E69)/(B69/1000)</f>
        <v>164.38319999999999</v>
      </c>
    </row>
    <row r="70" spans="1:30" x14ac:dyDescent="0.25">
      <c r="A70" s="1">
        <v>42557</v>
      </c>
      <c r="B70" s="2">
        <v>25</v>
      </c>
      <c r="C70" t="s">
        <v>3</v>
      </c>
      <c r="D70">
        <v>1.8</v>
      </c>
      <c r="E70">
        <v>1</v>
      </c>
      <c r="F70" t="s">
        <v>162</v>
      </c>
      <c r="G70">
        <v>0.99950000000000006</v>
      </c>
      <c r="H70">
        <v>2.6204999999999998</v>
      </c>
      <c r="I70">
        <v>0.15390000000000001</v>
      </c>
      <c r="L70">
        <v>0.25069999999999998</v>
      </c>
      <c r="M70">
        <v>0.2213</v>
      </c>
      <c r="Q70">
        <v>0.88029999999999997</v>
      </c>
      <c r="U70">
        <v>0.67830000000000001</v>
      </c>
      <c r="AB70">
        <f t="shared" si="11"/>
        <v>188.67599999999999</v>
      </c>
      <c r="AC70">
        <f>AVERAGE(AB68:AB70)</f>
        <v>177.58799999999997</v>
      </c>
      <c r="AD70">
        <f>STDEV(AB68:AB70)</f>
        <v>12.283959648256744</v>
      </c>
    </row>
    <row r="71" spans="1:30" x14ac:dyDescent="0.25">
      <c r="A71" s="1">
        <v>42557</v>
      </c>
      <c r="B71" s="2">
        <v>25</v>
      </c>
      <c r="C71" t="s">
        <v>3</v>
      </c>
    </row>
    <row r="72" spans="1:30" x14ac:dyDescent="0.25">
      <c r="A72" s="1">
        <v>42557</v>
      </c>
      <c r="B72" s="2">
        <v>25</v>
      </c>
      <c r="C72" t="s">
        <v>3</v>
      </c>
    </row>
    <row r="73" spans="1:30" x14ac:dyDescent="0.25">
      <c r="A73" s="1">
        <v>42557</v>
      </c>
      <c r="B73" s="2">
        <v>25</v>
      </c>
      <c r="C73" t="s">
        <v>3</v>
      </c>
    </row>
    <row r="74" spans="1:30" x14ac:dyDescent="0.25">
      <c r="A74" s="1">
        <v>42564</v>
      </c>
      <c r="B74" s="2">
        <v>25</v>
      </c>
      <c r="C74" t="s">
        <v>3</v>
      </c>
      <c r="D74">
        <v>1.8</v>
      </c>
      <c r="E74">
        <v>1</v>
      </c>
      <c r="F74" t="s">
        <v>162</v>
      </c>
      <c r="G74">
        <v>0.99939999999999996</v>
      </c>
      <c r="H74">
        <v>2.6993999999999998</v>
      </c>
      <c r="I74">
        <v>0.10979999999999999</v>
      </c>
      <c r="L74">
        <v>0.17319999999999999</v>
      </c>
      <c r="M74">
        <v>0.11219999999999999</v>
      </c>
      <c r="Q74">
        <v>0.754</v>
      </c>
      <c r="U74">
        <v>0.8004</v>
      </c>
      <c r="AB74">
        <f>(D74*H74*E74)/(B74/1000)</f>
        <v>194.35679999999996</v>
      </c>
    </row>
    <row r="75" spans="1:30" x14ac:dyDescent="0.25">
      <c r="A75" s="1">
        <v>42564</v>
      </c>
      <c r="B75" s="2">
        <v>25</v>
      </c>
      <c r="C75" t="s">
        <v>3</v>
      </c>
      <c r="D75">
        <v>1.8</v>
      </c>
      <c r="E75">
        <v>1</v>
      </c>
      <c r="F75" t="s">
        <v>162</v>
      </c>
      <c r="G75">
        <v>0.99939999999999996</v>
      </c>
      <c r="H75">
        <v>2.6949999999999998</v>
      </c>
      <c r="I75">
        <v>0.1134</v>
      </c>
      <c r="L75">
        <v>0.1255</v>
      </c>
      <c r="M75">
        <v>8.7300000000000003E-2</v>
      </c>
      <c r="Q75">
        <v>0.76370000000000005</v>
      </c>
      <c r="U75">
        <v>0.79869999999999997</v>
      </c>
      <c r="AB75">
        <f t="shared" ref="AB75:AB76" si="12">(D75*H75*E75)/(B75/1000)</f>
        <v>194.04</v>
      </c>
    </row>
    <row r="76" spans="1:30" x14ac:dyDescent="0.25">
      <c r="A76" s="1">
        <v>42564</v>
      </c>
      <c r="B76" s="2">
        <v>25</v>
      </c>
      <c r="C76" t="s">
        <v>3</v>
      </c>
      <c r="D76">
        <v>1.8</v>
      </c>
      <c r="E76">
        <v>1</v>
      </c>
      <c r="F76" t="s">
        <v>162</v>
      </c>
      <c r="G76">
        <v>0.99939999999999996</v>
      </c>
      <c r="H76">
        <v>2.8376999999999999</v>
      </c>
      <c r="I76">
        <v>0.1202</v>
      </c>
      <c r="L76">
        <v>0.17549999999999999</v>
      </c>
      <c r="M76">
        <v>0.1234</v>
      </c>
      <c r="Q76">
        <v>0.79330000000000001</v>
      </c>
      <c r="U76">
        <v>0.83389999999999997</v>
      </c>
      <c r="AB76">
        <f t="shared" si="12"/>
        <v>204.31439999999998</v>
      </c>
      <c r="AC76">
        <f>AVERAGE(AB74:AB76)</f>
        <v>197.57039999999998</v>
      </c>
      <c r="AD76">
        <f>STDEV(AB74:AB76)</f>
        <v>5.8426229178340776</v>
      </c>
    </row>
    <row r="77" spans="1:30" x14ac:dyDescent="0.25">
      <c r="A77" s="1">
        <v>42564</v>
      </c>
      <c r="B77" s="2">
        <v>25</v>
      </c>
      <c r="C77" t="s">
        <v>3</v>
      </c>
    </row>
    <row r="78" spans="1:30" x14ac:dyDescent="0.25">
      <c r="A78" s="1">
        <v>42564</v>
      </c>
      <c r="B78" s="2">
        <v>25</v>
      </c>
      <c r="C78" t="s">
        <v>3</v>
      </c>
    </row>
    <row r="79" spans="1:30" x14ac:dyDescent="0.25">
      <c r="A79" s="1">
        <v>42564</v>
      </c>
      <c r="B79" s="2">
        <v>25</v>
      </c>
      <c r="C79" t="s">
        <v>3</v>
      </c>
    </row>
    <row r="80" spans="1:30" x14ac:dyDescent="0.25">
      <c r="A80" s="1">
        <v>42571</v>
      </c>
      <c r="B80" s="2">
        <v>25</v>
      </c>
      <c r="C80" t="s">
        <v>3</v>
      </c>
      <c r="D80">
        <v>1.8</v>
      </c>
      <c r="E80">
        <v>1</v>
      </c>
      <c r="F80" t="s">
        <v>162</v>
      </c>
      <c r="G80">
        <v>0.999</v>
      </c>
      <c r="H80">
        <v>3.0564</v>
      </c>
      <c r="I80">
        <v>6.3600000000000004E-2</v>
      </c>
      <c r="M80">
        <v>3.7499999999999999E-2</v>
      </c>
      <c r="Q80">
        <v>0.50970000000000004</v>
      </c>
      <c r="U80">
        <v>0.95520000000000005</v>
      </c>
      <c r="AB80">
        <f>(D80*H80*E80)/(B80/1000)</f>
        <v>220.0608</v>
      </c>
    </row>
    <row r="81" spans="1:30" x14ac:dyDescent="0.25">
      <c r="A81" s="1">
        <v>42571</v>
      </c>
      <c r="B81" s="2">
        <v>25</v>
      </c>
      <c r="C81" t="s">
        <v>3</v>
      </c>
      <c r="D81">
        <v>1.8</v>
      </c>
      <c r="E81">
        <v>1</v>
      </c>
      <c r="F81" t="s">
        <v>162</v>
      </c>
      <c r="G81">
        <v>0.99909999999999999</v>
      </c>
      <c r="H81">
        <v>3.1949999999999998</v>
      </c>
      <c r="I81">
        <v>8.1199999999999994E-2</v>
      </c>
      <c r="L81">
        <v>5.3E-3</v>
      </c>
      <c r="M81">
        <v>3.0099999999999998E-2</v>
      </c>
      <c r="Q81">
        <v>0.63529999999999998</v>
      </c>
      <c r="U81">
        <v>1.0022</v>
      </c>
      <c r="AB81">
        <f t="shared" ref="AB81:AB82" si="13">(D81*H81*E81)/(B81/1000)</f>
        <v>230.03999999999996</v>
      </c>
    </row>
    <row r="82" spans="1:30" s="10" customFormat="1" x14ac:dyDescent="0.25">
      <c r="A82" s="12">
        <v>42571</v>
      </c>
      <c r="B82" s="13">
        <v>25</v>
      </c>
      <c r="C82" s="10" t="s">
        <v>3</v>
      </c>
      <c r="D82" s="10">
        <v>1.8</v>
      </c>
      <c r="E82" s="10">
        <v>1</v>
      </c>
      <c r="F82" t="s">
        <v>162</v>
      </c>
      <c r="G82" s="10">
        <v>0.99909999999999999</v>
      </c>
      <c r="H82" s="10">
        <v>3.077</v>
      </c>
      <c r="I82" s="10">
        <v>6.4299999999999996E-2</v>
      </c>
      <c r="L82" s="10">
        <v>4.1999999999999997E-3</v>
      </c>
      <c r="M82" s="10">
        <v>3.0099999999999998E-2</v>
      </c>
      <c r="Q82" s="10">
        <v>0.55910000000000004</v>
      </c>
      <c r="U82" s="10">
        <v>0.93959999999999999</v>
      </c>
      <c r="AB82" s="10">
        <f t="shared" si="13"/>
        <v>221.54399999999998</v>
      </c>
      <c r="AC82" s="10">
        <f>AVERAGE(AB80:AB82)</f>
        <v>223.88159999999996</v>
      </c>
      <c r="AD82" s="10">
        <f>STDEV(AB80:AB82)</f>
        <v>5.3846437653757393</v>
      </c>
    </row>
    <row r="83" spans="1:30" x14ac:dyDescent="0.25">
      <c r="A83" s="1">
        <v>42571</v>
      </c>
      <c r="B83" s="2">
        <v>25</v>
      </c>
      <c r="C83" t="s">
        <v>3</v>
      </c>
    </row>
    <row r="84" spans="1:30" x14ac:dyDescent="0.25">
      <c r="A84" s="1">
        <v>42571</v>
      </c>
      <c r="B84" s="2">
        <v>25</v>
      </c>
      <c r="C84" t="s">
        <v>3</v>
      </c>
    </row>
    <row r="85" spans="1:30" x14ac:dyDescent="0.25">
      <c r="A85" s="1">
        <v>42571</v>
      </c>
      <c r="B85" s="2">
        <v>25</v>
      </c>
      <c r="C85" t="s">
        <v>3</v>
      </c>
    </row>
    <row r="86" spans="1:30" x14ac:dyDescent="0.25">
      <c r="A86" s="1">
        <v>42578</v>
      </c>
      <c r="B86" s="2">
        <v>25</v>
      </c>
      <c r="C86" t="s">
        <v>3</v>
      </c>
      <c r="D86">
        <v>1.8</v>
      </c>
      <c r="E86">
        <v>1</v>
      </c>
      <c r="F86" t="s">
        <v>162</v>
      </c>
      <c r="G86">
        <v>0.999</v>
      </c>
      <c r="H86">
        <v>4.6010999999999997</v>
      </c>
      <c r="I86">
        <v>0.13339999999999999</v>
      </c>
      <c r="L86">
        <v>6.6699999999999995E-2</v>
      </c>
      <c r="M86">
        <v>2.0000000000000001E-4</v>
      </c>
      <c r="Q86">
        <v>0.7631</v>
      </c>
      <c r="U86">
        <v>1.2382</v>
      </c>
      <c r="AB86">
        <f>(D86*H86*E86)/(B86/1000)</f>
        <v>331.27919999999995</v>
      </c>
    </row>
    <row r="87" spans="1:30" x14ac:dyDescent="0.25">
      <c r="A87" s="1">
        <v>42578</v>
      </c>
      <c r="B87" s="2">
        <v>25</v>
      </c>
      <c r="C87" t="s">
        <v>3</v>
      </c>
      <c r="D87">
        <v>1.8</v>
      </c>
      <c r="E87">
        <v>1</v>
      </c>
      <c r="F87" t="s">
        <v>162</v>
      </c>
      <c r="G87">
        <v>0.99880000000000002</v>
      </c>
      <c r="H87">
        <v>4.3624000000000001</v>
      </c>
      <c r="I87">
        <v>0.15029999999999999</v>
      </c>
      <c r="L87">
        <v>6.7500000000000004E-2</v>
      </c>
      <c r="Q87">
        <v>0.80030000000000001</v>
      </c>
      <c r="U87">
        <v>1.2518</v>
      </c>
      <c r="AB87">
        <f t="shared" ref="AB87:AB88" si="14">(D87*H87*E87)/(B87/1000)</f>
        <v>314.09280000000001</v>
      </c>
    </row>
    <row r="88" spans="1:30" x14ac:dyDescent="0.25">
      <c r="A88" s="1">
        <v>42578</v>
      </c>
      <c r="B88" s="2">
        <v>25</v>
      </c>
      <c r="C88" t="s">
        <v>3</v>
      </c>
      <c r="D88">
        <v>1.8</v>
      </c>
      <c r="E88">
        <v>1</v>
      </c>
      <c r="F88" t="s">
        <v>162</v>
      </c>
      <c r="G88">
        <v>0.999</v>
      </c>
      <c r="H88">
        <v>4.4593999999999996</v>
      </c>
      <c r="I88">
        <v>0.13950000000000001</v>
      </c>
      <c r="Q88">
        <v>0.8538</v>
      </c>
      <c r="U88">
        <v>1.2567999999999999</v>
      </c>
      <c r="AB88">
        <f t="shared" si="14"/>
        <v>321.07679999999993</v>
      </c>
      <c r="AC88">
        <f>AVERAGE(AB86:AB88)</f>
        <v>322.14959999999996</v>
      </c>
      <c r="AD88">
        <f>STDEV(AB86:AB88)</f>
        <v>8.6432783780229752</v>
      </c>
    </row>
    <row r="89" spans="1:30" x14ac:dyDescent="0.25">
      <c r="A89" s="1">
        <v>42578</v>
      </c>
      <c r="B89" s="2">
        <v>25</v>
      </c>
      <c r="C89" t="s">
        <v>3</v>
      </c>
    </row>
    <row r="90" spans="1:30" x14ac:dyDescent="0.25">
      <c r="A90" s="1">
        <v>42578</v>
      </c>
      <c r="B90" s="2">
        <v>25</v>
      </c>
      <c r="C90" t="s">
        <v>3</v>
      </c>
    </row>
    <row r="91" spans="1:30" x14ac:dyDescent="0.25">
      <c r="A91" s="1">
        <v>42578</v>
      </c>
      <c r="B91" s="2">
        <v>25</v>
      </c>
      <c r="C91" t="s">
        <v>3</v>
      </c>
    </row>
    <row r="92" spans="1:30" x14ac:dyDescent="0.25">
      <c r="A92" s="1">
        <v>42585</v>
      </c>
      <c r="B92" s="2">
        <v>25</v>
      </c>
      <c r="C92" t="s">
        <v>3</v>
      </c>
      <c r="D92">
        <v>1.8</v>
      </c>
      <c r="E92">
        <v>2</v>
      </c>
      <c r="F92" t="s">
        <v>162</v>
      </c>
      <c r="G92">
        <v>0.99890000000000001</v>
      </c>
      <c r="H92">
        <v>2.9260000000000002</v>
      </c>
      <c r="I92">
        <v>8.4000000000000005E-2</v>
      </c>
      <c r="Q92">
        <v>0.5716</v>
      </c>
      <c r="U92">
        <v>0.95609999999999995</v>
      </c>
      <c r="AB92">
        <f>(D92*H92*E92)/(B92/1000)</f>
        <v>421.34400000000005</v>
      </c>
    </row>
    <row r="93" spans="1:30" x14ac:dyDescent="0.25">
      <c r="A93" s="1">
        <v>42585</v>
      </c>
      <c r="B93" s="2">
        <v>25</v>
      </c>
      <c r="C93" t="s">
        <v>3</v>
      </c>
      <c r="D93">
        <v>1.8</v>
      </c>
      <c r="E93">
        <v>2</v>
      </c>
      <c r="F93" t="s">
        <v>162</v>
      </c>
      <c r="G93">
        <v>0.99890000000000001</v>
      </c>
      <c r="H93">
        <v>2.8921999999999999</v>
      </c>
      <c r="I93">
        <v>9.2100000000000001E-2</v>
      </c>
      <c r="Q93">
        <v>0.63090000000000002</v>
      </c>
      <c r="U93">
        <v>0.98150000000000004</v>
      </c>
      <c r="AB93">
        <f t="shared" ref="AB93:AB94" si="15">(D93*H93*E93)/(B93/1000)</f>
        <v>416.47679999999997</v>
      </c>
    </row>
    <row r="94" spans="1:30" x14ac:dyDescent="0.25">
      <c r="A94" s="1">
        <v>42585</v>
      </c>
      <c r="B94" s="2">
        <v>25</v>
      </c>
      <c r="C94" t="s">
        <v>3</v>
      </c>
      <c r="D94">
        <v>1.8</v>
      </c>
      <c r="E94">
        <v>2</v>
      </c>
      <c r="F94" t="s">
        <v>162</v>
      </c>
      <c r="G94">
        <v>0.99870000000000003</v>
      </c>
      <c r="H94">
        <v>2.7399</v>
      </c>
      <c r="I94">
        <v>2.4199999999999999E-2</v>
      </c>
      <c r="L94">
        <v>5.4000000000000003E-3</v>
      </c>
      <c r="M94">
        <v>1.5699999999999999E-2</v>
      </c>
      <c r="Q94">
        <v>0.4652</v>
      </c>
      <c r="U94">
        <v>0.89849999999999997</v>
      </c>
      <c r="AB94">
        <f t="shared" si="15"/>
        <v>394.54559999999998</v>
      </c>
      <c r="AC94">
        <f>AVERAGE(AB92:AB94)</f>
        <v>410.78879999999998</v>
      </c>
      <c r="AD94">
        <f>STDEV(AB92:AB94)</f>
        <v>14.275978727919172</v>
      </c>
    </row>
    <row r="95" spans="1:30" x14ac:dyDescent="0.25">
      <c r="A95" s="1">
        <v>42585</v>
      </c>
      <c r="B95" s="2">
        <v>25</v>
      </c>
      <c r="C95" t="s">
        <v>3</v>
      </c>
    </row>
    <row r="96" spans="1:30" x14ac:dyDescent="0.25">
      <c r="A96" s="1">
        <v>42585</v>
      </c>
      <c r="B96" s="2">
        <v>25</v>
      </c>
      <c r="C96" t="s">
        <v>3</v>
      </c>
    </row>
    <row r="97" spans="1:30" x14ac:dyDescent="0.25">
      <c r="A97" s="1">
        <v>42585</v>
      </c>
      <c r="B97" s="2">
        <v>25</v>
      </c>
      <c r="C97" t="s">
        <v>3</v>
      </c>
    </row>
    <row r="98" spans="1:30" x14ac:dyDescent="0.25">
      <c r="A98" s="1">
        <v>42592</v>
      </c>
      <c r="B98" s="2">
        <v>10</v>
      </c>
      <c r="C98" t="s">
        <v>3</v>
      </c>
      <c r="D98">
        <v>1.8</v>
      </c>
      <c r="E98">
        <v>1</v>
      </c>
      <c r="F98" t="s">
        <v>162</v>
      </c>
      <c r="G98">
        <v>0.99860000000000004</v>
      </c>
      <c r="H98">
        <v>2.5019999999999998</v>
      </c>
      <c r="I98">
        <v>2.4899999999999999E-2</v>
      </c>
      <c r="L98">
        <v>2.29E-2</v>
      </c>
      <c r="M98">
        <v>6.1999999999999998E-3</v>
      </c>
      <c r="N98" s="4">
        <v>1.7332000000000001E-19</v>
      </c>
      <c r="O98" s="4">
        <v>2.1174000000000001E-22</v>
      </c>
      <c r="Q98">
        <v>0.38750000000000001</v>
      </c>
      <c r="T98" s="4">
        <v>4.3648999999999997E-12</v>
      </c>
      <c r="U98">
        <v>0.78349999999999997</v>
      </c>
      <c r="V98" s="4">
        <v>5.0929E-6</v>
      </c>
      <c r="W98" s="4">
        <v>1.6444999999999999E-19</v>
      </c>
      <c r="X98" s="4">
        <v>1.3854E-21</v>
      </c>
      <c r="AB98">
        <f>(D98*H98*E98)/(B98/1000)</f>
        <v>450.35999999999996</v>
      </c>
    </row>
    <row r="99" spans="1:30" x14ac:dyDescent="0.25">
      <c r="A99" s="1">
        <v>42592</v>
      </c>
      <c r="B99" s="2">
        <v>10</v>
      </c>
      <c r="C99" t="s">
        <v>3</v>
      </c>
      <c r="D99">
        <v>1.8</v>
      </c>
      <c r="E99">
        <v>1</v>
      </c>
      <c r="F99" t="s">
        <v>162</v>
      </c>
      <c r="G99">
        <v>0.99860000000000004</v>
      </c>
      <c r="H99">
        <v>2.3058999999999998</v>
      </c>
      <c r="I99">
        <v>2.9899999999999999E-2</v>
      </c>
      <c r="L99">
        <v>5.5399999999999998E-2</v>
      </c>
      <c r="M99">
        <v>2.9100000000000001E-2</v>
      </c>
      <c r="N99" s="4">
        <v>1.6832999999999999E-20</v>
      </c>
      <c r="O99" s="4">
        <v>4.9569000000000001E-7</v>
      </c>
      <c r="Q99">
        <v>0.38940000000000002</v>
      </c>
      <c r="T99" s="4">
        <v>4.6901000000000004E-13</v>
      </c>
      <c r="U99">
        <v>0.70830000000000004</v>
      </c>
      <c r="V99" s="4">
        <v>5.2483999999999996E-6</v>
      </c>
      <c r="W99" s="4">
        <v>5.0924000000000003E-21</v>
      </c>
      <c r="X99" s="4">
        <v>2.0145000000000001E-20</v>
      </c>
      <c r="AB99">
        <f t="shared" ref="AB99:AB100" si="16">(D99*H99*E99)/(B99/1000)</f>
        <v>415.06200000000001</v>
      </c>
    </row>
    <row r="100" spans="1:30" x14ac:dyDescent="0.25">
      <c r="A100" s="1">
        <v>42592</v>
      </c>
      <c r="B100" s="2">
        <v>10</v>
      </c>
      <c r="C100" t="s">
        <v>3</v>
      </c>
      <c r="D100">
        <v>1.8</v>
      </c>
      <c r="E100">
        <v>1</v>
      </c>
      <c r="F100" t="s">
        <v>162</v>
      </c>
      <c r="G100">
        <v>0.99860000000000004</v>
      </c>
      <c r="H100">
        <v>2.3412999999999999</v>
      </c>
      <c r="I100">
        <v>2.2800000000000001E-2</v>
      </c>
      <c r="L100">
        <v>4.4900000000000002E-2</v>
      </c>
      <c r="M100">
        <v>3.2500000000000001E-2</v>
      </c>
      <c r="N100" s="4">
        <v>7.4981000000000002E-18</v>
      </c>
      <c r="O100" s="4">
        <v>4.8895000000000004E-6</v>
      </c>
      <c r="Q100">
        <v>0.35670000000000002</v>
      </c>
      <c r="T100" s="4">
        <v>3.8444999999999998E-18</v>
      </c>
      <c r="U100">
        <v>0.71489999999999998</v>
      </c>
      <c r="V100" s="4">
        <v>1.7737E-10</v>
      </c>
      <c r="W100" s="4">
        <v>1.0609000000000001E-18</v>
      </c>
      <c r="X100" s="4">
        <v>3.8552000000000001E-18</v>
      </c>
      <c r="AB100">
        <f t="shared" si="16"/>
        <v>421.43399999999997</v>
      </c>
      <c r="AC100">
        <f>AVERAGE(AB98:AB100)</f>
        <v>428.952</v>
      </c>
      <c r="AD100">
        <f>STDEV(AB98:AB100)</f>
        <v>18.811630551337092</v>
      </c>
    </row>
    <row r="101" spans="1:30" x14ac:dyDescent="0.25">
      <c r="A101" s="1">
        <v>42592</v>
      </c>
      <c r="B101" s="2">
        <v>10</v>
      </c>
      <c r="C101" t="s">
        <v>3</v>
      </c>
    </row>
    <row r="102" spans="1:30" x14ac:dyDescent="0.25">
      <c r="A102" s="1">
        <v>42592</v>
      </c>
      <c r="B102" s="2">
        <v>10</v>
      </c>
      <c r="C102" t="s">
        <v>3</v>
      </c>
    </row>
    <row r="103" spans="1:30" x14ac:dyDescent="0.25">
      <c r="A103" s="1">
        <v>42592</v>
      </c>
      <c r="B103" s="2">
        <v>10</v>
      </c>
      <c r="C103" t="s">
        <v>3</v>
      </c>
    </row>
    <row r="104" spans="1:30" x14ac:dyDescent="0.25">
      <c r="A104" s="1">
        <v>42599</v>
      </c>
      <c r="B104" s="2">
        <v>10</v>
      </c>
      <c r="C104" t="s">
        <v>3</v>
      </c>
      <c r="D104">
        <v>1.8</v>
      </c>
      <c r="E104">
        <v>1</v>
      </c>
      <c r="F104" t="s">
        <v>162</v>
      </c>
      <c r="G104">
        <v>0.99850000000000005</v>
      </c>
      <c r="H104">
        <v>2.1425999999999998</v>
      </c>
      <c r="I104">
        <v>4.6600000000000003E-2</v>
      </c>
      <c r="L104">
        <v>4.6600000000000003E-2</v>
      </c>
      <c r="M104">
        <v>1.1900000000000001E-2</v>
      </c>
      <c r="N104" s="4"/>
      <c r="Q104">
        <v>0.4128</v>
      </c>
      <c r="T104" s="4"/>
      <c r="U104">
        <v>0.78200000000000003</v>
      </c>
      <c r="V104" s="4"/>
      <c r="W104" s="4"/>
      <c r="AB104">
        <f>(D104*H104*E104)/(B104/1000)</f>
        <v>385.66800000000001</v>
      </c>
    </row>
    <row r="105" spans="1:30" x14ac:dyDescent="0.25">
      <c r="A105" s="1">
        <v>42599</v>
      </c>
      <c r="B105" s="2">
        <v>10</v>
      </c>
      <c r="C105" t="s">
        <v>3</v>
      </c>
      <c r="D105">
        <v>1.8</v>
      </c>
      <c r="E105">
        <v>1</v>
      </c>
      <c r="F105" t="s">
        <v>162</v>
      </c>
      <c r="G105">
        <v>0.99839999999999995</v>
      </c>
      <c r="H105">
        <v>2.1812</v>
      </c>
      <c r="I105">
        <v>2.3E-2</v>
      </c>
      <c r="L105">
        <v>3.27E-2</v>
      </c>
      <c r="M105" s="4">
        <v>1.0967E-5</v>
      </c>
      <c r="O105" s="4"/>
      <c r="Q105">
        <v>0.41880000000000001</v>
      </c>
      <c r="U105">
        <v>0.82089999999999996</v>
      </c>
      <c r="V105" s="4"/>
      <c r="W105" s="4"/>
      <c r="AB105">
        <f t="shared" ref="AB105:AB106" si="17">(D105*H105*E105)/(B105/1000)</f>
        <v>392.61600000000004</v>
      </c>
    </row>
    <row r="106" spans="1:30" x14ac:dyDescent="0.25">
      <c r="A106" s="1">
        <v>42599</v>
      </c>
      <c r="B106" s="2">
        <v>10</v>
      </c>
      <c r="C106" t="s">
        <v>3</v>
      </c>
      <c r="D106">
        <v>1.8</v>
      </c>
      <c r="E106">
        <v>1</v>
      </c>
      <c r="F106" t="s">
        <v>162</v>
      </c>
      <c r="G106">
        <v>0.99860000000000004</v>
      </c>
      <c r="H106">
        <v>2.1772</v>
      </c>
      <c r="I106">
        <v>1.0200000000000001E-2</v>
      </c>
      <c r="L106">
        <v>6.9199999999999998E-2</v>
      </c>
      <c r="M106">
        <v>3.6799999999999999E-2</v>
      </c>
      <c r="Q106">
        <v>0.4088</v>
      </c>
      <c r="U106">
        <v>0.75800000000000001</v>
      </c>
      <c r="V106" s="4"/>
      <c r="W106" s="4"/>
      <c r="AB106">
        <f t="shared" si="17"/>
        <v>391.89600000000002</v>
      </c>
      <c r="AC106">
        <f>AVERAGE(AB104:AB106)</f>
        <v>390.06</v>
      </c>
      <c r="AD106">
        <f>STDEV(AB104:AB106)</f>
        <v>3.8205821545937351</v>
      </c>
    </row>
    <row r="107" spans="1:30" x14ac:dyDescent="0.25">
      <c r="A107" s="1">
        <v>42599</v>
      </c>
      <c r="B107" s="2">
        <v>10</v>
      </c>
      <c r="C107" t="s">
        <v>3</v>
      </c>
    </row>
    <row r="108" spans="1:30" x14ac:dyDescent="0.25">
      <c r="A108" s="1">
        <v>42599</v>
      </c>
      <c r="B108" s="2">
        <v>10</v>
      </c>
      <c r="C108" t="s">
        <v>3</v>
      </c>
    </row>
    <row r="109" spans="1:30" x14ac:dyDescent="0.25">
      <c r="A109" s="1">
        <v>42599</v>
      </c>
      <c r="B109" s="2">
        <v>10</v>
      </c>
      <c r="C109" t="s">
        <v>3</v>
      </c>
    </row>
    <row r="110" spans="1:30" x14ac:dyDescent="0.25">
      <c r="A110" s="1">
        <v>42606</v>
      </c>
      <c r="B110" s="2">
        <v>10</v>
      </c>
      <c r="C110" t="s">
        <v>3</v>
      </c>
      <c r="D110">
        <v>1.8</v>
      </c>
      <c r="E110">
        <v>1</v>
      </c>
      <c r="F110" t="s">
        <v>162</v>
      </c>
      <c r="G110">
        <v>0.99850000000000005</v>
      </c>
      <c r="H110">
        <v>1.6701999999999999</v>
      </c>
      <c r="I110">
        <v>1.66E-2</v>
      </c>
      <c r="L110">
        <v>6.0100000000000001E-2</v>
      </c>
      <c r="M110">
        <v>1.4E-3</v>
      </c>
      <c r="Q110">
        <v>0.41499999999999998</v>
      </c>
      <c r="U110">
        <v>0.66120000000000001</v>
      </c>
      <c r="V110" s="4"/>
      <c r="W110" s="4"/>
      <c r="AB110">
        <f>(D110*H110*E110)/(B110/1000)</f>
        <v>300.63599999999997</v>
      </c>
    </row>
    <row r="111" spans="1:30" x14ac:dyDescent="0.25">
      <c r="A111" s="1">
        <v>42606</v>
      </c>
      <c r="B111" s="2">
        <v>10</v>
      </c>
      <c r="C111" t="s">
        <v>3</v>
      </c>
      <c r="D111">
        <v>1.8</v>
      </c>
      <c r="E111">
        <v>1</v>
      </c>
      <c r="F111" t="s">
        <v>162</v>
      </c>
      <c r="G111">
        <v>0.99850000000000005</v>
      </c>
      <c r="H111">
        <v>1.6893</v>
      </c>
      <c r="I111">
        <v>1.67E-2</v>
      </c>
      <c r="L111">
        <v>8.9599999999999999E-2</v>
      </c>
      <c r="M111">
        <v>2.7300000000000001E-2</v>
      </c>
      <c r="Q111">
        <v>0.4123</v>
      </c>
      <c r="U111">
        <v>0.64259999999999995</v>
      </c>
      <c r="AB111">
        <f t="shared" ref="AB111:AB112" si="18">(D111*H111*E111)/(B111/1000)</f>
        <v>304.07400000000001</v>
      </c>
    </row>
    <row r="112" spans="1:30" x14ac:dyDescent="0.25">
      <c r="A112" s="1">
        <v>42606</v>
      </c>
      <c r="B112" s="2">
        <v>10</v>
      </c>
      <c r="C112" t="s">
        <v>3</v>
      </c>
      <c r="D112">
        <v>1.8</v>
      </c>
      <c r="E112">
        <v>1</v>
      </c>
      <c r="F112" t="s">
        <v>162</v>
      </c>
      <c r="G112">
        <v>0.99860000000000004</v>
      </c>
      <c r="H112">
        <v>1.6724000000000001</v>
      </c>
      <c r="I112">
        <v>1.9E-2</v>
      </c>
      <c r="L112">
        <v>8.5500000000000007E-2</v>
      </c>
      <c r="M112">
        <v>2.2100000000000002E-2</v>
      </c>
      <c r="Q112">
        <v>0.40839999999999999</v>
      </c>
      <c r="U112">
        <v>0.62990000000000002</v>
      </c>
      <c r="AB112">
        <f t="shared" si="18"/>
        <v>301.03199999999998</v>
      </c>
      <c r="AC112">
        <f>AVERAGE(AB110:AB112)</f>
        <v>301.91399999999999</v>
      </c>
      <c r="AD112">
        <f>STDEV(AB110:AB112)</f>
        <v>1.8810645921924329</v>
      </c>
    </row>
    <row r="113" spans="1:30" x14ac:dyDescent="0.25">
      <c r="A113" s="1">
        <v>42606</v>
      </c>
      <c r="B113" s="2">
        <v>10</v>
      </c>
      <c r="C113" t="s">
        <v>3</v>
      </c>
    </row>
    <row r="114" spans="1:30" x14ac:dyDescent="0.25">
      <c r="A114" s="1">
        <v>42606</v>
      </c>
      <c r="B114" s="2">
        <v>10</v>
      </c>
      <c r="C114" t="s">
        <v>3</v>
      </c>
    </row>
    <row r="115" spans="1:30" x14ac:dyDescent="0.25">
      <c r="A115" s="1">
        <v>42606</v>
      </c>
      <c r="B115" s="2">
        <v>10</v>
      </c>
      <c r="C115" t="s">
        <v>3</v>
      </c>
    </row>
    <row r="116" spans="1:30" x14ac:dyDescent="0.25">
      <c r="A116" s="1">
        <v>42613</v>
      </c>
      <c r="B116" s="2">
        <v>12.5</v>
      </c>
      <c r="C116" t="s">
        <v>3</v>
      </c>
      <c r="D116">
        <v>1.8</v>
      </c>
      <c r="E116">
        <v>1</v>
      </c>
      <c r="F116" t="s">
        <v>162</v>
      </c>
      <c r="G116">
        <v>0.99929999999999997</v>
      </c>
      <c r="H116">
        <v>1.7131000000000001</v>
      </c>
      <c r="I116">
        <v>5.3600000000000002E-2</v>
      </c>
      <c r="L116">
        <v>0.14410000000000001</v>
      </c>
      <c r="M116">
        <v>6.6500000000000004E-2</v>
      </c>
      <c r="Q116">
        <v>0.49380000000000002</v>
      </c>
      <c r="U116">
        <v>0.2974</v>
      </c>
      <c r="AB116">
        <f t="shared" ref="AB116:AB118" si="19">(D116*H116*E116)/(B116/1000)</f>
        <v>246.68639999999999</v>
      </c>
    </row>
    <row r="117" spans="1:30" x14ac:dyDescent="0.25">
      <c r="A117" s="1">
        <v>42613</v>
      </c>
      <c r="B117" s="2">
        <v>12.5</v>
      </c>
      <c r="C117" t="s">
        <v>3</v>
      </c>
      <c r="D117">
        <v>1.8</v>
      </c>
      <c r="E117">
        <v>1</v>
      </c>
      <c r="F117" t="s">
        <v>162</v>
      </c>
      <c r="G117">
        <v>0.99880000000000002</v>
      </c>
      <c r="H117">
        <v>1.6857</v>
      </c>
      <c r="I117">
        <v>6.6100000000000006E-2</v>
      </c>
      <c r="L117">
        <v>0.1981</v>
      </c>
      <c r="M117">
        <v>9.7500000000000003E-2</v>
      </c>
      <c r="Q117">
        <v>0.53300000000000003</v>
      </c>
      <c r="U117">
        <v>0.31790000000000002</v>
      </c>
      <c r="AB117">
        <f t="shared" si="19"/>
        <v>242.74080000000001</v>
      </c>
    </row>
    <row r="118" spans="1:30" x14ac:dyDescent="0.25">
      <c r="A118" s="1">
        <v>42613</v>
      </c>
      <c r="B118" s="2">
        <v>12.5</v>
      </c>
      <c r="C118" t="s">
        <v>3</v>
      </c>
      <c r="D118">
        <v>1.8</v>
      </c>
      <c r="E118">
        <v>1</v>
      </c>
      <c r="F118" t="s">
        <v>162</v>
      </c>
      <c r="G118">
        <v>0.99860000000000004</v>
      </c>
      <c r="H118">
        <v>1.6724000000000001</v>
      </c>
      <c r="I118">
        <v>1.9E-2</v>
      </c>
      <c r="L118">
        <v>8.5500000000000007E-2</v>
      </c>
      <c r="M118">
        <v>2.2100000000000002E-2</v>
      </c>
      <c r="Q118">
        <v>0.40839999999999999</v>
      </c>
      <c r="U118">
        <v>0.62990000000000002</v>
      </c>
      <c r="AB118">
        <f t="shared" si="19"/>
        <v>240.82560000000001</v>
      </c>
      <c r="AC118">
        <f t="shared" ref="AC118" si="20">AVERAGE(AB116:AB118)</f>
        <v>243.41759999999999</v>
      </c>
      <c r="AD118">
        <f t="shared" ref="AD118" si="21">STDEV(AB116:AB118)</f>
        <v>2.9884423768913373</v>
      </c>
    </row>
    <row r="119" spans="1:30" x14ac:dyDescent="0.25">
      <c r="A119" s="1">
        <v>42613</v>
      </c>
      <c r="B119" s="2">
        <v>12.5</v>
      </c>
      <c r="C119" t="s">
        <v>3</v>
      </c>
    </row>
    <row r="120" spans="1:30" x14ac:dyDescent="0.25">
      <c r="A120" s="1">
        <v>42613</v>
      </c>
      <c r="B120" s="2">
        <v>12.5</v>
      </c>
      <c r="C120" t="s">
        <v>3</v>
      </c>
    </row>
    <row r="121" spans="1:30" x14ac:dyDescent="0.25">
      <c r="A121" s="1">
        <v>42613</v>
      </c>
      <c r="B121" s="2">
        <v>12.5</v>
      </c>
      <c r="C121" t="s">
        <v>3</v>
      </c>
    </row>
    <row r="122" spans="1:30" x14ac:dyDescent="0.25">
      <c r="A122" s="1">
        <v>42620</v>
      </c>
      <c r="B122" s="2">
        <v>10</v>
      </c>
      <c r="C122" t="s">
        <v>3</v>
      </c>
      <c r="D122">
        <v>1.8</v>
      </c>
      <c r="E122">
        <v>1</v>
      </c>
      <c r="F122" t="s">
        <v>162</v>
      </c>
      <c r="G122">
        <v>0.99919999999999998</v>
      </c>
      <c r="H122">
        <v>1.4156</v>
      </c>
      <c r="I122">
        <v>3.8399999999999997E-2</v>
      </c>
      <c r="L122">
        <v>0.12809999999999999</v>
      </c>
      <c r="M122">
        <v>8.1199999999999994E-2</v>
      </c>
      <c r="Q122">
        <v>0.42480000000000001</v>
      </c>
      <c r="U122">
        <v>0.25119999999999998</v>
      </c>
      <c r="AB122">
        <f t="shared" ref="AB122:AB124" si="22">(D122*H122*E122)/(B122/1000)</f>
        <v>254.80800000000002</v>
      </c>
    </row>
    <row r="123" spans="1:30" x14ac:dyDescent="0.25">
      <c r="A123" s="1">
        <v>42620</v>
      </c>
      <c r="B123" s="2">
        <v>10</v>
      </c>
      <c r="C123" t="s">
        <v>3</v>
      </c>
      <c r="D123">
        <v>1.8</v>
      </c>
      <c r="E123">
        <v>1</v>
      </c>
      <c r="F123" t="s">
        <v>162</v>
      </c>
      <c r="G123">
        <v>0.99919999999999998</v>
      </c>
      <c r="H123">
        <v>1.3825000000000001</v>
      </c>
      <c r="I123">
        <v>4.4499999999999998E-2</v>
      </c>
      <c r="L123">
        <v>0.13669999999999999</v>
      </c>
      <c r="M123">
        <v>7.8700000000000006E-2</v>
      </c>
      <c r="Q123" s="4">
        <v>5.9867E-7</v>
      </c>
      <c r="U123">
        <v>0.21149999999999999</v>
      </c>
      <c r="V123">
        <v>0.41010000000000002</v>
      </c>
      <c r="AB123">
        <f t="shared" si="22"/>
        <v>248.85000000000002</v>
      </c>
    </row>
    <row r="124" spans="1:30" x14ac:dyDescent="0.25">
      <c r="A124" s="1">
        <v>42620</v>
      </c>
      <c r="B124" s="2">
        <v>10</v>
      </c>
      <c r="C124" t="s">
        <v>3</v>
      </c>
      <c r="D124">
        <v>1.8</v>
      </c>
      <c r="E124">
        <v>1</v>
      </c>
      <c r="F124" t="s">
        <v>162</v>
      </c>
      <c r="G124">
        <v>0.99939999999999996</v>
      </c>
      <c r="H124">
        <v>1.5634999999999999</v>
      </c>
      <c r="I124">
        <v>5.8299999999999998E-2</v>
      </c>
      <c r="L124">
        <v>0.13070000000000001</v>
      </c>
      <c r="M124">
        <v>5.4300000000000001E-2</v>
      </c>
      <c r="Q124">
        <v>0.47449999999999998</v>
      </c>
      <c r="U124">
        <v>0.2535</v>
      </c>
      <c r="AB124">
        <f t="shared" si="22"/>
        <v>281.42999999999995</v>
      </c>
      <c r="AC124">
        <f t="shared" ref="AC124" si="23">AVERAGE(AB122:AB124)</f>
        <v>261.69599999999997</v>
      </c>
      <c r="AD124">
        <f t="shared" ref="AD124" si="24">STDEV(AB122:AB124)</f>
        <v>17.34783871264656</v>
      </c>
    </row>
    <row r="125" spans="1:30" x14ac:dyDescent="0.25">
      <c r="A125" s="1">
        <v>42620</v>
      </c>
      <c r="B125" s="2">
        <v>10</v>
      </c>
      <c r="C125" t="s">
        <v>3</v>
      </c>
    </row>
    <row r="126" spans="1:30" x14ac:dyDescent="0.25">
      <c r="A126" s="1">
        <v>42620</v>
      </c>
      <c r="B126" s="2">
        <v>10</v>
      </c>
      <c r="C126" t="s">
        <v>3</v>
      </c>
    </row>
    <row r="127" spans="1:30" x14ac:dyDescent="0.25">
      <c r="A127" s="1">
        <v>42620</v>
      </c>
      <c r="B127" s="2">
        <v>10</v>
      </c>
      <c r="C127" t="s">
        <v>3</v>
      </c>
    </row>
    <row r="128" spans="1:30" x14ac:dyDescent="0.25">
      <c r="A128" s="1">
        <v>42627</v>
      </c>
      <c r="B128" s="2">
        <v>10</v>
      </c>
      <c r="C128" t="s">
        <v>3</v>
      </c>
      <c r="D128">
        <v>1.8</v>
      </c>
      <c r="E128">
        <v>1</v>
      </c>
      <c r="F128" t="s">
        <v>162</v>
      </c>
      <c r="G128">
        <v>0.99880000000000002</v>
      </c>
      <c r="H128">
        <v>1.1143000000000001</v>
      </c>
      <c r="I128">
        <v>4.58E-2</v>
      </c>
      <c r="L128">
        <v>4.3200000000000002E-2</v>
      </c>
      <c r="M128" s="4">
        <v>7.9758999999999996E-21</v>
      </c>
      <c r="Q128">
        <v>0.31830000000000003</v>
      </c>
      <c r="U128">
        <v>0.2258</v>
      </c>
      <c r="AB128">
        <f t="shared" ref="AB128:AB130" si="25">(D128*H128*E128)/(B128/1000)</f>
        <v>200.57400000000001</v>
      </c>
    </row>
    <row r="129" spans="1:30" x14ac:dyDescent="0.25">
      <c r="A129" s="1">
        <v>42627</v>
      </c>
      <c r="B129" s="2">
        <v>10</v>
      </c>
      <c r="C129" t="s">
        <v>3</v>
      </c>
      <c r="D129">
        <v>1.8</v>
      </c>
      <c r="E129">
        <v>1</v>
      </c>
      <c r="F129" t="s">
        <v>162</v>
      </c>
      <c r="G129">
        <v>0.99919999999999998</v>
      </c>
      <c r="H129">
        <v>1.0267999999999999</v>
      </c>
      <c r="I129" s="4">
        <v>4.2137E-5</v>
      </c>
      <c r="L129">
        <v>3.1199999999999999E-2</v>
      </c>
      <c r="M129">
        <v>5.1900000000000002E-2</v>
      </c>
      <c r="Q129">
        <v>0.156</v>
      </c>
      <c r="U129">
        <v>0.1653</v>
      </c>
      <c r="V129">
        <v>0.16170000000000001</v>
      </c>
      <c r="AB129">
        <f t="shared" si="25"/>
        <v>184.82399999999998</v>
      </c>
    </row>
    <row r="130" spans="1:30" x14ac:dyDescent="0.25">
      <c r="A130" s="1">
        <v>42627</v>
      </c>
      <c r="B130" s="2">
        <v>10</v>
      </c>
      <c r="C130" t="s">
        <v>3</v>
      </c>
      <c r="D130">
        <v>1.8</v>
      </c>
      <c r="E130">
        <v>1</v>
      </c>
      <c r="F130" t="s">
        <v>162</v>
      </c>
      <c r="G130">
        <v>0.99809999999999999</v>
      </c>
      <c r="H130">
        <v>1.0707</v>
      </c>
      <c r="I130">
        <v>8.6E-3</v>
      </c>
      <c r="L130">
        <v>0.17150000000000001</v>
      </c>
      <c r="M130">
        <v>3.2000000000000001E-2</v>
      </c>
      <c r="Q130" s="4">
        <v>1.8727E-8</v>
      </c>
      <c r="U130">
        <v>0.17380000000000001</v>
      </c>
      <c r="AB130">
        <f t="shared" si="25"/>
        <v>192.726</v>
      </c>
      <c r="AC130">
        <f t="shared" ref="AC130" si="26">AVERAGE(AB128:AB130)</f>
        <v>192.708</v>
      </c>
      <c r="AD130">
        <f t="shared" ref="AD130" si="27">STDEV(AB128:AB130)</f>
        <v>7.8750154285563294</v>
      </c>
    </row>
    <row r="131" spans="1:30" x14ac:dyDescent="0.25">
      <c r="A131" s="1">
        <v>42627</v>
      </c>
      <c r="B131" s="2">
        <v>10</v>
      </c>
      <c r="C131" t="s">
        <v>3</v>
      </c>
    </row>
    <row r="132" spans="1:30" x14ac:dyDescent="0.25">
      <c r="A132" s="1">
        <v>42627</v>
      </c>
      <c r="B132" s="2">
        <v>10</v>
      </c>
      <c r="C132" t="s">
        <v>3</v>
      </c>
    </row>
    <row r="133" spans="1:30" x14ac:dyDescent="0.25">
      <c r="A133" s="1">
        <v>42627</v>
      </c>
      <c r="B133" s="2">
        <v>10</v>
      </c>
      <c r="C133" t="s">
        <v>3</v>
      </c>
    </row>
    <row r="134" spans="1:30" x14ac:dyDescent="0.25">
      <c r="A134" s="1">
        <v>42634</v>
      </c>
      <c r="B134" s="2">
        <v>12.5</v>
      </c>
      <c r="C134" t="s">
        <v>3</v>
      </c>
      <c r="D134">
        <v>1.8</v>
      </c>
      <c r="E134">
        <v>1</v>
      </c>
      <c r="F134" t="s">
        <v>162</v>
      </c>
      <c r="G134">
        <v>0.99709999999999999</v>
      </c>
      <c r="H134">
        <v>1.0242</v>
      </c>
      <c r="I134" s="4">
        <v>8.5390999999999995E-7</v>
      </c>
      <c r="L134">
        <v>0.20180000000000001</v>
      </c>
      <c r="M134">
        <v>0.17150000000000001</v>
      </c>
      <c r="Q134" s="4">
        <v>1.3554E-22</v>
      </c>
      <c r="T134">
        <v>4.2900000000000001E-2</v>
      </c>
      <c r="U134">
        <v>0.1762</v>
      </c>
      <c r="V134">
        <v>0.33250000000000002</v>
      </c>
      <c r="AB134">
        <f t="shared" ref="AB134:AB136" si="28">(D134*H134*E134)/(B134/1000)</f>
        <v>147.48480000000001</v>
      </c>
    </row>
    <row r="135" spans="1:30" x14ac:dyDescent="0.25">
      <c r="A135" s="1">
        <v>42634</v>
      </c>
      <c r="B135" s="2">
        <v>12.5</v>
      </c>
      <c r="C135" t="s">
        <v>3</v>
      </c>
      <c r="D135">
        <v>1.8</v>
      </c>
      <c r="E135">
        <v>1</v>
      </c>
      <c r="F135" t="s">
        <v>162</v>
      </c>
      <c r="G135">
        <v>0.99909999999999999</v>
      </c>
      <c r="H135">
        <v>1.0827</v>
      </c>
      <c r="I135">
        <v>2.7900000000000001E-2</v>
      </c>
      <c r="L135">
        <v>0.10680000000000001</v>
      </c>
      <c r="M135">
        <v>5.3199999999999997E-2</v>
      </c>
      <c r="Q135" s="4">
        <v>7.6657000000000001E-7</v>
      </c>
      <c r="U135">
        <v>0.16569999999999999</v>
      </c>
      <c r="V135">
        <v>0.3236</v>
      </c>
      <c r="AB135">
        <f t="shared" si="28"/>
        <v>155.90879999999999</v>
      </c>
    </row>
    <row r="136" spans="1:30" x14ac:dyDescent="0.25">
      <c r="A136" s="1">
        <v>42634</v>
      </c>
      <c r="B136" s="2">
        <v>12.5</v>
      </c>
      <c r="C136" t="s">
        <v>3</v>
      </c>
      <c r="D136">
        <v>1.8</v>
      </c>
      <c r="E136">
        <v>1</v>
      </c>
      <c r="F136" t="s">
        <v>162</v>
      </c>
      <c r="G136">
        <v>0.99929999999999997</v>
      </c>
      <c r="H136">
        <v>1.2074</v>
      </c>
      <c r="I136">
        <v>2.8500000000000001E-2</v>
      </c>
      <c r="L136">
        <v>9.4799999999999995E-2</v>
      </c>
      <c r="M136">
        <v>5.3400000000000003E-2</v>
      </c>
      <c r="Q136" s="4">
        <v>1.8944999999999999E-5</v>
      </c>
      <c r="U136">
        <v>0.1951</v>
      </c>
      <c r="V136">
        <v>0.3715</v>
      </c>
      <c r="AB136">
        <f t="shared" si="28"/>
        <v>173.86559999999997</v>
      </c>
      <c r="AC136">
        <f t="shared" ref="AC136" si="29">AVERAGE(AB134:AB136)</f>
        <v>159.0864</v>
      </c>
      <c r="AD136">
        <f t="shared" ref="AD136" si="30">STDEV(AB134:AB136)</f>
        <v>13.474401971145122</v>
      </c>
    </row>
    <row r="137" spans="1:30" x14ac:dyDescent="0.25">
      <c r="A137" s="1">
        <v>42634</v>
      </c>
      <c r="B137" s="2">
        <v>12.5</v>
      </c>
      <c r="C137" t="s">
        <v>3</v>
      </c>
    </row>
    <row r="138" spans="1:30" x14ac:dyDescent="0.25">
      <c r="A138" s="1">
        <v>42634</v>
      </c>
      <c r="B138" s="2">
        <v>12.5</v>
      </c>
      <c r="C138" t="s">
        <v>3</v>
      </c>
    </row>
    <row r="139" spans="1:30" x14ac:dyDescent="0.25">
      <c r="A139" s="1">
        <v>42634</v>
      </c>
      <c r="B139" s="2">
        <v>12.5</v>
      </c>
      <c r="C139" t="s">
        <v>3</v>
      </c>
    </row>
    <row r="140" spans="1:30" x14ac:dyDescent="0.25">
      <c r="A140" s="1">
        <v>42641</v>
      </c>
      <c r="B140" s="2">
        <v>12.5</v>
      </c>
      <c r="C140" t="s">
        <v>3</v>
      </c>
      <c r="D140">
        <v>1.8</v>
      </c>
      <c r="E140">
        <v>1</v>
      </c>
      <c r="F140" t="s">
        <v>162</v>
      </c>
      <c r="G140">
        <v>0.999</v>
      </c>
      <c r="H140">
        <v>1.0081</v>
      </c>
      <c r="I140">
        <v>2.3900000000000001E-2</v>
      </c>
      <c r="L140">
        <v>0.1135</v>
      </c>
      <c r="M140">
        <v>5.6800000000000003E-2</v>
      </c>
      <c r="U140">
        <v>0.1875</v>
      </c>
      <c r="V140">
        <v>0.34110000000000001</v>
      </c>
      <c r="AB140">
        <f t="shared" ref="AB140:AB142" si="31">(D140*H140*E140)/(B140/1000)</f>
        <v>145.16640000000001</v>
      </c>
    </row>
    <row r="141" spans="1:30" x14ac:dyDescent="0.25">
      <c r="A141" s="1">
        <v>42641</v>
      </c>
      <c r="B141" s="2">
        <v>12.5</v>
      </c>
      <c r="C141" t="s">
        <v>3</v>
      </c>
      <c r="D141">
        <v>1.8</v>
      </c>
      <c r="E141">
        <v>1</v>
      </c>
      <c r="F141" t="s">
        <v>162</v>
      </c>
      <c r="G141">
        <v>0.99829999999999997</v>
      </c>
      <c r="H141">
        <v>0.97150000000000003</v>
      </c>
      <c r="I141">
        <v>3.61E-2</v>
      </c>
      <c r="L141">
        <v>0.15110000000000001</v>
      </c>
      <c r="M141">
        <v>6.1199999999999997E-2</v>
      </c>
      <c r="U141">
        <v>0.16520000000000001</v>
      </c>
      <c r="V141">
        <v>0.3392</v>
      </c>
      <c r="AB141">
        <f t="shared" si="31"/>
        <v>139.89600000000002</v>
      </c>
    </row>
    <row r="142" spans="1:30" x14ac:dyDescent="0.25">
      <c r="A142" s="1">
        <v>42641</v>
      </c>
      <c r="B142" s="2">
        <v>12.5</v>
      </c>
      <c r="C142" t="s">
        <v>3</v>
      </c>
      <c r="D142">
        <v>1.8</v>
      </c>
      <c r="E142">
        <v>1</v>
      </c>
      <c r="F142" t="s">
        <v>162</v>
      </c>
      <c r="G142">
        <v>0.997</v>
      </c>
      <c r="H142">
        <v>1.0183</v>
      </c>
      <c r="I142">
        <v>4.1599999999999998E-2</v>
      </c>
      <c r="L142">
        <v>0.221</v>
      </c>
      <c r="M142">
        <v>7.0800000000000002E-2</v>
      </c>
      <c r="U142">
        <v>0.16980000000000001</v>
      </c>
      <c r="V142">
        <v>0.3841</v>
      </c>
      <c r="AB142">
        <f t="shared" si="31"/>
        <v>146.6352</v>
      </c>
      <c r="AC142">
        <f t="shared" ref="AC142" si="32">AVERAGE(AB140:AB142)</f>
        <v>143.89920000000001</v>
      </c>
      <c r="AD142">
        <f t="shared" ref="AD142" si="33">STDEV(AB140:AB142)</f>
        <v>3.5438045995793765</v>
      </c>
    </row>
    <row r="143" spans="1:30" x14ac:dyDescent="0.25">
      <c r="A143" s="1">
        <v>42641</v>
      </c>
      <c r="B143" s="2">
        <v>12.5</v>
      </c>
      <c r="C143" t="s">
        <v>3</v>
      </c>
    </row>
    <row r="144" spans="1:30" x14ac:dyDescent="0.25">
      <c r="A144" s="1">
        <v>42641</v>
      </c>
      <c r="B144" s="2">
        <v>12.5</v>
      </c>
      <c r="C144" t="s">
        <v>3</v>
      </c>
    </row>
    <row r="145" spans="1:30" x14ac:dyDescent="0.25">
      <c r="A145" s="1">
        <v>42641</v>
      </c>
      <c r="B145" s="2">
        <v>12.5</v>
      </c>
      <c r="C145" t="s">
        <v>3</v>
      </c>
    </row>
    <row r="146" spans="1:30" x14ac:dyDescent="0.25">
      <c r="A146" s="1">
        <v>42649</v>
      </c>
      <c r="B146" s="2">
        <v>12.5</v>
      </c>
      <c r="C146" t="s">
        <v>3</v>
      </c>
      <c r="D146">
        <v>1.8</v>
      </c>
      <c r="E146">
        <v>1</v>
      </c>
      <c r="F146" t="s">
        <v>162</v>
      </c>
      <c r="G146">
        <v>0.99780000000000002</v>
      </c>
      <c r="H146">
        <v>0.81730000000000003</v>
      </c>
      <c r="I146">
        <v>3.3599999999999998E-2</v>
      </c>
      <c r="L146">
        <v>0.12590000000000001</v>
      </c>
      <c r="M146">
        <v>3.7999999999999999E-2</v>
      </c>
      <c r="Q146">
        <v>0.14729999999999999</v>
      </c>
      <c r="U146">
        <v>0.1615</v>
      </c>
      <c r="V146">
        <v>0.16200000000000001</v>
      </c>
      <c r="AB146">
        <f t="shared" ref="AB146:AB148" si="34">(D146*H146*E146)/(B146/1000)</f>
        <v>117.69120000000001</v>
      </c>
    </row>
    <row r="147" spans="1:30" x14ac:dyDescent="0.25">
      <c r="A147" s="1">
        <v>42649</v>
      </c>
      <c r="B147" s="2">
        <v>12.5</v>
      </c>
      <c r="C147" t="s">
        <v>3</v>
      </c>
      <c r="D147">
        <v>1.8</v>
      </c>
      <c r="E147">
        <v>1</v>
      </c>
      <c r="F147" t="s">
        <v>162</v>
      </c>
      <c r="G147">
        <v>0.99719999999999998</v>
      </c>
      <c r="H147">
        <v>0.7762</v>
      </c>
      <c r="I147">
        <v>1.37E-2</v>
      </c>
      <c r="L147">
        <v>0.1134</v>
      </c>
      <c r="M147">
        <v>4.8599999999999997E-2</v>
      </c>
      <c r="Q147" s="4">
        <v>8.9986000000000001E-7</v>
      </c>
      <c r="U147">
        <v>0.1109</v>
      </c>
      <c r="V147">
        <v>0.16539999999999999</v>
      </c>
      <c r="AB147">
        <f t="shared" si="34"/>
        <v>111.77279999999999</v>
      </c>
    </row>
    <row r="148" spans="1:30" x14ac:dyDescent="0.25">
      <c r="A148" s="1">
        <v>42649</v>
      </c>
      <c r="B148" s="2">
        <v>12.5</v>
      </c>
      <c r="C148" t="s">
        <v>3</v>
      </c>
      <c r="D148">
        <v>1.8</v>
      </c>
      <c r="E148">
        <v>1</v>
      </c>
      <c r="F148" t="s">
        <v>162</v>
      </c>
      <c r="G148">
        <v>0.99670000000000003</v>
      </c>
      <c r="H148">
        <v>0.71230000000000004</v>
      </c>
      <c r="I148">
        <v>2.76E-2</v>
      </c>
      <c r="L148">
        <v>0.14169999999999999</v>
      </c>
      <c r="M148">
        <v>5.4800000000000001E-2</v>
      </c>
      <c r="Q148" s="4">
        <v>3.4467E-8</v>
      </c>
      <c r="U148">
        <v>0.1293</v>
      </c>
      <c r="V148">
        <v>0.27200000000000002</v>
      </c>
      <c r="AB148">
        <f t="shared" si="34"/>
        <v>102.5712</v>
      </c>
      <c r="AC148">
        <f t="shared" ref="AC148" si="35">AVERAGE(AB146:AB148)</f>
        <v>110.67840000000001</v>
      </c>
      <c r="AD148">
        <f t="shared" ref="AD148" si="36">STDEV(AB146:AB148)</f>
        <v>7.6191786643968404</v>
      </c>
    </row>
    <row r="149" spans="1:30" x14ac:dyDescent="0.25">
      <c r="A149" s="1">
        <v>42649</v>
      </c>
      <c r="B149" s="2">
        <v>12.5</v>
      </c>
      <c r="C149" t="s">
        <v>3</v>
      </c>
    </row>
    <row r="150" spans="1:30" x14ac:dyDescent="0.25">
      <c r="A150" s="1">
        <v>42649</v>
      </c>
      <c r="B150" s="2">
        <v>12.5</v>
      </c>
      <c r="C150" t="s">
        <v>3</v>
      </c>
    </row>
    <row r="151" spans="1:30" x14ac:dyDescent="0.25">
      <c r="A151" s="1">
        <v>42649</v>
      </c>
      <c r="B151" s="2">
        <v>12.5</v>
      </c>
      <c r="C151" t="s">
        <v>3</v>
      </c>
    </row>
    <row r="152" spans="1:30" x14ac:dyDescent="0.25">
      <c r="A152" s="1">
        <v>42655</v>
      </c>
      <c r="B152" s="2">
        <v>20</v>
      </c>
      <c r="C152" t="s">
        <v>3</v>
      </c>
      <c r="D152">
        <v>1.8</v>
      </c>
      <c r="E152">
        <v>1</v>
      </c>
      <c r="F152" t="s">
        <v>162</v>
      </c>
      <c r="G152">
        <v>0.99770000000000003</v>
      </c>
      <c r="H152">
        <v>0.95489999999999997</v>
      </c>
      <c r="I152">
        <v>9.7999999999999997E-3</v>
      </c>
      <c r="L152">
        <v>0.23469999999999999</v>
      </c>
      <c r="M152">
        <v>9.9400000000000002E-2</v>
      </c>
      <c r="U152">
        <v>0.21920000000000001</v>
      </c>
      <c r="V152" s="4">
        <v>1.8266E-19</v>
      </c>
      <c r="AB152">
        <f t="shared" ref="AB152:AB154" si="37">(D152*H152*E152)/(B152/1000)</f>
        <v>85.941000000000003</v>
      </c>
    </row>
    <row r="153" spans="1:30" x14ac:dyDescent="0.25">
      <c r="A153" s="1">
        <v>42655</v>
      </c>
      <c r="B153" s="2">
        <v>20</v>
      </c>
      <c r="C153" t="s">
        <v>3</v>
      </c>
      <c r="D153">
        <v>1.8</v>
      </c>
      <c r="E153">
        <v>1</v>
      </c>
      <c r="F153" t="s">
        <v>162</v>
      </c>
      <c r="G153">
        <v>0.99870000000000003</v>
      </c>
      <c r="H153">
        <v>0.96099999999999997</v>
      </c>
      <c r="I153">
        <v>3.6600000000000001E-2</v>
      </c>
      <c r="L153">
        <v>0.16769999999999999</v>
      </c>
      <c r="M153">
        <v>7.5600000000000001E-2</v>
      </c>
      <c r="U153">
        <v>0.20100000000000001</v>
      </c>
      <c r="V153">
        <v>0.44440000000000002</v>
      </c>
      <c r="AB153">
        <f t="shared" si="37"/>
        <v>86.49</v>
      </c>
    </row>
    <row r="154" spans="1:30" x14ac:dyDescent="0.25">
      <c r="A154" s="1">
        <v>42655</v>
      </c>
      <c r="B154" s="2">
        <v>20</v>
      </c>
      <c r="C154" t="s">
        <v>3</v>
      </c>
      <c r="D154">
        <v>1.8</v>
      </c>
      <c r="E154">
        <v>1</v>
      </c>
      <c r="F154" t="s">
        <v>162</v>
      </c>
      <c r="G154">
        <v>0.99839999999999995</v>
      </c>
      <c r="H154">
        <v>1.0004</v>
      </c>
      <c r="I154">
        <v>2.9499999999999998E-2</v>
      </c>
      <c r="L154">
        <v>0.1958</v>
      </c>
      <c r="M154">
        <v>9.4500000000000001E-2</v>
      </c>
      <c r="T154">
        <v>2.7300000000000001E-2</v>
      </c>
      <c r="U154">
        <v>0.2283</v>
      </c>
      <c r="V154">
        <v>0.49330000000000002</v>
      </c>
      <c r="AB154">
        <f t="shared" si="37"/>
        <v>90.035999999999987</v>
      </c>
      <c r="AC154">
        <f t="shared" ref="AC154" si="38">AVERAGE(AB152:AB154)</f>
        <v>87.48899999999999</v>
      </c>
      <c r="AD154">
        <f t="shared" ref="AD154" si="39">STDEV(AB152:AB154)</f>
        <v>2.2227813657667657</v>
      </c>
    </row>
    <row r="155" spans="1:30" x14ac:dyDescent="0.25">
      <c r="A155" s="1">
        <v>42655</v>
      </c>
      <c r="B155" s="2">
        <v>20</v>
      </c>
      <c r="C155" t="s">
        <v>3</v>
      </c>
    </row>
    <row r="156" spans="1:30" x14ac:dyDescent="0.25">
      <c r="A156" s="1">
        <v>42655</v>
      </c>
      <c r="B156" s="2">
        <v>20</v>
      </c>
      <c r="C156" t="s">
        <v>3</v>
      </c>
    </row>
    <row r="157" spans="1:30" x14ac:dyDescent="0.25">
      <c r="A157" s="1">
        <v>42655</v>
      </c>
      <c r="B157" s="2">
        <v>20</v>
      </c>
      <c r="C157" t="s">
        <v>3</v>
      </c>
    </row>
    <row r="158" spans="1:30" x14ac:dyDescent="0.25">
      <c r="A158" s="1">
        <v>42662</v>
      </c>
      <c r="B158" s="2">
        <v>25</v>
      </c>
      <c r="C158" t="s">
        <v>3</v>
      </c>
      <c r="D158">
        <v>1.8</v>
      </c>
      <c r="E158">
        <v>1</v>
      </c>
      <c r="F158" t="s">
        <v>162</v>
      </c>
      <c r="G158">
        <v>0.99829999999999997</v>
      </c>
      <c r="H158">
        <v>0.97060000000000002</v>
      </c>
      <c r="I158">
        <v>4.4200000000000003E-2</v>
      </c>
      <c r="L158">
        <v>0.20030000000000001</v>
      </c>
      <c r="M158">
        <v>8.5800000000000001E-2</v>
      </c>
      <c r="T158">
        <v>4.7100000000000003E-2</v>
      </c>
      <c r="U158">
        <v>0.18540000000000001</v>
      </c>
      <c r="V158">
        <v>0.4456</v>
      </c>
      <c r="AB158">
        <f t="shared" ref="AB158:AB160" si="40">(D158*H158*E158)/(B158/1000)</f>
        <v>69.883199999999988</v>
      </c>
    </row>
    <row r="159" spans="1:30" x14ac:dyDescent="0.25">
      <c r="A159" s="1">
        <v>42662</v>
      </c>
      <c r="B159" s="2">
        <v>25</v>
      </c>
      <c r="C159" t="s">
        <v>3</v>
      </c>
      <c r="D159">
        <v>1.8</v>
      </c>
      <c r="E159">
        <v>1</v>
      </c>
      <c r="F159" t="s">
        <v>162</v>
      </c>
      <c r="G159">
        <v>0.99809999999999999</v>
      </c>
      <c r="H159">
        <v>0.98839999999999995</v>
      </c>
      <c r="I159">
        <v>4.3799999999999999E-2</v>
      </c>
      <c r="L159">
        <v>0.22939999999999999</v>
      </c>
      <c r="M159">
        <v>0.111</v>
      </c>
      <c r="T159">
        <v>0.10199999999999999</v>
      </c>
      <c r="U159">
        <v>0.18940000000000001</v>
      </c>
      <c r="V159">
        <v>0.44119999999999998</v>
      </c>
      <c r="AB159">
        <f t="shared" si="40"/>
        <v>71.1648</v>
      </c>
    </row>
    <row r="160" spans="1:30" x14ac:dyDescent="0.25">
      <c r="A160" s="1">
        <v>42662</v>
      </c>
      <c r="B160" s="2">
        <v>25</v>
      </c>
      <c r="C160" t="s">
        <v>3</v>
      </c>
      <c r="D160">
        <v>1.8</v>
      </c>
      <c r="E160">
        <v>1</v>
      </c>
      <c r="F160" t="s">
        <v>162</v>
      </c>
      <c r="G160">
        <v>0.99839999999999995</v>
      </c>
      <c r="H160">
        <v>0.98619999999999997</v>
      </c>
      <c r="I160">
        <v>4.4200000000000003E-2</v>
      </c>
      <c r="L160">
        <v>0.20430000000000001</v>
      </c>
      <c r="M160">
        <v>9.9699999999999997E-2</v>
      </c>
      <c r="T160">
        <v>7.4800000000000005E-2</v>
      </c>
      <c r="U160">
        <v>0.1905</v>
      </c>
      <c r="V160">
        <v>0.4556</v>
      </c>
      <c r="AB160">
        <f t="shared" si="40"/>
        <v>71.006399999999999</v>
      </c>
      <c r="AC160">
        <f t="shared" ref="AC160" si="41">AVERAGE(AB158:AB160)</f>
        <v>70.684799999999996</v>
      </c>
      <c r="AD160">
        <f t="shared" ref="AD160" si="42">STDEV(AB158:AB160)</f>
        <v>0.69870920990066332</v>
      </c>
    </row>
    <row r="161" spans="1:30" x14ac:dyDescent="0.25">
      <c r="A161" s="1">
        <v>42662</v>
      </c>
      <c r="B161" s="2">
        <v>25</v>
      </c>
      <c r="C161" t="s">
        <v>3</v>
      </c>
    </row>
    <row r="162" spans="1:30" x14ac:dyDescent="0.25">
      <c r="A162" s="1">
        <v>42662</v>
      </c>
      <c r="B162" s="2">
        <v>25</v>
      </c>
      <c r="C162" t="s">
        <v>3</v>
      </c>
    </row>
    <row r="163" spans="1:30" x14ac:dyDescent="0.25">
      <c r="A163" s="1">
        <v>42662</v>
      </c>
      <c r="B163" s="2">
        <v>25</v>
      </c>
      <c r="C163" t="s">
        <v>3</v>
      </c>
    </row>
    <row r="164" spans="1:30" x14ac:dyDescent="0.25">
      <c r="A164" s="1">
        <v>42669</v>
      </c>
      <c r="B164" s="2">
        <v>25</v>
      </c>
      <c r="C164" t="s">
        <v>3</v>
      </c>
      <c r="D164">
        <v>1.8</v>
      </c>
      <c r="E164">
        <v>1</v>
      </c>
      <c r="F164" t="s">
        <v>162</v>
      </c>
      <c r="G164">
        <v>0.99760000000000004</v>
      </c>
      <c r="H164">
        <v>0.64810000000000001</v>
      </c>
      <c r="I164">
        <v>3.32E-2</v>
      </c>
      <c r="L164">
        <v>0.17519999999999999</v>
      </c>
      <c r="M164">
        <v>7.6100000000000001E-2</v>
      </c>
      <c r="T164">
        <v>0.13730000000000001</v>
      </c>
      <c r="U164">
        <v>0.115</v>
      </c>
      <c r="V164">
        <v>0.31169999999999998</v>
      </c>
      <c r="AB164">
        <f t="shared" ref="AB164:AB166" si="43">(D164*H164*E164)/(B164/1000)</f>
        <v>46.663199999999996</v>
      </c>
    </row>
    <row r="165" spans="1:30" x14ac:dyDescent="0.25">
      <c r="A165" s="1">
        <v>42669</v>
      </c>
      <c r="B165" s="2">
        <v>25</v>
      </c>
      <c r="C165" t="s">
        <v>3</v>
      </c>
      <c r="D165">
        <v>1.8</v>
      </c>
      <c r="E165">
        <v>1</v>
      </c>
      <c r="F165" t="s">
        <v>162</v>
      </c>
      <c r="G165">
        <v>0.99850000000000005</v>
      </c>
      <c r="H165">
        <v>0.6905</v>
      </c>
      <c r="I165">
        <v>2.7400000000000001E-2</v>
      </c>
      <c r="L165">
        <v>0.128</v>
      </c>
      <c r="M165">
        <v>3.9100000000000003E-2</v>
      </c>
      <c r="Q165">
        <v>3.3999999999999998E-3</v>
      </c>
      <c r="T165" s="4">
        <v>1.4949E-12</v>
      </c>
      <c r="U165">
        <v>0.1168</v>
      </c>
      <c r="V165" s="4">
        <v>2.8673000000000001E-5</v>
      </c>
      <c r="AB165">
        <f t="shared" si="43"/>
        <v>49.716000000000001</v>
      </c>
    </row>
    <row r="166" spans="1:30" x14ac:dyDescent="0.25">
      <c r="A166" s="1">
        <v>42669</v>
      </c>
      <c r="B166" s="2">
        <v>25</v>
      </c>
      <c r="C166" t="s">
        <v>3</v>
      </c>
      <c r="D166">
        <v>1.8</v>
      </c>
      <c r="E166">
        <v>1</v>
      </c>
      <c r="F166" t="s">
        <v>162</v>
      </c>
      <c r="G166" s="11">
        <v>0.98780000000000001</v>
      </c>
      <c r="H166">
        <v>0.57640000000000002</v>
      </c>
      <c r="I166">
        <v>1.5599999999999999E-2</v>
      </c>
      <c r="L166">
        <v>0.23910000000000001</v>
      </c>
      <c r="M166">
        <v>0.13389999999999999</v>
      </c>
      <c r="T166">
        <v>0.24249999999999999</v>
      </c>
      <c r="U166">
        <v>9.1700000000000004E-2</v>
      </c>
      <c r="V166">
        <v>0.2298</v>
      </c>
      <c r="AB166">
        <f t="shared" si="43"/>
        <v>41.500799999999998</v>
      </c>
      <c r="AC166">
        <f t="shared" ref="AC166" si="44">AVERAGE(AB164:AB166)</f>
        <v>45.96</v>
      </c>
      <c r="AD166">
        <f t="shared" ref="AD166" si="45">STDEV(AB164:AB166)</f>
        <v>4.15249869837427</v>
      </c>
    </row>
    <row r="167" spans="1:30" x14ac:dyDescent="0.25">
      <c r="A167" s="1">
        <v>42669</v>
      </c>
      <c r="B167" s="2">
        <v>25</v>
      </c>
      <c r="C167" t="s">
        <v>3</v>
      </c>
    </row>
    <row r="168" spans="1:30" x14ac:dyDescent="0.25">
      <c r="A168" s="1">
        <v>42669</v>
      </c>
      <c r="B168" s="2">
        <v>25</v>
      </c>
      <c r="C168" t="s">
        <v>3</v>
      </c>
    </row>
    <row r="169" spans="1:30" x14ac:dyDescent="0.25">
      <c r="A169" s="1">
        <v>42669</v>
      </c>
      <c r="B169" s="2">
        <v>25</v>
      </c>
      <c r="C169" t="s">
        <v>3</v>
      </c>
    </row>
    <row r="170" spans="1:30" x14ac:dyDescent="0.25">
      <c r="A170" s="1">
        <v>42678</v>
      </c>
      <c r="B170" s="2">
        <v>50</v>
      </c>
      <c r="C170" t="s">
        <v>3</v>
      </c>
      <c r="D170">
        <v>1.8</v>
      </c>
      <c r="E170">
        <v>1</v>
      </c>
      <c r="F170" t="s">
        <v>162</v>
      </c>
      <c r="G170">
        <v>0.99870000000000003</v>
      </c>
      <c r="H170">
        <v>0.98209999999999997</v>
      </c>
      <c r="I170">
        <v>4.7699999999999999E-2</v>
      </c>
      <c r="L170">
        <v>0.2606</v>
      </c>
      <c r="M170">
        <v>0.105</v>
      </c>
      <c r="T170">
        <v>0.22750000000000001</v>
      </c>
      <c r="U170">
        <v>0.16869999999999999</v>
      </c>
      <c r="AB170">
        <f t="shared" ref="AB170:AB172" si="46">(D170*H170*E170)/(B170/1000)</f>
        <v>35.355599999999995</v>
      </c>
    </row>
    <row r="171" spans="1:30" x14ac:dyDescent="0.25">
      <c r="A171" s="1">
        <v>42678</v>
      </c>
      <c r="B171" s="2">
        <v>50</v>
      </c>
      <c r="C171" t="s">
        <v>3</v>
      </c>
      <c r="D171">
        <v>1.8</v>
      </c>
      <c r="E171">
        <v>1</v>
      </c>
      <c r="F171" t="s">
        <v>162</v>
      </c>
      <c r="G171">
        <v>0.99890000000000001</v>
      </c>
      <c r="H171">
        <v>0.98099999999999998</v>
      </c>
      <c r="I171">
        <v>2.7300000000000001E-2</v>
      </c>
      <c r="L171">
        <v>0.25740000000000002</v>
      </c>
      <c r="M171">
        <v>0.1414</v>
      </c>
      <c r="U171">
        <v>0.1522</v>
      </c>
      <c r="AB171">
        <f t="shared" si="46"/>
        <v>35.315999999999995</v>
      </c>
    </row>
    <row r="172" spans="1:30" x14ac:dyDescent="0.25">
      <c r="A172" s="1">
        <v>42678</v>
      </c>
      <c r="B172" s="2">
        <v>50</v>
      </c>
      <c r="C172" t="s">
        <v>3</v>
      </c>
      <c r="D172">
        <v>1.8</v>
      </c>
      <c r="E172">
        <v>1</v>
      </c>
      <c r="F172" t="s">
        <v>162</v>
      </c>
      <c r="G172">
        <v>0.99919999999999998</v>
      </c>
      <c r="H172">
        <v>1.0156000000000001</v>
      </c>
      <c r="I172">
        <v>8.6099999999999996E-2</v>
      </c>
      <c r="L172">
        <v>0.26540000000000002</v>
      </c>
      <c r="M172">
        <v>0.13100000000000001</v>
      </c>
      <c r="T172">
        <v>6.0100000000000001E-2</v>
      </c>
      <c r="U172">
        <v>0.19239999999999999</v>
      </c>
      <c r="AB172">
        <f t="shared" si="46"/>
        <v>36.561599999999999</v>
      </c>
      <c r="AC172">
        <f t="shared" ref="AC172" si="47">AVERAGE(AB170:AB172)</f>
        <v>35.744399999999992</v>
      </c>
      <c r="AD172">
        <f t="shared" ref="AD172" si="48">STDEV(AB170:AB172)</f>
        <v>0.70799288132014615</v>
      </c>
    </row>
    <row r="173" spans="1:30" x14ac:dyDescent="0.25">
      <c r="A173" s="1">
        <v>42678</v>
      </c>
      <c r="B173" s="2">
        <v>50</v>
      </c>
      <c r="C173" t="s">
        <v>3</v>
      </c>
    </row>
    <row r="174" spans="1:30" x14ac:dyDescent="0.25">
      <c r="A174" s="1">
        <v>42678</v>
      </c>
      <c r="B174" s="2">
        <v>50</v>
      </c>
      <c r="C174" t="s">
        <v>3</v>
      </c>
    </row>
    <row r="175" spans="1:30" x14ac:dyDescent="0.25">
      <c r="A175" s="1">
        <v>42678</v>
      </c>
      <c r="B175" s="2">
        <v>50</v>
      </c>
      <c r="C175" t="s">
        <v>3</v>
      </c>
    </row>
    <row r="176" spans="1:30" x14ac:dyDescent="0.25">
      <c r="A176" s="1">
        <v>42683</v>
      </c>
      <c r="B176" s="2">
        <v>50</v>
      </c>
      <c r="C176" t="s">
        <v>3</v>
      </c>
      <c r="D176">
        <v>1.8</v>
      </c>
      <c r="E176">
        <v>1</v>
      </c>
      <c r="F176" t="s">
        <v>162</v>
      </c>
      <c r="G176">
        <v>0.99850000000000005</v>
      </c>
      <c r="H176">
        <v>0.623</v>
      </c>
      <c r="I176">
        <v>5.2600000000000001E-2</v>
      </c>
      <c r="L176">
        <v>0.21479999999999999</v>
      </c>
      <c r="M176">
        <v>7.3800000000000004E-2</v>
      </c>
      <c r="T176">
        <v>0.2286</v>
      </c>
      <c r="U176">
        <v>9.0499999999999997E-2</v>
      </c>
      <c r="AB176">
        <f t="shared" ref="AB176:AB178" si="49">(D176*H176*E176)/(B176/1000)</f>
        <v>22.427999999999997</v>
      </c>
    </row>
    <row r="177" spans="1:30" x14ac:dyDescent="0.25">
      <c r="A177" s="1">
        <v>42683</v>
      </c>
      <c r="B177" s="2">
        <v>50</v>
      </c>
      <c r="C177" t="s">
        <v>3</v>
      </c>
      <c r="D177">
        <v>1.8</v>
      </c>
      <c r="E177">
        <v>1</v>
      </c>
      <c r="F177" t="s">
        <v>162</v>
      </c>
      <c r="G177">
        <v>0.998</v>
      </c>
      <c r="H177">
        <v>0.60540000000000005</v>
      </c>
      <c r="I177">
        <v>4.8500000000000001E-2</v>
      </c>
      <c r="L177">
        <v>0.216</v>
      </c>
      <c r="M177">
        <v>7.3800000000000004E-2</v>
      </c>
      <c r="T177">
        <v>0.28449999999999998</v>
      </c>
      <c r="U177">
        <v>7.51E-2</v>
      </c>
      <c r="AB177">
        <f t="shared" si="49"/>
        <v>21.7944</v>
      </c>
    </row>
    <row r="178" spans="1:30" x14ac:dyDescent="0.25">
      <c r="A178" s="1">
        <v>42683</v>
      </c>
      <c r="B178" s="2">
        <v>50</v>
      </c>
      <c r="C178" t="s">
        <v>3</v>
      </c>
      <c r="D178">
        <v>1.8</v>
      </c>
      <c r="E178">
        <v>1</v>
      </c>
      <c r="F178" t="s">
        <v>162</v>
      </c>
      <c r="G178">
        <v>0.99809999999999999</v>
      </c>
      <c r="H178">
        <v>0.64019999999999999</v>
      </c>
      <c r="I178">
        <v>5.3999999999999999E-2</v>
      </c>
      <c r="L178">
        <v>0.2218</v>
      </c>
      <c r="M178">
        <v>7.1900000000000006E-2</v>
      </c>
      <c r="T178">
        <v>0.23480000000000001</v>
      </c>
      <c r="U178">
        <v>9.6000000000000002E-2</v>
      </c>
      <c r="AB178">
        <f t="shared" si="49"/>
        <v>23.0472</v>
      </c>
      <c r="AC178">
        <f t="shared" ref="AC178" si="50">AVERAGE(AB176:AB178)</f>
        <v>22.423199999999998</v>
      </c>
      <c r="AD178">
        <f t="shared" ref="AD178" si="51">STDEV(AB176:AB178)</f>
        <v>0.62641379295159227</v>
      </c>
    </row>
    <row r="179" spans="1:30" x14ac:dyDescent="0.25">
      <c r="A179" s="1">
        <v>42683</v>
      </c>
      <c r="B179" s="2">
        <v>50</v>
      </c>
      <c r="C179" t="s">
        <v>3</v>
      </c>
    </row>
    <row r="180" spans="1:30" x14ac:dyDescent="0.25">
      <c r="A180" s="1">
        <v>42683</v>
      </c>
      <c r="B180" s="2">
        <v>50</v>
      </c>
      <c r="C180" t="s">
        <v>3</v>
      </c>
    </row>
    <row r="181" spans="1:30" x14ac:dyDescent="0.25">
      <c r="A181" s="1">
        <v>42683</v>
      </c>
      <c r="B181" s="2">
        <v>50</v>
      </c>
      <c r="C181" t="s">
        <v>3</v>
      </c>
    </row>
    <row r="182" spans="1:30" x14ac:dyDescent="0.25">
      <c r="A182" s="1">
        <v>42690</v>
      </c>
      <c r="B182" s="2">
        <v>100</v>
      </c>
      <c r="C182" t="s">
        <v>3</v>
      </c>
      <c r="D182">
        <v>1.8</v>
      </c>
      <c r="E182">
        <v>1</v>
      </c>
      <c r="F182" t="s">
        <v>162</v>
      </c>
      <c r="G182">
        <v>0.998</v>
      </c>
      <c r="H182">
        <v>0.77659999999999996</v>
      </c>
      <c r="I182">
        <v>7.9899999999999999E-2</v>
      </c>
      <c r="L182">
        <v>0.3362</v>
      </c>
      <c r="M182">
        <v>0.17119999999999999</v>
      </c>
      <c r="T182">
        <v>0.20219999999999999</v>
      </c>
      <c r="U182">
        <v>0.1069</v>
      </c>
      <c r="V182">
        <v>0.48120000000000002</v>
      </c>
      <c r="AB182">
        <f t="shared" ref="AB182:AB184" si="52">(D182*H182*E182)/(B182/1000)</f>
        <v>13.9788</v>
      </c>
    </row>
    <row r="183" spans="1:30" x14ac:dyDescent="0.25">
      <c r="A183" s="1">
        <v>42690</v>
      </c>
      <c r="B183" s="2">
        <v>100</v>
      </c>
      <c r="C183" t="s">
        <v>3</v>
      </c>
      <c r="D183">
        <v>1.8</v>
      </c>
      <c r="E183">
        <v>1</v>
      </c>
      <c r="F183" t="s">
        <v>162</v>
      </c>
      <c r="G183">
        <v>0.99839999999999995</v>
      </c>
      <c r="H183">
        <v>0.76629999999999998</v>
      </c>
      <c r="I183">
        <v>8.7099999999999997E-2</v>
      </c>
      <c r="L183">
        <v>0.35820000000000002</v>
      </c>
      <c r="M183">
        <v>0.14760000000000001</v>
      </c>
      <c r="T183">
        <v>0.35320000000000001</v>
      </c>
      <c r="U183">
        <v>8.3599999999999994E-2</v>
      </c>
      <c r="AB183">
        <f>(D183*H183*E183)/(B183/1000)</f>
        <v>13.7934</v>
      </c>
    </row>
    <row r="184" spans="1:30" x14ac:dyDescent="0.25">
      <c r="A184" s="1">
        <v>42690</v>
      </c>
      <c r="B184" s="2">
        <v>100</v>
      </c>
      <c r="C184" t="s">
        <v>3</v>
      </c>
      <c r="D184">
        <v>1.8</v>
      </c>
      <c r="E184">
        <v>1</v>
      </c>
      <c r="F184" t="s">
        <v>162</v>
      </c>
      <c r="G184">
        <v>0.99790000000000001</v>
      </c>
      <c r="H184">
        <v>0.8589</v>
      </c>
      <c r="I184">
        <v>3.1300000000000001E-2</v>
      </c>
      <c r="L184">
        <v>0.40239999999999998</v>
      </c>
      <c r="M184">
        <v>0.182</v>
      </c>
      <c r="T184">
        <v>0.8044</v>
      </c>
      <c r="U184" s="4">
        <v>5.169E-6</v>
      </c>
      <c r="AB184">
        <f t="shared" si="52"/>
        <v>15.460199999999999</v>
      </c>
      <c r="AC184">
        <f t="shared" ref="AC184" si="53">AVERAGE(AB182:AB184)</f>
        <v>14.4108</v>
      </c>
      <c r="AD184">
        <f t="shared" ref="AD184" si="54">STDEV(AB182:AB184)</f>
        <v>0.9135226105576143</v>
      </c>
    </row>
    <row r="185" spans="1:30" x14ac:dyDescent="0.25">
      <c r="A185" s="1">
        <v>42690</v>
      </c>
      <c r="B185" s="2">
        <v>100</v>
      </c>
      <c r="C185" t="s">
        <v>3</v>
      </c>
    </row>
    <row r="186" spans="1:30" x14ac:dyDescent="0.25">
      <c r="A186" s="1">
        <v>42690</v>
      </c>
      <c r="B186" s="2">
        <v>100</v>
      </c>
      <c r="C186" t="s">
        <v>3</v>
      </c>
    </row>
    <row r="187" spans="1:30" x14ac:dyDescent="0.25">
      <c r="A187" s="1">
        <v>42690</v>
      </c>
      <c r="B187" s="2">
        <v>100</v>
      </c>
      <c r="C187" t="s">
        <v>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opLeftCell="A55" workbookViewId="0">
      <selection activeCell="C87" sqref="C87"/>
    </sheetView>
  </sheetViews>
  <sheetFormatPr defaultRowHeight="15" x14ac:dyDescent="0.25"/>
  <cols>
    <col min="1" max="1" width="10.7109375" bestFit="1" customWidth="1"/>
    <col min="4" max="4" width="75.42578125" bestFit="1" customWidth="1"/>
    <col min="5" max="5" width="21" customWidth="1"/>
    <col min="6" max="6" width="15" bestFit="1" customWidth="1"/>
    <col min="7" max="7" width="53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40</v>
      </c>
      <c r="E1" t="s">
        <v>34</v>
      </c>
      <c r="F1" t="s">
        <v>34</v>
      </c>
      <c r="G1" t="s">
        <v>42</v>
      </c>
    </row>
    <row r="2" spans="1:7" x14ac:dyDescent="0.25">
      <c r="A2" s="1">
        <v>42439</v>
      </c>
      <c r="B2">
        <v>50</v>
      </c>
      <c r="C2">
        <v>0.45</v>
      </c>
      <c r="D2" s="6" t="s">
        <v>31</v>
      </c>
      <c r="E2" s="6"/>
      <c r="F2" t="s">
        <v>41</v>
      </c>
      <c r="G2" t="s">
        <v>43</v>
      </c>
    </row>
    <row r="3" spans="1:7" x14ac:dyDescent="0.25">
      <c r="A3" s="1">
        <v>42439</v>
      </c>
      <c r="B3">
        <v>50</v>
      </c>
      <c r="C3">
        <v>0.45</v>
      </c>
      <c r="F3" t="s">
        <v>41</v>
      </c>
      <c r="G3" t="s">
        <v>43</v>
      </c>
    </row>
    <row r="4" spans="1:7" x14ac:dyDescent="0.25">
      <c r="A4" s="1">
        <v>42461</v>
      </c>
      <c r="B4">
        <v>50</v>
      </c>
      <c r="C4">
        <v>0.45</v>
      </c>
      <c r="D4" s="6" t="s">
        <v>32</v>
      </c>
      <c r="E4" s="6"/>
      <c r="F4" t="s">
        <v>41</v>
      </c>
      <c r="G4" t="s">
        <v>43</v>
      </c>
    </row>
    <row r="5" spans="1:7" x14ac:dyDescent="0.25">
      <c r="A5" s="1">
        <v>42461</v>
      </c>
      <c r="B5">
        <v>50</v>
      </c>
      <c r="C5">
        <v>0.45</v>
      </c>
      <c r="F5" t="s">
        <v>41</v>
      </c>
      <c r="G5" t="s">
        <v>43</v>
      </c>
    </row>
    <row r="6" spans="1:7" x14ac:dyDescent="0.25">
      <c r="A6" s="1">
        <v>42480</v>
      </c>
      <c r="B6">
        <v>50</v>
      </c>
      <c r="C6">
        <v>0.45</v>
      </c>
      <c r="D6" t="s">
        <v>32</v>
      </c>
      <c r="F6" t="s">
        <v>41</v>
      </c>
      <c r="G6" t="s">
        <v>43</v>
      </c>
    </row>
    <row r="7" spans="1:7" x14ac:dyDescent="0.25">
      <c r="A7" s="1">
        <v>42480</v>
      </c>
      <c r="B7">
        <v>50</v>
      </c>
      <c r="C7">
        <v>0.45</v>
      </c>
      <c r="F7" t="s">
        <v>41</v>
      </c>
      <c r="G7" t="s">
        <v>43</v>
      </c>
    </row>
    <row r="8" spans="1:7" x14ac:dyDescent="0.25">
      <c r="A8" s="1">
        <v>42494</v>
      </c>
      <c r="B8">
        <v>50</v>
      </c>
      <c r="C8">
        <v>0.45</v>
      </c>
      <c r="D8" t="s">
        <v>32</v>
      </c>
      <c r="F8" t="s">
        <v>41</v>
      </c>
      <c r="G8" t="s">
        <v>43</v>
      </c>
    </row>
    <row r="9" spans="1:7" x14ac:dyDescent="0.25">
      <c r="A9" s="1">
        <v>42494</v>
      </c>
      <c r="B9">
        <v>50</v>
      </c>
      <c r="C9">
        <v>0.45</v>
      </c>
      <c r="F9" t="s">
        <v>41</v>
      </c>
      <c r="G9" t="s">
        <v>43</v>
      </c>
    </row>
    <row r="10" spans="1:7" x14ac:dyDescent="0.25">
      <c r="A10" s="1">
        <v>42501</v>
      </c>
      <c r="B10">
        <v>50</v>
      </c>
      <c r="C10">
        <v>0.45</v>
      </c>
      <c r="D10" t="s">
        <v>32</v>
      </c>
      <c r="F10" t="s">
        <v>41</v>
      </c>
      <c r="G10" t="s">
        <v>43</v>
      </c>
    </row>
    <row r="11" spans="1:7" x14ac:dyDescent="0.25">
      <c r="A11" s="1">
        <v>42501</v>
      </c>
      <c r="B11">
        <v>50</v>
      </c>
      <c r="C11">
        <v>0.45</v>
      </c>
      <c r="F11" t="s">
        <v>41</v>
      </c>
      <c r="G11" t="s">
        <v>43</v>
      </c>
    </row>
    <row r="12" spans="1:7" x14ac:dyDescent="0.25">
      <c r="A12" s="1">
        <v>42508</v>
      </c>
      <c r="B12">
        <v>50</v>
      </c>
      <c r="C12">
        <v>0.45</v>
      </c>
      <c r="D12" t="s">
        <v>32</v>
      </c>
      <c r="F12" t="s">
        <v>41</v>
      </c>
      <c r="G12" t="s">
        <v>43</v>
      </c>
    </row>
    <row r="13" spans="1:7" x14ac:dyDescent="0.25">
      <c r="A13" s="1">
        <v>42508</v>
      </c>
      <c r="B13">
        <v>50</v>
      </c>
      <c r="C13">
        <v>0.45</v>
      </c>
      <c r="F13" t="s">
        <v>41</v>
      </c>
      <c r="G13" t="s">
        <v>43</v>
      </c>
    </row>
    <row r="14" spans="1:7" x14ac:dyDescent="0.25">
      <c r="A14" s="1">
        <v>42515</v>
      </c>
      <c r="B14">
        <v>50</v>
      </c>
      <c r="C14">
        <v>0.45</v>
      </c>
      <c r="D14" t="s">
        <v>32</v>
      </c>
      <c r="F14" t="s">
        <v>41</v>
      </c>
      <c r="G14" t="s">
        <v>43</v>
      </c>
    </row>
    <row r="15" spans="1:7" x14ac:dyDescent="0.25">
      <c r="A15" s="1">
        <v>42515</v>
      </c>
      <c r="B15">
        <v>50</v>
      </c>
      <c r="C15">
        <v>0.45</v>
      </c>
      <c r="F15" t="s">
        <v>41</v>
      </c>
      <c r="G15" t="s">
        <v>43</v>
      </c>
    </row>
    <row r="16" spans="1:7" x14ac:dyDescent="0.25">
      <c r="A16" s="1">
        <v>42522</v>
      </c>
      <c r="B16">
        <v>50</v>
      </c>
      <c r="C16">
        <v>0.45</v>
      </c>
      <c r="D16" t="s">
        <v>32</v>
      </c>
      <c r="F16" t="s">
        <v>41</v>
      </c>
      <c r="G16" t="s">
        <v>43</v>
      </c>
    </row>
    <row r="17" spans="1:7" x14ac:dyDescent="0.25">
      <c r="A17" s="1">
        <v>42522</v>
      </c>
      <c r="B17">
        <v>50</v>
      </c>
      <c r="C17">
        <v>0.45</v>
      </c>
      <c r="F17" t="s">
        <v>41</v>
      </c>
      <c r="G17" t="s">
        <v>43</v>
      </c>
    </row>
    <row r="18" spans="1:7" x14ac:dyDescent="0.25">
      <c r="A18" s="1">
        <v>42522</v>
      </c>
      <c r="B18">
        <v>50</v>
      </c>
      <c r="C18">
        <v>0.45</v>
      </c>
      <c r="F18" t="s">
        <v>41</v>
      </c>
      <c r="G18" t="s">
        <v>43</v>
      </c>
    </row>
    <row r="19" spans="1:7" x14ac:dyDescent="0.25">
      <c r="A19" s="1">
        <v>42536</v>
      </c>
      <c r="B19">
        <v>50</v>
      </c>
      <c r="C19">
        <v>0.45</v>
      </c>
      <c r="D19" t="s">
        <v>32</v>
      </c>
      <c r="F19" t="s">
        <v>41</v>
      </c>
      <c r="G19" t="s">
        <v>43</v>
      </c>
    </row>
    <row r="20" spans="1:7" x14ac:dyDescent="0.25">
      <c r="A20" s="1">
        <v>42536</v>
      </c>
      <c r="B20">
        <v>50</v>
      </c>
      <c r="C20">
        <v>0.45</v>
      </c>
      <c r="F20" t="s">
        <v>41</v>
      </c>
      <c r="G20" t="s">
        <v>43</v>
      </c>
    </row>
    <row r="21" spans="1:7" x14ac:dyDescent="0.25">
      <c r="A21" s="1">
        <v>42536</v>
      </c>
      <c r="B21">
        <v>50</v>
      </c>
      <c r="C21">
        <v>0.45</v>
      </c>
      <c r="F21" t="s">
        <v>41</v>
      </c>
      <c r="G21" t="s">
        <v>43</v>
      </c>
    </row>
    <row r="22" spans="1:7" x14ac:dyDescent="0.25">
      <c r="A22" s="1">
        <v>42544</v>
      </c>
      <c r="B22">
        <v>50</v>
      </c>
      <c r="C22">
        <v>0.45</v>
      </c>
      <c r="D22" t="s">
        <v>32</v>
      </c>
      <c r="F22" t="s">
        <v>41</v>
      </c>
      <c r="G22" t="s">
        <v>43</v>
      </c>
    </row>
    <row r="23" spans="1:7" x14ac:dyDescent="0.25">
      <c r="A23" s="1">
        <v>42544</v>
      </c>
      <c r="B23">
        <v>50</v>
      </c>
      <c r="C23">
        <v>0.45</v>
      </c>
      <c r="F23" t="s">
        <v>41</v>
      </c>
      <c r="G23" t="s">
        <v>43</v>
      </c>
    </row>
    <row r="24" spans="1:7" x14ac:dyDescent="0.25">
      <c r="A24" s="1">
        <v>42544</v>
      </c>
      <c r="B24">
        <v>50</v>
      </c>
      <c r="C24">
        <v>0.45</v>
      </c>
      <c r="F24" t="s">
        <v>41</v>
      </c>
      <c r="G24" t="s">
        <v>43</v>
      </c>
    </row>
    <row r="25" spans="1:7" x14ac:dyDescent="0.25">
      <c r="A25" s="1">
        <v>42184</v>
      </c>
      <c r="B25">
        <v>50</v>
      </c>
      <c r="C25">
        <v>0.45</v>
      </c>
      <c r="D25" t="s">
        <v>32</v>
      </c>
      <c r="F25" t="s">
        <v>41</v>
      </c>
      <c r="G25" t="s">
        <v>43</v>
      </c>
    </row>
    <row r="26" spans="1:7" x14ac:dyDescent="0.25">
      <c r="A26" s="1">
        <v>42184</v>
      </c>
      <c r="B26">
        <v>50</v>
      </c>
      <c r="C26">
        <v>0.45</v>
      </c>
      <c r="F26" t="s">
        <v>41</v>
      </c>
      <c r="G26" t="s">
        <v>43</v>
      </c>
    </row>
    <row r="27" spans="1:7" x14ac:dyDescent="0.25">
      <c r="A27" s="1">
        <v>42550</v>
      </c>
      <c r="B27">
        <v>50</v>
      </c>
      <c r="C27">
        <v>0.45</v>
      </c>
      <c r="F27" t="s">
        <v>41</v>
      </c>
      <c r="G27" t="s">
        <v>43</v>
      </c>
    </row>
    <row r="28" spans="1:7" x14ac:dyDescent="0.25">
      <c r="A28" s="1">
        <v>42557</v>
      </c>
      <c r="B28">
        <v>50</v>
      </c>
      <c r="C28">
        <v>0.45</v>
      </c>
      <c r="D28" t="s">
        <v>32</v>
      </c>
      <c r="E28" t="s">
        <v>46</v>
      </c>
      <c r="F28" t="s">
        <v>41</v>
      </c>
      <c r="G28" t="s">
        <v>43</v>
      </c>
    </row>
    <row r="29" spans="1:7" x14ac:dyDescent="0.25">
      <c r="A29" s="1">
        <v>42557</v>
      </c>
      <c r="B29">
        <v>50</v>
      </c>
      <c r="C29">
        <v>0.45</v>
      </c>
      <c r="F29" t="s">
        <v>41</v>
      </c>
      <c r="G29" t="s">
        <v>43</v>
      </c>
    </row>
    <row r="30" spans="1:7" x14ac:dyDescent="0.25">
      <c r="A30" s="1">
        <v>42557</v>
      </c>
      <c r="B30">
        <v>50</v>
      </c>
      <c r="C30">
        <v>0.45</v>
      </c>
      <c r="F30" t="s">
        <v>41</v>
      </c>
      <c r="G30" t="s">
        <v>43</v>
      </c>
    </row>
    <row r="31" spans="1:7" x14ac:dyDescent="0.25">
      <c r="A31" s="1">
        <v>42564</v>
      </c>
      <c r="B31">
        <v>50</v>
      </c>
      <c r="C31">
        <v>0.45</v>
      </c>
      <c r="D31" t="s">
        <v>32</v>
      </c>
      <c r="E31" t="s">
        <v>45</v>
      </c>
      <c r="F31" t="s">
        <v>41</v>
      </c>
      <c r="G31" t="s">
        <v>43</v>
      </c>
    </row>
    <row r="32" spans="1:7" x14ac:dyDescent="0.25">
      <c r="A32" s="1">
        <v>42564</v>
      </c>
      <c r="B32">
        <v>50</v>
      </c>
      <c r="C32">
        <v>0.45</v>
      </c>
      <c r="F32" t="s">
        <v>41</v>
      </c>
      <c r="G32" t="s">
        <v>43</v>
      </c>
    </row>
    <row r="33" spans="1:7" x14ac:dyDescent="0.25">
      <c r="A33" s="1">
        <v>42564</v>
      </c>
      <c r="B33">
        <v>50</v>
      </c>
      <c r="C33">
        <v>0.45</v>
      </c>
      <c r="F33" t="s">
        <v>41</v>
      </c>
      <c r="G33" t="s">
        <v>43</v>
      </c>
    </row>
    <row r="34" spans="1:7" x14ac:dyDescent="0.25">
      <c r="A34" s="1">
        <v>42571</v>
      </c>
      <c r="B34">
        <v>50</v>
      </c>
      <c r="C34">
        <v>0.45</v>
      </c>
      <c r="D34" s="6" t="s">
        <v>39</v>
      </c>
      <c r="E34" s="7" t="s">
        <v>44</v>
      </c>
    </row>
    <row r="35" spans="1:7" x14ac:dyDescent="0.25">
      <c r="A35" s="1">
        <v>42571</v>
      </c>
      <c r="B35">
        <v>50</v>
      </c>
      <c r="C35">
        <v>0.45</v>
      </c>
      <c r="E35" s="7"/>
    </row>
    <row r="36" spans="1:7" x14ac:dyDescent="0.25">
      <c r="A36" s="1">
        <v>42571</v>
      </c>
      <c r="B36">
        <v>50</v>
      </c>
      <c r="C36">
        <v>0.45</v>
      </c>
      <c r="E36" s="7"/>
    </row>
    <row r="37" spans="1:7" x14ac:dyDescent="0.25">
      <c r="A37" s="1">
        <v>42578</v>
      </c>
      <c r="B37">
        <v>50</v>
      </c>
      <c r="C37">
        <v>0.45</v>
      </c>
      <c r="D37" s="7" t="s">
        <v>39</v>
      </c>
      <c r="E37" s="7" t="s">
        <v>47</v>
      </c>
    </row>
    <row r="38" spans="1:7" x14ac:dyDescent="0.25">
      <c r="A38" s="1">
        <v>42578</v>
      </c>
      <c r="B38">
        <v>50</v>
      </c>
      <c r="C38">
        <v>0.45</v>
      </c>
    </row>
    <row r="39" spans="1:7" x14ac:dyDescent="0.25">
      <c r="A39" s="1">
        <v>42578</v>
      </c>
      <c r="B39">
        <v>50</v>
      </c>
      <c r="C39">
        <v>0.45</v>
      </c>
    </row>
    <row r="40" spans="1:7" x14ac:dyDescent="0.25">
      <c r="A40" s="1">
        <v>42585</v>
      </c>
      <c r="B40">
        <v>50</v>
      </c>
      <c r="C40">
        <v>0.45</v>
      </c>
      <c r="D40" s="7" t="s">
        <v>39</v>
      </c>
    </row>
    <row r="41" spans="1:7" x14ac:dyDescent="0.25">
      <c r="A41" s="1">
        <v>42585</v>
      </c>
      <c r="B41">
        <v>50</v>
      </c>
      <c r="C41">
        <v>0.45</v>
      </c>
    </row>
    <row r="42" spans="1:7" x14ac:dyDescent="0.25">
      <c r="A42" s="1">
        <v>42585</v>
      </c>
      <c r="B42">
        <v>50</v>
      </c>
      <c r="C42">
        <v>0.45</v>
      </c>
    </row>
    <row r="43" spans="1:7" x14ac:dyDescent="0.25">
      <c r="A43" s="1">
        <v>42592</v>
      </c>
      <c r="B43">
        <v>50</v>
      </c>
      <c r="C43">
        <v>0.45</v>
      </c>
      <c r="D43" s="7" t="s">
        <v>39</v>
      </c>
    </row>
    <row r="44" spans="1:7" x14ac:dyDescent="0.25">
      <c r="A44" s="1">
        <v>42592</v>
      </c>
      <c r="B44">
        <v>50</v>
      </c>
      <c r="C44">
        <v>0.45</v>
      </c>
    </row>
    <row r="45" spans="1:7" x14ac:dyDescent="0.25">
      <c r="A45" s="1">
        <v>42592</v>
      </c>
      <c r="B45">
        <v>50</v>
      </c>
      <c r="C45">
        <v>0.45</v>
      </c>
    </row>
    <row r="46" spans="1:7" x14ac:dyDescent="0.25">
      <c r="A46" s="1">
        <v>42599</v>
      </c>
      <c r="B46">
        <v>50</v>
      </c>
      <c r="C46">
        <v>0.45</v>
      </c>
      <c r="D46" s="7" t="s">
        <v>39</v>
      </c>
    </row>
    <row r="47" spans="1:7" x14ac:dyDescent="0.25">
      <c r="A47" s="1">
        <v>42599</v>
      </c>
      <c r="B47">
        <v>50</v>
      </c>
      <c r="C47">
        <v>0.45</v>
      </c>
    </row>
    <row r="48" spans="1:7" x14ac:dyDescent="0.25">
      <c r="A48" s="1">
        <v>42599</v>
      </c>
      <c r="B48">
        <v>50</v>
      </c>
      <c r="C48">
        <v>0.45</v>
      </c>
    </row>
    <row r="49" spans="1:4" x14ac:dyDescent="0.25">
      <c r="A49" s="1">
        <v>42606</v>
      </c>
      <c r="B49">
        <v>50</v>
      </c>
      <c r="C49">
        <v>0.45</v>
      </c>
      <c r="D49" s="7" t="s">
        <v>39</v>
      </c>
    </row>
    <row r="50" spans="1:4" x14ac:dyDescent="0.25">
      <c r="A50" s="1">
        <v>42606</v>
      </c>
      <c r="B50">
        <v>50</v>
      </c>
      <c r="C50">
        <v>0.45</v>
      </c>
    </row>
    <row r="51" spans="1:4" x14ac:dyDescent="0.25">
      <c r="A51" s="1">
        <v>42606</v>
      </c>
      <c r="B51">
        <v>50</v>
      </c>
      <c r="C51">
        <v>0.45</v>
      </c>
    </row>
    <row r="52" spans="1:4" x14ac:dyDescent="0.25">
      <c r="A52" s="1">
        <v>42613</v>
      </c>
      <c r="B52">
        <v>50</v>
      </c>
      <c r="C52">
        <v>0.45</v>
      </c>
      <c r="D52" s="7" t="s">
        <v>39</v>
      </c>
    </row>
    <row r="53" spans="1:4" x14ac:dyDescent="0.25">
      <c r="A53" s="1">
        <v>42613</v>
      </c>
      <c r="B53">
        <v>50</v>
      </c>
      <c r="C53">
        <v>0.45</v>
      </c>
    </row>
    <row r="54" spans="1:4" x14ac:dyDescent="0.25">
      <c r="A54" s="1">
        <v>42613</v>
      </c>
      <c r="B54">
        <v>50</v>
      </c>
      <c r="C54">
        <v>0.45</v>
      </c>
    </row>
    <row r="55" spans="1:4" x14ac:dyDescent="0.25">
      <c r="A55" s="1">
        <v>42620</v>
      </c>
      <c r="B55">
        <v>50</v>
      </c>
      <c r="C55">
        <v>0.45</v>
      </c>
      <c r="D55" s="7" t="s">
        <v>39</v>
      </c>
    </row>
    <row r="56" spans="1:4" x14ac:dyDescent="0.25">
      <c r="A56" s="1">
        <v>42620</v>
      </c>
      <c r="B56">
        <v>50</v>
      </c>
      <c r="C56">
        <v>0.45</v>
      </c>
    </row>
    <row r="57" spans="1:4" x14ac:dyDescent="0.25">
      <c r="A57" s="1">
        <v>42528</v>
      </c>
      <c r="B57">
        <v>50</v>
      </c>
      <c r="C57">
        <v>0.45</v>
      </c>
    </row>
    <row r="58" spans="1:4" x14ac:dyDescent="0.25">
      <c r="A58" s="1">
        <v>42627</v>
      </c>
      <c r="B58">
        <v>50</v>
      </c>
      <c r="C58">
        <v>0.45</v>
      </c>
      <c r="D58" s="7" t="s">
        <v>39</v>
      </c>
    </row>
    <row r="59" spans="1:4" x14ac:dyDescent="0.25">
      <c r="A59" s="1">
        <v>42627</v>
      </c>
      <c r="B59">
        <v>50</v>
      </c>
      <c r="C59">
        <v>0.45</v>
      </c>
    </row>
    <row r="60" spans="1:4" x14ac:dyDescent="0.25">
      <c r="A60" s="1">
        <v>42627</v>
      </c>
      <c r="B60">
        <v>50</v>
      </c>
      <c r="C60">
        <v>0.45</v>
      </c>
    </row>
    <row r="61" spans="1:4" x14ac:dyDescent="0.25">
      <c r="A61" s="1">
        <v>42634</v>
      </c>
      <c r="B61">
        <v>50</v>
      </c>
      <c r="C61">
        <v>0.45</v>
      </c>
      <c r="D61" s="7" t="s">
        <v>39</v>
      </c>
    </row>
    <row r="62" spans="1:4" x14ac:dyDescent="0.25">
      <c r="A62" s="1">
        <v>42634</v>
      </c>
      <c r="B62">
        <v>50</v>
      </c>
      <c r="C62">
        <v>0.45</v>
      </c>
    </row>
    <row r="63" spans="1:4" x14ac:dyDescent="0.25">
      <c r="A63" s="1">
        <v>42634</v>
      </c>
      <c r="B63">
        <v>50</v>
      </c>
      <c r="C63">
        <v>0.45</v>
      </c>
    </row>
    <row r="64" spans="1:4" x14ac:dyDescent="0.25">
      <c r="A64" s="1">
        <v>42641</v>
      </c>
      <c r="B64">
        <v>50</v>
      </c>
      <c r="C64">
        <v>0.45</v>
      </c>
      <c r="D64" s="7" t="s">
        <v>39</v>
      </c>
    </row>
    <row r="65" spans="1:4" x14ac:dyDescent="0.25">
      <c r="A65" s="1">
        <v>42641</v>
      </c>
      <c r="B65">
        <v>50</v>
      </c>
      <c r="C65">
        <v>0.45</v>
      </c>
    </row>
    <row r="66" spans="1:4" x14ac:dyDescent="0.25">
      <c r="A66" s="1">
        <v>42641</v>
      </c>
      <c r="B66">
        <v>50</v>
      </c>
      <c r="C66">
        <v>0.45</v>
      </c>
    </row>
    <row r="67" spans="1:4" x14ac:dyDescent="0.25">
      <c r="A67" s="1">
        <v>42649</v>
      </c>
      <c r="B67">
        <v>50</v>
      </c>
      <c r="C67">
        <v>0.45</v>
      </c>
      <c r="D67" s="7" t="s">
        <v>39</v>
      </c>
    </row>
    <row r="68" spans="1:4" x14ac:dyDescent="0.25">
      <c r="A68" s="1">
        <v>42649</v>
      </c>
      <c r="B68">
        <v>50</v>
      </c>
      <c r="C68">
        <v>0.45</v>
      </c>
    </row>
    <row r="69" spans="1:4" x14ac:dyDescent="0.25">
      <c r="A69" s="1">
        <v>42649</v>
      </c>
      <c r="B69">
        <v>50</v>
      </c>
      <c r="C69">
        <v>0.45</v>
      </c>
    </row>
    <row r="70" spans="1:4" x14ac:dyDescent="0.25">
      <c r="A70" s="1">
        <v>42655</v>
      </c>
      <c r="B70">
        <v>50</v>
      </c>
      <c r="C70">
        <v>0.45</v>
      </c>
      <c r="D70" s="7" t="s">
        <v>39</v>
      </c>
    </row>
    <row r="71" spans="1:4" x14ac:dyDescent="0.25">
      <c r="A71" s="1">
        <v>42655</v>
      </c>
      <c r="B71">
        <v>50</v>
      </c>
      <c r="C71">
        <v>0.45</v>
      </c>
    </row>
    <row r="72" spans="1:4" x14ac:dyDescent="0.25">
      <c r="A72" s="1">
        <v>42655</v>
      </c>
      <c r="B72">
        <v>50</v>
      </c>
      <c r="C72">
        <v>0.45</v>
      </c>
    </row>
    <row r="73" spans="1:4" x14ac:dyDescent="0.25">
      <c r="A73" s="1">
        <v>42662</v>
      </c>
      <c r="B73">
        <v>50</v>
      </c>
      <c r="C73">
        <v>0.45</v>
      </c>
      <c r="D73" s="7" t="s">
        <v>39</v>
      </c>
    </row>
    <row r="74" spans="1:4" x14ac:dyDescent="0.25">
      <c r="A74" s="1">
        <v>42662</v>
      </c>
      <c r="B74">
        <v>50</v>
      </c>
      <c r="C74">
        <v>0.45</v>
      </c>
    </row>
    <row r="75" spans="1:4" x14ac:dyDescent="0.25">
      <c r="A75" s="1">
        <v>42662</v>
      </c>
      <c r="B75">
        <v>50</v>
      </c>
      <c r="C75">
        <v>0.45</v>
      </c>
    </row>
    <row r="76" spans="1:4" x14ac:dyDescent="0.25">
      <c r="A76" s="1">
        <v>42669</v>
      </c>
      <c r="B76">
        <v>50</v>
      </c>
      <c r="C76">
        <v>0.45</v>
      </c>
      <c r="D76" s="7" t="s">
        <v>39</v>
      </c>
    </row>
    <row r="77" spans="1:4" x14ac:dyDescent="0.25">
      <c r="A77" s="1">
        <v>42669</v>
      </c>
      <c r="B77">
        <v>50</v>
      </c>
      <c r="C77">
        <v>0.45</v>
      </c>
    </row>
    <row r="78" spans="1:4" x14ac:dyDescent="0.25">
      <c r="A78" s="1">
        <v>42669</v>
      </c>
      <c r="B78">
        <v>50</v>
      </c>
      <c r="C78">
        <v>0.45</v>
      </c>
    </row>
    <row r="79" spans="1:4" x14ac:dyDescent="0.25">
      <c r="A79" s="1">
        <v>42678</v>
      </c>
      <c r="B79">
        <v>50</v>
      </c>
      <c r="C79">
        <v>0.45</v>
      </c>
      <c r="D79" s="7" t="s">
        <v>39</v>
      </c>
    </row>
    <row r="80" spans="1:4" x14ac:dyDescent="0.25">
      <c r="A80" s="1">
        <v>42678</v>
      </c>
      <c r="B80">
        <v>50</v>
      </c>
      <c r="C80">
        <v>0.45</v>
      </c>
    </row>
    <row r="81" spans="1:3" x14ac:dyDescent="0.25">
      <c r="A81" s="1">
        <v>42678</v>
      </c>
      <c r="B81">
        <v>50</v>
      </c>
      <c r="C81">
        <v>0.45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49"/>
  <sheetViews>
    <sheetView topLeftCell="A118" workbookViewId="0">
      <selection activeCell="C148" sqref="C148"/>
    </sheetView>
  </sheetViews>
  <sheetFormatPr defaultRowHeight="15" x14ac:dyDescent="0.25"/>
  <cols>
    <col min="1" max="1" width="10.7109375" bestFit="1" customWidth="1"/>
    <col min="4" max="4" width="35.5703125" customWidth="1"/>
    <col min="5" max="5" width="1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33</v>
      </c>
      <c r="E1" t="s">
        <v>34</v>
      </c>
      <c r="F1" t="s">
        <v>36</v>
      </c>
    </row>
    <row r="2" spans="1:6" x14ac:dyDescent="0.25">
      <c r="A2" s="1">
        <v>42439</v>
      </c>
      <c r="B2">
        <v>10</v>
      </c>
      <c r="C2">
        <v>0.45</v>
      </c>
      <c r="D2" t="s">
        <v>31</v>
      </c>
      <c r="E2" t="s">
        <v>35</v>
      </c>
      <c r="F2" t="s">
        <v>37</v>
      </c>
    </row>
    <row r="3" spans="1:6" x14ac:dyDescent="0.25">
      <c r="A3" s="1">
        <v>42439</v>
      </c>
      <c r="B3">
        <v>10</v>
      </c>
      <c r="C3">
        <v>0.45</v>
      </c>
      <c r="E3" t="s">
        <v>35</v>
      </c>
      <c r="F3" t="s">
        <v>37</v>
      </c>
    </row>
    <row r="4" spans="1:6" x14ac:dyDescent="0.25">
      <c r="A4" s="1">
        <v>42439</v>
      </c>
      <c r="B4">
        <v>10</v>
      </c>
      <c r="C4">
        <v>0.45</v>
      </c>
      <c r="E4" t="s">
        <v>35</v>
      </c>
      <c r="F4" t="s">
        <v>38</v>
      </c>
    </row>
    <row r="5" spans="1:6" x14ac:dyDescent="0.25">
      <c r="A5" s="1">
        <v>42439</v>
      </c>
      <c r="B5">
        <v>10</v>
      </c>
      <c r="C5">
        <v>0.45</v>
      </c>
      <c r="E5" t="s">
        <v>35</v>
      </c>
      <c r="F5" t="s">
        <v>38</v>
      </c>
    </row>
    <row r="6" spans="1:6" x14ac:dyDescent="0.25">
      <c r="A6" s="1">
        <v>42461</v>
      </c>
      <c r="B6">
        <v>10</v>
      </c>
      <c r="C6">
        <v>0.45</v>
      </c>
      <c r="D6" t="s">
        <v>32</v>
      </c>
      <c r="E6" t="s">
        <v>35</v>
      </c>
      <c r="F6" t="s">
        <v>37</v>
      </c>
    </row>
    <row r="7" spans="1:6" x14ac:dyDescent="0.25">
      <c r="A7" s="1">
        <v>42461</v>
      </c>
      <c r="B7">
        <v>10</v>
      </c>
      <c r="C7">
        <v>0.45</v>
      </c>
      <c r="E7" t="s">
        <v>35</v>
      </c>
      <c r="F7" t="s">
        <v>37</v>
      </c>
    </row>
    <row r="8" spans="1:6" x14ac:dyDescent="0.25">
      <c r="A8" s="1">
        <v>42461</v>
      </c>
      <c r="B8">
        <v>10</v>
      </c>
      <c r="C8">
        <v>0.45</v>
      </c>
      <c r="E8" t="s">
        <v>35</v>
      </c>
      <c r="F8" t="s">
        <v>38</v>
      </c>
    </row>
    <row r="9" spans="1:6" x14ac:dyDescent="0.25">
      <c r="A9" s="1">
        <v>42461</v>
      </c>
      <c r="B9">
        <v>10</v>
      </c>
      <c r="C9">
        <v>0.45</v>
      </c>
      <c r="E9" t="s">
        <v>35</v>
      </c>
      <c r="F9" t="s">
        <v>38</v>
      </c>
    </row>
    <row r="10" spans="1:6" x14ac:dyDescent="0.25">
      <c r="A10" s="1">
        <v>42480</v>
      </c>
      <c r="B10">
        <v>10</v>
      </c>
      <c r="C10">
        <v>0.45</v>
      </c>
      <c r="D10" t="s">
        <v>32</v>
      </c>
      <c r="E10" t="s">
        <v>35</v>
      </c>
      <c r="F10" t="s">
        <v>37</v>
      </c>
    </row>
    <row r="11" spans="1:6" x14ac:dyDescent="0.25">
      <c r="A11" s="1">
        <v>42480</v>
      </c>
      <c r="B11">
        <v>10</v>
      </c>
      <c r="C11">
        <v>0.45</v>
      </c>
      <c r="E11" t="s">
        <v>35</v>
      </c>
      <c r="F11" t="s">
        <v>37</v>
      </c>
    </row>
    <row r="12" spans="1:6" x14ac:dyDescent="0.25">
      <c r="A12" s="1">
        <v>42480</v>
      </c>
      <c r="B12">
        <v>10</v>
      </c>
      <c r="C12">
        <v>0.45</v>
      </c>
      <c r="E12" t="s">
        <v>35</v>
      </c>
      <c r="F12" t="s">
        <v>38</v>
      </c>
    </row>
    <row r="13" spans="1:6" x14ac:dyDescent="0.25">
      <c r="A13" s="1">
        <v>42480</v>
      </c>
      <c r="B13">
        <v>10</v>
      </c>
      <c r="C13">
        <v>0.45</v>
      </c>
      <c r="E13" t="s">
        <v>35</v>
      </c>
      <c r="F13" t="s">
        <v>38</v>
      </c>
    </row>
    <row r="14" spans="1:6" x14ac:dyDescent="0.25">
      <c r="A14" s="1">
        <v>42494</v>
      </c>
      <c r="B14">
        <v>10</v>
      </c>
      <c r="C14">
        <v>0.45</v>
      </c>
      <c r="D14" t="s">
        <v>32</v>
      </c>
      <c r="E14" t="s">
        <v>35</v>
      </c>
      <c r="F14" t="s">
        <v>37</v>
      </c>
    </row>
    <row r="15" spans="1:6" x14ac:dyDescent="0.25">
      <c r="A15" s="1">
        <v>42494</v>
      </c>
      <c r="B15">
        <v>10</v>
      </c>
      <c r="C15">
        <v>0.45</v>
      </c>
      <c r="E15" t="s">
        <v>35</v>
      </c>
      <c r="F15" t="s">
        <v>37</v>
      </c>
    </row>
    <row r="16" spans="1:6" x14ac:dyDescent="0.25">
      <c r="A16" s="1">
        <v>42494</v>
      </c>
      <c r="B16">
        <v>10</v>
      </c>
      <c r="C16">
        <v>0.45</v>
      </c>
      <c r="E16" t="s">
        <v>35</v>
      </c>
      <c r="F16" t="s">
        <v>38</v>
      </c>
    </row>
    <row r="17" spans="1:6" x14ac:dyDescent="0.25">
      <c r="A17" s="1">
        <v>42494</v>
      </c>
      <c r="B17">
        <v>10</v>
      </c>
      <c r="C17">
        <v>0.45</v>
      </c>
      <c r="E17" t="s">
        <v>35</v>
      </c>
      <c r="F17" t="s">
        <v>38</v>
      </c>
    </row>
    <row r="18" spans="1:6" x14ac:dyDescent="0.25">
      <c r="A18" s="1">
        <v>42501</v>
      </c>
      <c r="B18">
        <v>10</v>
      </c>
      <c r="C18">
        <v>0.45</v>
      </c>
      <c r="D18" t="s">
        <v>32</v>
      </c>
      <c r="E18" t="s">
        <v>35</v>
      </c>
      <c r="F18" t="s">
        <v>37</v>
      </c>
    </row>
    <row r="19" spans="1:6" x14ac:dyDescent="0.25">
      <c r="A19" s="1">
        <v>42501</v>
      </c>
      <c r="B19">
        <v>10</v>
      </c>
      <c r="C19">
        <v>0.45</v>
      </c>
      <c r="E19" t="s">
        <v>35</v>
      </c>
      <c r="F19" t="s">
        <v>37</v>
      </c>
    </row>
    <row r="20" spans="1:6" x14ac:dyDescent="0.25">
      <c r="A20" s="1">
        <v>42501</v>
      </c>
      <c r="B20">
        <v>10</v>
      </c>
      <c r="C20">
        <v>0.45</v>
      </c>
      <c r="E20" t="s">
        <v>35</v>
      </c>
      <c r="F20" t="s">
        <v>38</v>
      </c>
    </row>
    <row r="21" spans="1:6" x14ac:dyDescent="0.25">
      <c r="A21" s="1">
        <v>42501</v>
      </c>
      <c r="B21">
        <v>10</v>
      </c>
      <c r="C21">
        <v>0.45</v>
      </c>
      <c r="E21" t="s">
        <v>35</v>
      </c>
      <c r="F21" t="s">
        <v>38</v>
      </c>
    </row>
    <row r="22" spans="1:6" x14ac:dyDescent="0.25">
      <c r="A22" s="1">
        <v>42508</v>
      </c>
      <c r="B22">
        <v>10</v>
      </c>
      <c r="C22">
        <v>0.45</v>
      </c>
      <c r="D22" t="s">
        <v>32</v>
      </c>
      <c r="E22" t="s">
        <v>35</v>
      </c>
      <c r="F22" t="s">
        <v>37</v>
      </c>
    </row>
    <row r="23" spans="1:6" x14ac:dyDescent="0.25">
      <c r="A23" s="1">
        <v>42508</v>
      </c>
      <c r="B23">
        <v>10</v>
      </c>
      <c r="C23">
        <v>0.45</v>
      </c>
      <c r="E23" t="s">
        <v>35</v>
      </c>
      <c r="F23" t="s">
        <v>37</v>
      </c>
    </row>
    <row r="24" spans="1:6" x14ac:dyDescent="0.25">
      <c r="A24" s="1">
        <v>42508</v>
      </c>
      <c r="B24">
        <v>10</v>
      </c>
      <c r="C24">
        <v>0.45</v>
      </c>
      <c r="E24" t="s">
        <v>35</v>
      </c>
      <c r="F24" t="s">
        <v>38</v>
      </c>
    </row>
    <row r="25" spans="1:6" x14ac:dyDescent="0.25">
      <c r="A25" s="1">
        <v>42508</v>
      </c>
      <c r="B25">
        <v>10</v>
      </c>
      <c r="C25">
        <v>0.45</v>
      </c>
      <c r="E25" t="s">
        <v>35</v>
      </c>
      <c r="F25" t="s">
        <v>38</v>
      </c>
    </row>
    <row r="26" spans="1:6" x14ac:dyDescent="0.25">
      <c r="A26" s="1">
        <v>42515</v>
      </c>
      <c r="B26">
        <v>10</v>
      </c>
      <c r="C26">
        <v>0.45</v>
      </c>
      <c r="D26" t="s">
        <v>32</v>
      </c>
      <c r="E26" t="s">
        <v>35</v>
      </c>
      <c r="F26" t="s">
        <v>37</v>
      </c>
    </row>
    <row r="27" spans="1:6" x14ac:dyDescent="0.25">
      <c r="A27" s="1">
        <v>42515</v>
      </c>
      <c r="B27">
        <v>10</v>
      </c>
      <c r="C27">
        <v>0.45</v>
      </c>
      <c r="E27" t="s">
        <v>35</v>
      </c>
      <c r="F27" t="s">
        <v>37</v>
      </c>
    </row>
    <row r="28" spans="1:6" x14ac:dyDescent="0.25">
      <c r="A28" s="1">
        <v>42515</v>
      </c>
      <c r="B28">
        <v>10</v>
      </c>
      <c r="C28">
        <v>0.45</v>
      </c>
      <c r="E28" t="s">
        <v>35</v>
      </c>
      <c r="F28" t="s">
        <v>38</v>
      </c>
    </row>
    <row r="29" spans="1:6" x14ac:dyDescent="0.25">
      <c r="A29" s="1">
        <v>42515</v>
      </c>
      <c r="B29">
        <v>10</v>
      </c>
      <c r="C29">
        <v>0.45</v>
      </c>
      <c r="E29" t="s">
        <v>35</v>
      </c>
      <c r="F29" t="s">
        <v>38</v>
      </c>
    </row>
    <row r="30" spans="1:6" x14ac:dyDescent="0.25">
      <c r="A30" s="1">
        <v>42522</v>
      </c>
      <c r="B30">
        <v>10</v>
      </c>
      <c r="C30">
        <v>0.45</v>
      </c>
      <c r="D30" t="s">
        <v>32</v>
      </c>
      <c r="E30" t="s">
        <v>35</v>
      </c>
      <c r="F30" t="s">
        <v>37</v>
      </c>
    </row>
    <row r="31" spans="1:6" x14ac:dyDescent="0.25">
      <c r="A31" s="1">
        <v>42522</v>
      </c>
      <c r="B31">
        <v>10</v>
      </c>
      <c r="C31">
        <v>0.45</v>
      </c>
      <c r="E31" t="s">
        <v>35</v>
      </c>
      <c r="F31" t="s">
        <v>37</v>
      </c>
    </row>
    <row r="32" spans="1:6" x14ac:dyDescent="0.25">
      <c r="A32" s="1">
        <v>42522</v>
      </c>
      <c r="B32">
        <v>10</v>
      </c>
      <c r="C32">
        <v>0.45</v>
      </c>
      <c r="E32" t="s">
        <v>35</v>
      </c>
      <c r="F32" t="s">
        <v>38</v>
      </c>
    </row>
    <row r="33" spans="1:6" x14ac:dyDescent="0.25">
      <c r="A33" s="1">
        <v>42522</v>
      </c>
      <c r="B33">
        <v>10</v>
      </c>
      <c r="C33">
        <v>0.45</v>
      </c>
      <c r="E33" t="s">
        <v>35</v>
      </c>
      <c r="F33" t="s">
        <v>38</v>
      </c>
    </row>
    <row r="34" spans="1:6" x14ac:dyDescent="0.25">
      <c r="A34" s="1">
        <v>42536</v>
      </c>
      <c r="B34">
        <v>10</v>
      </c>
      <c r="C34">
        <v>0.45</v>
      </c>
      <c r="D34" t="s">
        <v>32</v>
      </c>
      <c r="E34" t="s">
        <v>35</v>
      </c>
      <c r="F34" t="s">
        <v>37</v>
      </c>
    </row>
    <row r="35" spans="1:6" x14ac:dyDescent="0.25">
      <c r="A35" s="1">
        <v>42536</v>
      </c>
      <c r="B35">
        <v>10</v>
      </c>
      <c r="C35">
        <v>0.45</v>
      </c>
      <c r="E35" t="s">
        <v>35</v>
      </c>
      <c r="F35" t="s">
        <v>37</v>
      </c>
    </row>
    <row r="36" spans="1:6" x14ac:dyDescent="0.25">
      <c r="A36" s="1">
        <v>42536</v>
      </c>
      <c r="B36">
        <v>10</v>
      </c>
      <c r="C36">
        <v>0.45</v>
      </c>
      <c r="E36" t="s">
        <v>35</v>
      </c>
      <c r="F36" t="s">
        <v>38</v>
      </c>
    </row>
    <row r="37" spans="1:6" x14ac:dyDescent="0.25">
      <c r="A37" s="1">
        <v>42536</v>
      </c>
      <c r="B37">
        <v>10</v>
      </c>
      <c r="C37">
        <v>0.45</v>
      </c>
      <c r="E37" t="s">
        <v>35</v>
      </c>
      <c r="F37" t="s">
        <v>38</v>
      </c>
    </row>
    <row r="38" spans="1:6" x14ac:dyDescent="0.25">
      <c r="A38" s="1">
        <v>42544</v>
      </c>
      <c r="B38">
        <v>10</v>
      </c>
      <c r="C38">
        <v>0.45</v>
      </c>
      <c r="D38" t="s">
        <v>32</v>
      </c>
      <c r="E38" t="s">
        <v>35</v>
      </c>
      <c r="F38" t="s">
        <v>37</v>
      </c>
    </row>
    <row r="39" spans="1:6" x14ac:dyDescent="0.25">
      <c r="A39" s="1">
        <v>42544</v>
      </c>
      <c r="B39">
        <v>10</v>
      </c>
      <c r="C39">
        <v>0.45</v>
      </c>
      <c r="E39" t="s">
        <v>35</v>
      </c>
      <c r="F39" t="s">
        <v>37</v>
      </c>
    </row>
    <row r="40" spans="1:6" x14ac:dyDescent="0.25">
      <c r="A40" s="1">
        <v>42544</v>
      </c>
      <c r="B40">
        <v>10</v>
      </c>
      <c r="C40">
        <v>0.45</v>
      </c>
      <c r="E40" t="s">
        <v>35</v>
      </c>
      <c r="F40" t="s">
        <v>38</v>
      </c>
    </row>
    <row r="41" spans="1:6" x14ac:dyDescent="0.25">
      <c r="A41" s="1">
        <v>42544</v>
      </c>
      <c r="B41">
        <v>10</v>
      </c>
      <c r="C41">
        <v>0.45</v>
      </c>
      <c r="E41" t="s">
        <v>35</v>
      </c>
      <c r="F41" t="s">
        <v>38</v>
      </c>
    </row>
    <row r="42" spans="1:6" x14ac:dyDescent="0.25">
      <c r="A42" s="1">
        <v>42550</v>
      </c>
      <c r="B42">
        <v>10</v>
      </c>
      <c r="C42">
        <v>0.45</v>
      </c>
      <c r="D42" t="s">
        <v>32</v>
      </c>
      <c r="E42" t="s">
        <v>35</v>
      </c>
      <c r="F42" t="s">
        <v>37</v>
      </c>
    </row>
    <row r="43" spans="1:6" x14ac:dyDescent="0.25">
      <c r="A43" s="1">
        <v>42550</v>
      </c>
      <c r="B43">
        <v>10</v>
      </c>
      <c r="C43">
        <v>0.45</v>
      </c>
      <c r="E43" t="s">
        <v>35</v>
      </c>
      <c r="F43" t="s">
        <v>37</v>
      </c>
    </row>
    <row r="44" spans="1:6" x14ac:dyDescent="0.25">
      <c r="A44" s="1">
        <v>42550</v>
      </c>
      <c r="B44">
        <v>10</v>
      </c>
      <c r="C44">
        <v>0.45</v>
      </c>
      <c r="E44" t="s">
        <v>35</v>
      </c>
      <c r="F44" t="s">
        <v>38</v>
      </c>
    </row>
    <row r="45" spans="1:6" x14ac:dyDescent="0.25">
      <c r="A45" s="1">
        <v>42550</v>
      </c>
      <c r="B45">
        <v>10</v>
      </c>
      <c r="C45">
        <v>0.45</v>
      </c>
      <c r="E45" t="s">
        <v>35</v>
      </c>
      <c r="F45" t="s">
        <v>38</v>
      </c>
    </row>
    <row r="46" spans="1:6" x14ac:dyDescent="0.25">
      <c r="A46" s="1">
        <v>42557</v>
      </c>
      <c r="B46">
        <v>10</v>
      </c>
      <c r="C46">
        <v>0.45</v>
      </c>
      <c r="D46" t="s">
        <v>32</v>
      </c>
      <c r="E46" t="s">
        <v>35</v>
      </c>
      <c r="F46" t="s">
        <v>37</v>
      </c>
    </row>
    <row r="47" spans="1:6" x14ac:dyDescent="0.25">
      <c r="A47" s="1">
        <v>42557</v>
      </c>
      <c r="B47">
        <v>10</v>
      </c>
      <c r="C47">
        <v>0.45</v>
      </c>
      <c r="E47" t="s">
        <v>35</v>
      </c>
      <c r="F47" t="s">
        <v>37</v>
      </c>
    </row>
    <row r="48" spans="1:6" x14ac:dyDescent="0.25">
      <c r="A48" s="1">
        <v>42557</v>
      </c>
      <c r="B48">
        <v>10</v>
      </c>
      <c r="C48">
        <v>0.45</v>
      </c>
      <c r="E48" t="s">
        <v>35</v>
      </c>
      <c r="F48" t="s">
        <v>38</v>
      </c>
    </row>
    <row r="49" spans="1:6" x14ac:dyDescent="0.25">
      <c r="A49" s="1">
        <v>42557</v>
      </c>
      <c r="B49">
        <v>10</v>
      </c>
      <c r="C49">
        <v>0.45</v>
      </c>
      <c r="E49" t="s">
        <v>35</v>
      </c>
      <c r="F49" t="s">
        <v>38</v>
      </c>
    </row>
    <row r="50" spans="1:6" x14ac:dyDescent="0.25">
      <c r="A50" s="1">
        <v>42564</v>
      </c>
      <c r="B50">
        <v>10</v>
      </c>
      <c r="C50">
        <v>0.45</v>
      </c>
      <c r="D50" t="s">
        <v>32</v>
      </c>
      <c r="E50" t="s">
        <v>35</v>
      </c>
      <c r="F50" t="s">
        <v>37</v>
      </c>
    </row>
    <row r="51" spans="1:6" x14ac:dyDescent="0.25">
      <c r="A51" s="1">
        <v>42564</v>
      </c>
      <c r="B51">
        <v>10</v>
      </c>
      <c r="C51">
        <v>0.45</v>
      </c>
      <c r="E51" t="s">
        <v>35</v>
      </c>
      <c r="F51" t="s">
        <v>37</v>
      </c>
    </row>
    <row r="52" spans="1:6" x14ac:dyDescent="0.25">
      <c r="A52" s="1">
        <v>42564</v>
      </c>
      <c r="B52">
        <v>10</v>
      </c>
      <c r="C52">
        <v>0.45</v>
      </c>
      <c r="E52" t="s">
        <v>35</v>
      </c>
      <c r="F52" t="s">
        <v>38</v>
      </c>
    </row>
    <row r="53" spans="1:6" x14ac:dyDescent="0.25">
      <c r="A53" s="1">
        <v>42564</v>
      </c>
      <c r="B53">
        <v>10</v>
      </c>
      <c r="C53">
        <v>0.45</v>
      </c>
      <c r="E53" t="s">
        <v>35</v>
      </c>
      <c r="F53" t="s">
        <v>38</v>
      </c>
    </row>
    <row r="54" spans="1:6" x14ac:dyDescent="0.25">
      <c r="A54" s="1">
        <v>42571</v>
      </c>
      <c r="B54">
        <v>10</v>
      </c>
      <c r="C54">
        <v>0.45</v>
      </c>
      <c r="D54" t="s">
        <v>32</v>
      </c>
    </row>
    <row r="55" spans="1:6" x14ac:dyDescent="0.25">
      <c r="A55" s="1">
        <v>42571</v>
      </c>
      <c r="B55">
        <v>10</v>
      </c>
      <c r="C55">
        <v>0.45</v>
      </c>
    </row>
    <row r="56" spans="1:6" x14ac:dyDescent="0.25">
      <c r="A56" s="1">
        <v>42571</v>
      </c>
      <c r="B56">
        <v>10</v>
      </c>
      <c r="C56">
        <v>0.45</v>
      </c>
    </row>
    <row r="57" spans="1:6" x14ac:dyDescent="0.25">
      <c r="A57" s="1">
        <v>42571</v>
      </c>
      <c r="B57">
        <v>10</v>
      </c>
      <c r="C57">
        <v>0.45</v>
      </c>
    </row>
    <row r="58" spans="1:6" x14ac:dyDescent="0.25">
      <c r="A58" s="1">
        <v>42571</v>
      </c>
      <c r="B58">
        <v>10</v>
      </c>
      <c r="C58">
        <v>0.45</v>
      </c>
    </row>
    <row r="59" spans="1:6" x14ac:dyDescent="0.25">
      <c r="A59" s="1">
        <v>42571</v>
      </c>
      <c r="B59">
        <v>10</v>
      </c>
      <c r="C59">
        <v>0.45</v>
      </c>
    </row>
    <row r="60" spans="1:6" x14ac:dyDescent="0.25">
      <c r="A60" s="1">
        <v>42578</v>
      </c>
      <c r="B60">
        <v>10</v>
      </c>
      <c r="C60">
        <v>0.45</v>
      </c>
      <c r="D60" t="s">
        <v>32</v>
      </c>
    </row>
    <row r="61" spans="1:6" x14ac:dyDescent="0.25">
      <c r="A61" s="1">
        <v>42578</v>
      </c>
      <c r="B61">
        <v>10</v>
      </c>
      <c r="C61">
        <v>0.45</v>
      </c>
    </row>
    <row r="62" spans="1:6" x14ac:dyDescent="0.25">
      <c r="A62" s="1">
        <v>42578</v>
      </c>
      <c r="B62">
        <v>10</v>
      </c>
      <c r="C62">
        <v>0.45</v>
      </c>
    </row>
    <row r="63" spans="1:6" x14ac:dyDescent="0.25">
      <c r="A63" s="1">
        <v>42578</v>
      </c>
      <c r="B63">
        <v>10</v>
      </c>
      <c r="C63">
        <v>0.45</v>
      </c>
    </row>
    <row r="64" spans="1:6" x14ac:dyDescent="0.25">
      <c r="A64" s="1">
        <v>42578</v>
      </c>
      <c r="B64">
        <v>10</v>
      </c>
      <c r="C64">
        <v>0.45</v>
      </c>
    </row>
    <row r="65" spans="1:4" x14ac:dyDescent="0.25">
      <c r="A65" s="1">
        <v>42578</v>
      </c>
      <c r="B65">
        <v>10</v>
      </c>
      <c r="C65">
        <v>0.45</v>
      </c>
    </row>
    <row r="66" spans="1:4" x14ac:dyDescent="0.25">
      <c r="A66" s="1">
        <v>42585</v>
      </c>
      <c r="B66">
        <v>10</v>
      </c>
      <c r="C66">
        <v>0.45</v>
      </c>
      <c r="D66" t="s">
        <v>32</v>
      </c>
    </row>
    <row r="67" spans="1:4" x14ac:dyDescent="0.25">
      <c r="A67" s="1">
        <v>42585</v>
      </c>
      <c r="B67">
        <v>10</v>
      </c>
      <c r="C67">
        <v>0.45</v>
      </c>
    </row>
    <row r="68" spans="1:4" x14ac:dyDescent="0.25">
      <c r="A68" s="1">
        <v>42585</v>
      </c>
      <c r="B68">
        <v>10</v>
      </c>
      <c r="C68">
        <v>0.45</v>
      </c>
    </row>
    <row r="69" spans="1:4" x14ac:dyDescent="0.25">
      <c r="A69" s="1">
        <v>42585</v>
      </c>
      <c r="B69">
        <v>10</v>
      </c>
      <c r="C69">
        <v>0.45</v>
      </c>
    </row>
    <row r="70" spans="1:4" x14ac:dyDescent="0.25">
      <c r="A70" s="1">
        <v>42585</v>
      </c>
      <c r="B70">
        <v>10</v>
      </c>
      <c r="C70">
        <v>0.45</v>
      </c>
    </row>
    <row r="71" spans="1:4" x14ac:dyDescent="0.25">
      <c r="A71" s="1">
        <v>42585</v>
      </c>
      <c r="B71">
        <v>10</v>
      </c>
      <c r="C71">
        <v>0.45</v>
      </c>
    </row>
    <row r="72" spans="1:4" x14ac:dyDescent="0.25">
      <c r="A72" s="1">
        <v>42592</v>
      </c>
      <c r="B72">
        <v>10</v>
      </c>
      <c r="C72">
        <v>0.45</v>
      </c>
      <c r="D72" t="s">
        <v>32</v>
      </c>
    </row>
    <row r="73" spans="1:4" x14ac:dyDescent="0.25">
      <c r="A73" s="1">
        <v>42592</v>
      </c>
      <c r="B73">
        <v>10</v>
      </c>
      <c r="C73">
        <v>0.45</v>
      </c>
    </row>
    <row r="74" spans="1:4" x14ac:dyDescent="0.25">
      <c r="A74" s="1">
        <v>42592</v>
      </c>
      <c r="B74">
        <v>10</v>
      </c>
      <c r="C74">
        <v>0.45</v>
      </c>
    </row>
    <row r="75" spans="1:4" x14ac:dyDescent="0.25">
      <c r="A75" s="1">
        <v>42592</v>
      </c>
      <c r="B75">
        <v>10</v>
      </c>
      <c r="C75">
        <v>0.45</v>
      </c>
    </row>
    <row r="76" spans="1:4" x14ac:dyDescent="0.25">
      <c r="A76" s="1">
        <v>42592</v>
      </c>
      <c r="B76">
        <v>10</v>
      </c>
      <c r="C76">
        <v>0.45</v>
      </c>
    </row>
    <row r="77" spans="1:4" x14ac:dyDescent="0.25">
      <c r="A77" s="1">
        <v>42592</v>
      </c>
      <c r="B77">
        <v>10</v>
      </c>
      <c r="C77">
        <v>0.45</v>
      </c>
    </row>
    <row r="78" spans="1:4" x14ac:dyDescent="0.25">
      <c r="A78" s="1">
        <v>42599</v>
      </c>
      <c r="B78">
        <v>10</v>
      </c>
      <c r="C78">
        <v>0.45</v>
      </c>
      <c r="D78" t="s">
        <v>32</v>
      </c>
    </row>
    <row r="79" spans="1:4" x14ac:dyDescent="0.25">
      <c r="A79" s="1">
        <v>42599</v>
      </c>
      <c r="B79">
        <v>10</v>
      </c>
      <c r="C79">
        <v>0.45</v>
      </c>
    </row>
    <row r="80" spans="1:4" x14ac:dyDescent="0.25">
      <c r="A80" s="1">
        <v>42599</v>
      </c>
      <c r="B80">
        <v>10</v>
      </c>
      <c r="C80">
        <v>0.45</v>
      </c>
    </row>
    <row r="81" spans="1:4" x14ac:dyDescent="0.25">
      <c r="A81" s="1">
        <v>42599</v>
      </c>
      <c r="B81">
        <v>10</v>
      </c>
      <c r="C81">
        <v>0.45</v>
      </c>
    </row>
    <row r="82" spans="1:4" x14ac:dyDescent="0.25">
      <c r="A82" s="1">
        <v>42599</v>
      </c>
      <c r="B82">
        <v>10</v>
      </c>
      <c r="C82">
        <v>0.45</v>
      </c>
    </row>
    <row r="83" spans="1:4" x14ac:dyDescent="0.25">
      <c r="A83" s="1">
        <v>42599</v>
      </c>
      <c r="B83">
        <v>10</v>
      </c>
      <c r="C83">
        <v>0.45</v>
      </c>
    </row>
    <row r="84" spans="1:4" x14ac:dyDescent="0.25">
      <c r="A84" s="1">
        <v>42606</v>
      </c>
      <c r="B84">
        <v>10</v>
      </c>
      <c r="C84">
        <v>0.45</v>
      </c>
      <c r="D84" t="s">
        <v>32</v>
      </c>
    </row>
    <row r="85" spans="1:4" x14ac:dyDescent="0.25">
      <c r="A85" s="1">
        <v>42606</v>
      </c>
      <c r="B85">
        <v>10</v>
      </c>
      <c r="C85">
        <v>0.45</v>
      </c>
    </row>
    <row r="86" spans="1:4" x14ac:dyDescent="0.25">
      <c r="A86" s="1">
        <v>42606</v>
      </c>
      <c r="B86">
        <v>10</v>
      </c>
      <c r="C86">
        <v>0.45</v>
      </c>
    </row>
    <row r="87" spans="1:4" x14ac:dyDescent="0.25">
      <c r="A87" s="1">
        <v>42606</v>
      </c>
      <c r="B87">
        <v>10</v>
      </c>
      <c r="C87">
        <v>0.45</v>
      </c>
    </row>
    <row r="88" spans="1:4" x14ac:dyDescent="0.25">
      <c r="A88" s="1">
        <v>42606</v>
      </c>
      <c r="B88">
        <v>10</v>
      </c>
      <c r="C88">
        <v>0.45</v>
      </c>
    </row>
    <row r="89" spans="1:4" x14ac:dyDescent="0.25">
      <c r="A89" s="1">
        <v>42606</v>
      </c>
      <c r="B89">
        <v>10</v>
      </c>
      <c r="C89">
        <v>0.45</v>
      </c>
    </row>
    <row r="90" spans="1:4" x14ac:dyDescent="0.25">
      <c r="A90" s="1">
        <v>42613</v>
      </c>
      <c r="B90">
        <v>10</v>
      </c>
      <c r="C90">
        <v>0.45</v>
      </c>
      <c r="D90" t="s">
        <v>32</v>
      </c>
    </row>
    <row r="91" spans="1:4" x14ac:dyDescent="0.25">
      <c r="A91" s="1">
        <v>42613</v>
      </c>
      <c r="B91">
        <v>10</v>
      </c>
      <c r="C91">
        <v>0.45</v>
      </c>
    </row>
    <row r="92" spans="1:4" x14ac:dyDescent="0.25">
      <c r="A92" s="1">
        <v>42613</v>
      </c>
      <c r="B92">
        <v>10</v>
      </c>
      <c r="C92">
        <v>0.45</v>
      </c>
    </row>
    <row r="93" spans="1:4" x14ac:dyDescent="0.25">
      <c r="A93" s="1">
        <v>42613</v>
      </c>
      <c r="B93">
        <v>10</v>
      </c>
      <c r="C93">
        <v>0.45</v>
      </c>
    </row>
    <row r="94" spans="1:4" x14ac:dyDescent="0.25">
      <c r="A94" s="1">
        <v>42613</v>
      </c>
      <c r="B94">
        <v>10</v>
      </c>
      <c r="C94">
        <v>0.45</v>
      </c>
    </row>
    <row r="95" spans="1:4" x14ac:dyDescent="0.25">
      <c r="A95" s="1">
        <v>42613</v>
      </c>
      <c r="B95">
        <v>10</v>
      </c>
      <c r="C95">
        <v>0.45</v>
      </c>
    </row>
    <row r="96" spans="1:4" x14ac:dyDescent="0.25">
      <c r="A96" s="1">
        <v>42620</v>
      </c>
      <c r="B96">
        <v>10</v>
      </c>
      <c r="C96">
        <v>0.45</v>
      </c>
      <c r="D96" t="s">
        <v>32</v>
      </c>
    </row>
    <row r="97" spans="1:4" x14ac:dyDescent="0.25">
      <c r="A97" s="1">
        <v>42620</v>
      </c>
      <c r="B97">
        <v>10</v>
      </c>
      <c r="C97">
        <v>0.45</v>
      </c>
    </row>
    <row r="98" spans="1:4" x14ac:dyDescent="0.25">
      <c r="A98" s="1">
        <v>42620</v>
      </c>
      <c r="B98">
        <v>10</v>
      </c>
      <c r="C98">
        <v>0.45</v>
      </c>
    </row>
    <row r="99" spans="1:4" x14ac:dyDescent="0.25">
      <c r="A99" s="1">
        <v>42620</v>
      </c>
      <c r="B99">
        <v>10</v>
      </c>
      <c r="C99">
        <v>0.45</v>
      </c>
    </row>
    <row r="100" spans="1:4" x14ac:dyDescent="0.25">
      <c r="A100" s="1">
        <v>42620</v>
      </c>
      <c r="B100">
        <v>10</v>
      </c>
      <c r="C100">
        <v>0.45</v>
      </c>
    </row>
    <row r="101" spans="1:4" x14ac:dyDescent="0.25">
      <c r="A101" s="1">
        <v>42620</v>
      </c>
      <c r="B101">
        <v>10</v>
      </c>
      <c r="C101">
        <v>0.45</v>
      </c>
    </row>
    <row r="102" spans="1:4" x14ac:dyDescent="0.25">
      <c r="A102" s="1">
        <v>42627</v>
      </c>
      <c r="B102">
        <v>10</v>
      </c>
      <c r="C102">
        <v>0.45</v>
      </c>
      <c r="D102" t="s">
        <v>32</v>
      </c>
    </row>
    <row r="103" spans="1:4" x14ac:dyDescent="0.25">
      <c r="A103" s="1">
        <v>42627</v>
      </c>
      <c r="B103">
        <v>10</v>
      </c>
      <c r="C103">
        <v>0.45</v>
      </c>
    </row>
    <row r="104" spans="1:4" x14ac:dyDescent="0.25">
      <c r="A104" s="1">
        <v>42627</v>
      </c>
      <c r="B104">
        <v>10</v>
      </c>
      <c r="C104">
        <v>0.45</v>
      </c>
    </row>
    <row r="105" spans="1:4" x14ac:dyDescent="0.25">
      <c r="A105" s="1">
        <v>42627</v>
      </c>
      <c r="B105">
        <v>10</v>
      </c>
      <c r="C105">
        <v>0.45</v>
      </c>
    </row>
    <row r="106" spans="1:4" x14ac:dyDescent="0.25">
      <c r="A106" s="1">
        <v>42627</v>
      </c>
      <c r="B106">
        <v>10</v>
      </c>
      <c r="C106">
        <v>0.45</v>
      </c>
    </row>
    <row r="107" spans="1:4" x14ac:dyDescent="0.25">
      <c r="A107" s="1">
        <v>42627</v>
      </c>
      <c r="B107">
        <v>10</v>
      </c>
      <c r="C107">
        <v>0.45</v>
      </c>
    </row>
    <row r="108" spans="1:4" x14ac:dyDescent="0.25">
      <c r="A108" s="1">
        <v>42634</v>
      </c>
      <c r="B108">
        <v>10</v>
      </c>
      <c r="C108">
        <v>0.45</v>
      </c>
      <c r="D108" t="s">
        <v>32</v>
      </c>
    </row>
    <row r="109" spans="1:4" x14ac:dyDescent="0.25">
      <c r="A109" s="1">
        <v>42634</v>
      </c>
      <c r="B109">
        <v>10</v>
      </c>
      <c r="C109">
        <v>0.45</v>
      </c>
    </row>
    <row r="110" spans="1:4" x14ac:dyDescent="0.25">
      <c r="A110" s="1">
        <v>42634</v>
      </c>
      <c r="B110">
        <v>10</v>
      </c>
      <c r="C110">
        <v>0.45</v>
      </c>
    </row>
    <row r="111" spans="1:4" x14ac:dyDescent="0.25">
      <c r="A111" s="1">
        <v>42634</v>
      </c>
      <c r="B111">
        <v>10</v>
      </c>
      <c r="C111">
        <v>0.45</v>
      </c>
    </row>
    <row r="112" spans="1:4" x14ac:dyDescent="0.25">
      <c r="A112" s="1">
        <v>42634</v>
      </c>
      <c r="B112">
        <v>10</v>
      </c>
      <c r="C112">
        <v>0.45</v>
      </c>
    </row>
    <row r="113" spans="1:4" x14ac:dyDescent="0.25">
      <c r="A113" s="1">
        <v>42634</v>
      </c>
      <c r="B113">
        <v>10</v>
      </c>
      <c r="C113">
        <v>0.45</v>
      </c>
    </row>
    <row r="114" spans="1:4" x14ac:dyDescent="0.25">
      <c r="A114" s="1">
        <v>42641</v>
      </c>
      <c r="B114">
        <v>10</v>
      </c>
      <c r="C114">
        <v>0.45</v>
      </c>
      <c r="D114" t="s">
        <v>32</v>
      </c>
    </row>
    <row r="115" spans="1:4" x14ac:dyDescent="0.25">
      <c r="A115" s="1">
        <v>42641</v>
      </c>
      <c r="B115">
        <v>10</v>
      </c>
      <c r="C115">
        <v>0.45</v>
      </c>
    </row>
    <row r="116" spans="1:4" x14ac:dyDescent="0.25">
      <c r="A116" s="1">
        <v>42641</v>
      </c>
      <c r="B116">
        <v>10</v>
      </c>
      <c r="C116">
        <v>0.45</v>
      </c>
    </row>
    <row r="117" spans="1:4" x14ac:dyDescent="0.25">
      <c r="A117" s="1">
        <v>42641</v>
      </c>
      <c r="B117">
        <v>10</v>
      </c>
      <c r="C117">
        <v>0.45</v>
      </c>
    </row>
    <row r="118" spans="1:4" x14ac:dyDescent="0.25">
      <c r="A118" s="1">
        <v>42641</v>
      </c>
      <c r="B118">
        <v>10</v>
      </c>
      <c r="C118">
        <v>0.45</v>
      </c>
    </row>
    <row r="119" spans="1:4" x14ac:dyDescent="0.25">
      <c r="A119" s="1">
        <v>42641</v>
      </c>
      <c r="B119">
        <v>10</v>
      </c>
      <c r="C119">
        <v>0.45</v>
      </c>
    </row>
    <row r="120" spans="1:4" x14ac:dyDescent="0.25">
      <c r="A120" s="1">
        <v>42649</v>
      </c>
      <c r="B120">
        <v>10</v>
      </c>
      <c r="C120">
        <v>0.45</v>
      </c>
      <c r="D120" t="s">
        <v>32</v>
      </c>
    </row>
    <row r="121" spans="1:4" x14ac:dyDescent="0.25">
      <c r="A121" s="1">
        <v>42649</v>
      </c>
      <c r="B121">
        <v>10</v>
      </c>
      <c r="C121">
        <v>0.45</v>
      </c>
    </row>
    <row r="122" spans="1:4" x14ac:dyDescent="0.25">
      <c r="A122" s="1">
        <v>42649</v>
      </c>
      <c r="B122">
        <v>10</v>
      </c>
      <c r="C122">
        <v>0.45</v>
      </c>
    </row>
    <row r="123" spans="1:4" x14ac:dyDescent="0.25">
      <c r="A123" s="1">
        <v>42649</v>
      </c>
      <c r="B123">
        <v>10</v>
      </c>
      <c r="C123">
        <v>0.45</v>
      </c>
    </row>
    <row r="124" spans="1:4" x14ac:dyDescent="0.25">
      <c r="A124" s="1">
        <v>42649</v>
      </c>
      <c r="B124">
        <v>10</v>
      </c>
      <c r="C124">
        <v>0.45</v>
      </c>
    </row>
    <row r="125" spans="1:4" x14ac:dyDescent="0.25">
      <c r="A125" s="1">
        <v>42649</v>
      </c>
      <c r="B125">
        <v>10</v>
      </c>
      <c r="C125">
        <v>0.45</v>
      </c>
    </row>
    <row r="126" spans="1:4" x14ac:dyDescent="0.25">
      <c r="A126" s="1">
        <v>42655</v>
      </c>
      <c r="B126">
        <v>10</v>
      </c>
      <c r="C126">
        <v>0.45</v>
      </c>
      <c r="D126" t="s">
        <v>32</v>
      </c>
    </row>
    <row r="127" spans="1:4" x14ac:dyDescent="0.25">
      <c r="A127" s="1">
        <v>42655</v>
      </c>
      <c r="B127">
        <v>10</v>
      </c>
      <c r="C127">
        <v>0.45</v>
      </c>
    </row>
    <row r="128" spans="1:4" x14ac:dyDescent="0.25">
      <c r="A128" s="1">
        <v>42655</v>
      </c>
      <c r="B128">
        <v>10</v>
      </c>
      <c r="C128">
        <v>0.45</v>
      </c>
    </row>
    <row r="129" spans="1:4" x14ac:dyDescent="0.25">
      <c r="A129" s="1">
        <v>42655</v>
      </c>
      <c r="B129">
        <v>10</v>
      </c>
      <c r="C129">
        <v>0.45</v>
      </c>
    </row>
    <row r="130" spans="1:4" x14ac:dyDescent="0.25">
      <c r="A130" s="1">
        <v>42655</v>
      </c>
      <c r="B130">
        <v>10</v>
      </c>
      <c r="C130">
        <v>0.45</v>
      </c>
    </row>
    <row r="131" spans="1:4" x14ac:dyDescent="0.25">
      <c r="A131" s="1">
        <v>42655</v>
      </c>
      <c r="B131">
        <v>10</v>
      </c>
      <c r="C131">
        <v>0.45</v>
      </c>
    </row>
    <row r="132" spans="1:4" x14ac:dyDescent="0.25">
      <c r="A132" s="1">
        <v>42662</v>
      </c>
      <c r="B132">
        <v>10</v>
      </c>
      <c r="C132">
        <v>0.45</v>
      </c>
      <c r="D132" t="s">
        <v>32</v>
      </c>
    </row>
    <row r="133" spans="1:4" x14ac:dyDescent="0.25">
      <c r="A133" s="1">
        <v>42662</v>
      </c>
      <c r="B133">
        <v>10</v>
      </c>
      <c r="C133">
        <v>0.45</v>
      </c>
    </row>
    <row r="134" spans="1:4" x14ac:dyDescent="0.25">
      <c r="A134" s="1">
        <v>42662</v>
      </c>
      <c r="B134">
        <v>10</v>
      </c>
      <c r="C134">
        <v>0.45</v>
      </c>
    </row>
    <row r="135" spans="1:4" x14ac:dyDescent="0.25">
      <c r="A135" s="1">
        <v>42662</v>
      </c>
      <c r="B135">
        <v>10</v>
      </c>
      <c r="C135">
        <v>0.45</v>
      </c>
    </row>
    <row r="136" spans="1:4" x14ac:dyDescent="0.25">
      <c r="A136" s="1">
        <v>42662</v>
      </c>
      <c r="B136">
        <v>10</v>
      </c>
      <c r="C136">
        <v>0.45</v>
      </c>
    </row>
    <row r="137" spans="1:4" x14ac:dyDescent="0.25">
      <c r="A137" s="1">
        <v>42662</v>
      </c>
      <c r="B137">
        <v>10</v>
      </c>
      <c r="C137">
        <v>0.45</v>
      </c>
    </row>
    <row r="138" spans="1:4" x14ac:dyDescent="0.25">
      <c r="A138" s="1">
        <v>42669</v>
      </c>
      <c r="B138">
        <v>10</v>
      </c>
      <c r="C138">
        <v>0.45</v>
      </c>
      <c r="D138" t="s">
        <v>32</v>
      </c>
    </row>
    <row r="139" spans="1:4" x14ac:dyDescent="0.25">
      <c r="A139" s="1">
        <v>42669</v>
      </c>
      <c r="B139">
        <v>10</v>
      </c>
      <c r="C139">
        <v>0.45</v>
      </c>
    </row>
    <row r="140" spans="1:4" x14ac:dyDescent="0.25">
      <c r="A140" s="1">
        <v>42669</v>
      </c>
      <c r="B140">
        <v>10</v>
      </c>
      <c r="C140">
        <v>0.45</v>
      </c>
    </row>
    <row r="141" spans="1:4" x14ac:dyDescent="0.25">
      <c r="A141" s="1">
        <v>42669</v>
      </c>
      <c r="B141">
        <v>10</v>
      </c>
      <c r="C141">
        <v>0.45</v>
      </c>
    </row>
    <row r="142" spans="1:4" x14ac:dyDescent="0.25">
      <c r="A142" s="1">
        <v>42669</v>
      </c>
      <c r="B142">
        <v>10</v>
      </c>
      <c r="C142">
        <v>0.45</v>
      </c>
    </row>
    <row r="143" spans="1:4" x14ac:dyDescent="0.25">
      <c r="A143" s="1">
        <v>42669</v>
      </c>
      <c r="B143">
        <v>10</v>
      </c>
      <c r="C143">
        <v>0.45</v>
      </c>
    </row>
    <row r="144" spans="1:4" x14ac:dyDescent="0.25">
      <c r="A144" s="1">
        <v>42678</v>
      </c>
      <c r="B144">
        <v>10</v>
      </c>
      <c r="C144">
        <v>0.45</v>
      </c>
      <c r="D144" t="s">
        <v>32</v>
      </c>
    </row>
    <row r="145" spans="1:3" x14ac:dyDescent="0.25">
      <c r="A145" s="1">
        <v>42678</v>
      </c>
      <c r="B145">
        <v>10</v>
      </c>
      <c r="C145">
        <v>0.45</v>
      </c>
    </row>
    <row r="146" spans="1:3" x14ac:dyDescent="0.25">
      <c r="A146" s="1">
        <v>42678</v>
      </c>
      <c r="B146">
        <v>10</v>
      </c>
      <c r="C146">
        <v>0.45</v>
      </c>
    </row>
    <row r="147" spans="1:3" x14ac:dyDescent="0.25">
      <c r="A147" s="1">
        <v>42678</v>
      </c>
      <c r="B147">
        <v>10</v>
      </c>
      <c r="C147">
        <v>0.45</v>
      </c>
    </row>
    <row r="148" spans="1:3" x14ac:dyDescent="0.25">
      <c r="A148" s="1">
        <v>42678</v>
      </c>
      <c r="B148">
        <v>10</v>
      </c>
      <c r="C148">
        <v>0.45</v>
      </c>
    </row>
    <row r="149" spans="1:3" x14ac:dyDescent="0.25">
      <c r="A149" s="1">
        <v>42678</v>
      </c>
      <c r="B149">
        <v>10</v>
      </c>
      <c r="C149">
        <v>0.45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5"/>
  <sheetViews>
    <sheetView workbookViewId="0">
      <pane ySplit="1800" topLeftCell="A154" activePane="bottomLeft"/>
      <selection pane="bottomLeft" activeCell="B176" sqref="B176"/>
    </sheetView>
  </sheetViews>
  <sheetFormatPr defaultRowHeight="15" x14ac:dyDescent="0.25"/>
  <cols>
    <col min="1" max="1" width="10.7109375" bestFit="1" customWidth="1"/>
    <col min="2" max="2" width="10.7109375" customWidth="1"/>
    <col min="5" max="5" width="12" bestFit="1" customWidth="1"/>
    <col min="6" max="8" width="12" customWidth="1"/>
    <col min="9" max="9" width="18.5703125" bestFit="1" customWidth="1"/>
    <col min="10" max="10" width="13.42578125" customWidth="1"/>
    <col min="16" max="16" width="10.7109375" bestFit="1" customWidth="1"/>
  </cols>
  <sheetData>
    <row r="1" spans="1:18" x14ac:dyDescent="0.25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55</v>
      </c>
      <c r="G1" t="s">
        <v>52</v>
      </c>
      <c r="H1" t="s">
        <v>53</v>
      </c>
      <c r="I1" t="s">
        <v>6</v>
      </c>
      <c r="J1" t="s">
        <v>8</v>
      </c>
      <c r="K1" t="s">
        <v>7</v>
      </c>
      <c r="P1" t="s">
        <v>0</v>
      </c>
      <c r="Q1" t="s">
        <v>54</v>
      </c>
    </row>
    <row r="2" spans="1:18" x14ac:dyDescent="0.25">
      <c r="A2" s="1">
        <v>42439</v>
      </c>
      <c r="B2" s="2">
        <v>1</v>
      </c>
      <c r="C2">
        <v>150</v>
      </c>
      <c r="D2" t="s">
        <v>3</v>
      </c>
      <c r="E2">
        <v>37.563000000000002</v>
      </c>
      <c r="I2">
        <v>38.51</v>
      </c>
      <c r="J2">
        <f>I2-E2</f>
        <v>0.94699999999999562</v>
      </c>
      <c r="K2">
        <f>J2/(C2/1000)</f>
        <v>6.3133333333333042</v>
      </c>
      <c r="P2" s="1">
        <v>42439</v>
      </c>
      <c r="Q2">
        <f>AVERAGE(K2:K7)</f>
        <v>7.1800000000000033</v>
      </c>
      <c r="R2">
        <f>STDEV(K2:K7)</f>
        <v>0.63475629619214335</v>
      </c>
    </row>
    <row r="3" spans="1:18" x14ac:dyDescent="0.25">
      <c r="A3" s="1">
        <v>42439</v>
      </c>
      <c r="B3" s="2">
        <v>2</v>
      </c>
      <c r="C3">
        <v>150</v>
      </c>
      <c r="D3" t="s">
        <v>3</v>
      </c>
      <c r="E3">
        <v>37.357999999999997</v>
      </c>
      <c r="I3">
        <v>38.442</v>
      </c>
      <c r="J3">
        <f t="shared" ref="J3:J36" si="0">I3-E3</f>
        <v>1.0840000000000032</v>
      </c>
      <c r="K3">
        <f t="shared" ref="K3:K38" si="1">J3/(C3/1000)</f>
        <v>7.2266666666666879</v>
      </c>
      <c r="P3" s="1">
        <v>42461</v>
      </c>
      <c r="Q3">
        <f>AVERAGE(K8:K13)</f>
        <v>9.1866666666666799</v>
      </c>
      <c r="R3">
        <f>STDEV(K8:K13)</f>
        <v>0.9271173963779723</v>
      </c>
    </row>
    <row r="4" spans="1:18" x14ac:dyDescent="0.25">
      <c r="A4" s="1">
        <v>42439</v>
      </c>
      <c r="B4" s="2">
        <v>3</v>
      </c>
      <c r="C4">
        <v>150</v>
      </c>
      <c r="D4" t="s">
        <v>3</v>
      </c>
      <c r="E4">
        <v>36.235999999999997</v>
      </c>
      <c r="I4">
        <v>37.22</v>
      </c>
      <c r="J4">
        <f t="shared" si="0"/>
        <v>0.98400000000000176</v>
      </c>
      <c r="K4">
        <f t="shared" si="1"/>
        <v>6.560000000000012</v>
      </c>
      <c r="P4" s="1">
        <v>42480</v>
      </c>
      <c r="Q4">
        <f>AVERAGE(K14:K19)</f>
        <v>10.402666666666676</v>
      </c>
      <c r="R4">
        <f>STDEV(K14:K19)</f>
        <v>0.55526378115872221</v>
      </c>
    </row>
    <row r="5" spans="1:18" x14ac:dyDescent="0.25">
      <c r="A5" s="1">
        <v>42439</v>
      </c>
      <c r="B5" s="2">
        <v>4</v>
      </c>
      <c r="C5">
        <v>150</v>
      </c>
      <c r="D5" t="s">
        <v>3</v>
      </c>
      <c r="E5">
        <v>36.026000000000003</v>
      </c>
      <c r="I5">
        <v>37.127000000000002</v>
      </c>
      <c r="J5">
        <f t="shared" si="0"/>
        <v>1.1009999999999991</v>
      </c>
      <c r="K5">
        <f t="shared" si="1"/>
        <v>7.3399999999999945</v>
      </c>
      <c r="P5" s="8">
        <v>42494</v>
      </c>
      <c r="Q5">
        <f>AVERAGE(K20:K25)</f>
        <v>9.2600000000000193</v>
      </c>
      <c r="R5">
        <f>STDEV(K20:K25)</f>
        <v>0.75516885528999234</v>
      </c>
    </row>
    <row r="6" spans="1:18" x14ac:dyDescent="0.25">
      <c r="A6" s="1">
        <v>42439</v>
      </c>
      <c r="B6" s="2">
        <v>5</v>
      </c>
      <c r="C6">
        <v>150</v>
      </c>
      <c r="D6" t="s">
        <v>3</v>
      </c>
      <c r="E6">
        <v>36.561999999999998</v>
      </c>
      <c r="I6">
        <v>37.753999999999998</v>
      </c>
      <c r="J6">
        <f t="shared" si="0"/>
        <v>1.1920000000000002</v>
      </c>
      <c r="K6">
        <f t="shared" si="1"/>
        <v>7.9466666666666681</v>
      </c>
      <c r="P6" s="8">
        <v>42501</v>
      </c>
      <c r="Q6">
        <f>AVERAGE(K26:K31)</f>
        <v>11.771666666666659</v>
      </c>
      <c r="R6">
        <f>STDEV(K26:K31)</f>
        <v>0.36041180150858587</v>
      </c>
    </row>
    <row r="7" spans="1:18" x14ac:dyDescent="0.25">
      <c r="A7" s="1">
        <v>42439</v>
      </c>
      <c r="B7" s="2">
        <v>6</v>
      </c>
      <c r="C7">
        <v>150</v>
      </c>
      <c r="D7" t="s">
        <v>3</v>
      </c>
      <c r="E7">
        <v>36.442999999999998</v>
      </c>
      <c r="I7">
        <v>37.597000000000001</v>
      </c>
      <c r="J7">
        <f t="shared" si="0"/>
        <v>1.1540000000000035</v>
      </c>
      <c r="K7">
        <f t="shared" si="1"/>
        <v>7.6933333333333564</v>
      </c>
      <c r="P7" s="8">
        <v>42508</v>
      </c>
      <c r="Q7">
        <f>AVERAGE(K32:K37)</f>
        <v>18.941666666666634</v>
      </c>
      <c r="R7">
        <f>STDEV(K32:K37)</f>
        <v>3.1075132966552257</v>
      </c>
    </row>
    <row r="8" spans="1:18" x14ac:dyDescent="0.25">
      <c r="A8" s="1">
        <v>42461</v>
      </c>
      <c r="B8" s="2">
        <v>1</v>
      </c>
      <c r="C8">
        <v>100</v>
      </c>
      <c r="D8" t="s">
        <v>3</v>
      </c>
      <c r="E8">
        <v>35.64</v>
      </c>
      <c r="I8">
        <v>36.497999999999998</v>
      </c>
      <c r="J8">
        <f t="shared" si="0"/>
        <v>0.85799999999999699</v>
      </c>
      <c r="K8">
        <f t="shared" si="1"/>
        <v>8.5799999999999699</v>
      </c>
      <c r="P8" s="8">
        <v>42515</v>
      </c>
      <c r="Q8">
        <f>AVERAGE(K38:K43)</f>
        <v>13.828333333334276</v>
      </c>
      <c r="R8">
        <f>STDEV(K38:K43)</f>
        <v>2.0592174889192409</v>
      </c>
    </row>
    <row r="9" spans="1:18" x14ac:dyDescent="0.25">
      <c r="A9" s="1">
        <v>42461</v>
      </c>
      <c r="B9" s="2">
        <v>2</v>
      </c>
      <c r="C9">
        <v>100</v>
      </c>
      <c r="D9" t="s">
        <v>3</v>
      </c>
      <c r="E9">
        <v>35.926000000000002</v>
      </c>
      <c r="I9">
        <v>36.814999999999998</v>
      </c>
      <c r="J9">
        <f t="shared" si="0"/>
        <v>0.88899999999999579</v>
      </c>
      <c r="K9">
        <f t="shared" si="1"/>
        <v>8.8899999999999579</v>
      </c>
      <c r="P9" s="8">
        <v>42522</v>
      </c>
      <c r="Q9">
        <f>AVERAGE(K44:K49)</f>
        <v>17.454999999999643</v>
      </c>
      <c r="R9">
        <f>STDEV(K44:K49)</f>
        <v>2.4281247908616148</v>
      </c>
    </row>
    <row r="10" spans="1:18" x14ac:dyDescent="0.25">
      <c r="A10" s="1">
        <v>42461</v>
      </c>
      <c r="B10" s="2">
        <v>3</v>
      </c>
      <c r="C10">
        <v>100</v>
      </c>
      <c r="D10" t="s">
        <v>3</v>
      </c>
      <c r="E10">
        <v>36.534999999999997</v>
      </c>
      <c r="I10">
        <v>37.392000000000003</v>
      </c>
      <c r="J10">
        <f t="shared" si="0"/>
        <v>0.85700000000000642</v>
      </c>
      <c r="K10">
        <f t="shared" si="1"/>
        <v>8.5700000000000642</v>
      </c>
      <c r="P10" s="8">
        <v>42536</v>
      </c>
      <c r="Q10">
        <f>AVERAGE(K50:K55)</f>
        <v>36.504999999999278</v>
      </c>
      <c r="R10">
        <f>STDEV(K50:K55)</f>
        <v>1.2041054771072188</v>
      </c>
    </row>
    <row r="11" spans="1:18" x14ac:dyDescent="0.25">
      <c r="A11" s="1">
        <v>42461</v>
      </c>
      <c r="B11" s="2">
        <v>4</v>
      </c>
      <c r="C11">
        <v>100</v>
      </c>
      <c r="D11" t="s">
        <v>3</v>
      </c>
      <c r="E11">
        <v>35.582999999999998</v>
      </c>
      <c r="I11">
        <v>36.478000000000002</v>
      </c>
      <c r="J11">
        <f t="shared" si="0"/>
        <v>0.89500000000000313</v>
      </c>
      <c r="K11">
        <f t="shared" si="1"/>
        <v>8.9500000000000313</v>
      </c>
      <c r="P11" s="8">
        <v>42544</v>
      </c>
      <c r="Q11">
        <f>AVERAGE(K56:K61)</f>
        <v>39.866666666666788</v>
      </c>
      <c r="R11">
        <f>STDEV(K56:K61)</f>
        <v>2.2591207729269982</v>
      </c>
    </row>
    <row r="12" spans="1:18" x14ac:dyDescent="0.25">
      <c r="A12" s="1">
        <v>42461</v>
      </c>
      <c r="B12" s="2">
        <v>5</v>
      </c>
      <c r="C12">
        <v>100</v>
      </c>
      <c r="D12" t="s">
        <v>3</v>
      </c>
      <c r="E12">
        <v>36.131999999999998</v>
      </c>
      <c r="I12">
        <v>37.042000000000002</v>
      </c>
      <c r="J12">
        <f t="shared" si="0"/>
        <v>0.91000000000000369</v>
      </c>
      <c r="K12">
        <f t="shared" si="1"/>
        <v>9.1000000000000369</v>
      </c>
      <c r="P12" s="8">
        <v>42550</v>
      </c>
      <c r="Q12">
        <f>AVERAGE(K62:K67)</f>
        <v>39.356666666666506</v>
      </c>
      <c r="R12">
        <f>STDEV(K62:K67)</f>
        <v>2.4831324303530709</v>
      </c>
    </row>
    <row r="13" spans="1:18" x14ac:dyDescent="0.25">
      <c r="A13" s="1">
        <v>42461</v>
      </c>
      <c r="B13" s="2">
        <v>6</v>
      </c>
      <c r="C13">
        <v>100</v>
      </c>
      <c r="D13" t="s">
        <v>3</v>
      </c>
      <c r="E13">
        <v>38.113999999999997</v>
      </c>
      <c r="I13">
        <v>39.216999999999999</v>
      </c>
      <c r="J13">
        <f t="shared" si="0"/>
        <v>1.1030000000000015</v>
      </c>
      <c r="K13">
        <f t="shared" si="1"/>
        <v>11.030000000000015</v>
      </c>
      <c r="P13" s="8">
        <v>42557</v>
      </c>
      <c r="Q13">
        <f>AVERAGE(K68:K73)</f>
        <v>47.383333333333248</v>
      </c>
      <c r="R13">
        <f>STDEV(K68:K73)</f>
        <v>2.7272085851026691</v>
      </c>
    </row>
    <row r="14" spans="1:18" x14ac:dyDescent="0.25">
      <c r="A14" s="1">
        <v>42480</v>
      </c>
      <c r="B14" s="2">
        <v>1</v>
      </c>
      <c r="C14">
        <v>125</v>
      </c>
      <c r="D14" t="s">
        <v>3</v>
      </c>
      <c r="E14">
        <v>37.677</v>
      </c>
      <c r="I14">
        <v>38.996000000000002</v>
      </c>
      <c r="J14">
        <f t="shared" si="0"/>
        <v>1.3190000000000026</v>
      </c>
      <c r="K14">
        <f t="shared" si="1"/>
        <v>10.552000000000021</v>
      </c>
      <c r="P14" s="8">
        <v>42564</v>
      </c>
      <c r="Q14">
        <f>AVERAGE(K74:K79)</f>
        <v>48.537301587299687</v>
      </c>
      <c r="R14">
        <f>STDEV(K74:K79)</f>
        <v>12.285868000759969</v>
      </c>
    </row>
    <row r="15" spans="1:18" x14ac:dyDescent="0.25">
      <c r="A15" s="1">
        <v>42480</v>
      </c>
      <c r="B15" s="2">
        <v>2</v>
      </c>
      <c r="C15">
        <v>125</v>
      </c>
      <c r="D15" t="s">
        <v>3</v>
      </c>
      <c r="E15">
        <v>37.435000000000002</v>
      </c>
      <c r="I15">
        <v>38.716999999999999</v>
      </c>
      <c r="J15">
        <f t="shared" si="0"/>
        <v>1.2819999999999965</v>
      </c>
      <c r="K15">
        <f t="shared" si="1"/>
        <v>10.255999999999972</v>
      </c>
      <c r="P15" s="8">
        <v>42571</v>
      </c>
      <c r="Q15">
        <f>AVERAGE(K80:K85)</f>
        <v>41.540740740740951</v>
      </c>
      <c r="R15">
        <f>STDEV(K80:K85)</f>
        <v>1.4184614629269883</v>
      </c>
    </row>
    <row r="16" spans="1:18" x14ac:dyDescent="0.25">
      <c r="A16" s="1">
        <v>42480</v>
      </c>
      <c r="B16" s="2">
        <v>3</v>
      </c>
      <c r="C16">
        <v>125</v>
      </c>
      <c r="D16" t="s">
        <v>3</v>
      </c>
      <c r="E16">
        <v>37.570999999999998</v>
      </c>
      <c r="I16">
        <v>38.738999999999997</v>
      </c>
      <c r="J16">
        <f t="shared" si="0"/>
        <v>1.1679999999999993</v>
      </c>
      <c r="K16">
        <f t="shared" si="1"/>
        <v>9.3439999999999941</v>
      </c>
      <c r="P16" s="8">
        <v>42578</v>
      </c>
      <c r="Q16">
        <f>AVERAGE(K86:K91)</f>
        <v>25.769999999998465</v>
      </c>
      <c r="R16">
        <f>STDEV(K86:K91)</f>
        <v>1.1891845945845763</v>
      </c>
    </row>
    <row r="17" spans="1:18" x14ac:dyDescent="0.25">
      <c r="A17" s="1">
        <v>42480</v>
      </c>
      <c r="B17" s="2">
        <v>4</v>
      </c>
      <c r="C17">
        <v>125</v>
      </c>
      <c r="D17" t="s">
        <v>3</v>
      </c>
      <c r="E17">
        <v>37.814999999999998</v>
      </c>
      <c r="I17">
        <v>39.161999999999999</v>
      </c>
      <c r="J17">
        <f t="shared" si="0"/>
        <v>1.3470000000000013</v>
      </c>
      <c r="K17">
        <f t="shared" si="1"/>
        <v>10.77600000000001</v>
      </c>
      <c r="P17" s="8">
        <v>42585</v>
      </c>
      <c r="Q17">
        <f>AVERAGE(K92:K97)</f>
        <v>31.571666666667682</v>
      </c>
      <c r="R17">
        <f>STDEV(K92:K97)</f>
        <v>2.8635252166971759</v>
      </c>
    </row>
    <row r="18" spans="1:18" x14ac:dyDescent="0.25">
      <c r="A18" s="1">
        <v>42480</v>
      </c>
      <c r="B18" s="2">
        <v>5</v>
      </c>
      <c r="C18">
        <v>125</v>
      </c>
      <c r="D18" t="s">
        <v>3</v>
      </c>
      <c r="E18">
        <v>37.866999999999997</v>
      </c>
      <c r="I18">
        <v>39.204000000000001</v>
      </c>
      <c r="J18">
        <f t="shared" si="0"/>
        <v>1.3370000000000033</v>
      </c>
      <c r="K18">
        <f t="shared" si="1"/>
        <v>10.696000000000026</v>
      </c>
      <c r="P18" s="8">
        <v>42592</v>
      </c>
      <c r="Q18">
        <f>AVERAGE(K98:K103)</f>
        <v>37.046666666665118</v>
      </c>
      <c r="R18">
        <f>STDEV(K98:K103)</f>
        <v>1.2820400409764361</v>
      </c>
    </row>
    <row r="19" spans="1:18" x14ac:dyDescent="0.25">
      <c r="A19" s="1">
        <v>42480</v>
      </c>
      <c r="B19" s="2">
        <v>6</v>
      </c>
      <c r="C19">
        <v>125</v>
      </c>
      <c r="D19" t="s">
        <v>3</v>
      </c>
      <c r="E19">
        <v>36.841999999999999</v>
      </c>
      <c r="I19">
        <v>38.191000000000003</v>
      </c>
      <c r="J19">
        <f t="shared" si="0"/>
        <v>1.3490000000000038</v>
      </c>
      <c r="K19">
        <f t="shared" si="1"/>
        <v>10.79200000000003</v>
      </c>
      <c r="P19" s="8">
        <v>42599</v>
      </c>
      <c r="Q19">
        <f>AVERAGE(K104:K109)</f>
        <v>43.131666666666909</v>
      </c>
      <c r="R19">
        <f>STDEV(K104:K109)</f>
        <v>2.2137426830283644</v>
      </c>
    </row>
    <row r="20" spans="1:18" x14ac:dyDescent="0.25">
      <c r="A20" s="1">
        <v>42494</v>
      </c>
      <c r="B20" s="2">
        <v>1</v>
      </c>
      <c r="C20">
        <v>100</v>
      </c>
      <c r="D20" t="s">
        <v>3</v>
      </c>
      <c r="E20">
        <v>36.927</v>
      </c>
      <c r="I20" s="3">
        <v>37.807000000000002</v>
      </c>
      <c r="J20">
        <f t="shared" si="0"/>
        <v>0.88000000000000256</v>
      </c>
      <c r="K20">
        <f t="shared" si="1"/>
        <v>8.8000000000000256</v>
      </c>
      <c r="P20" s="8">
        <v>42606</v>
      </c>
      <c r="Q20">
        <f>AVERAGE(K110:K115)</f>
        <v>35.471666666666643</v>
      </c>
      <c r="R20">
        <f>STDEV(K110:K115)</f>
        <v>0.943279739349972</v>
      </c>
    </row>
    <row r="21" spans="1:18" x14ac:dyDescent="0.25">
      <c r="A21" s="1">
        <v>42494</v>
      </c>
      <c r="B21" s="2">
        <v>2</v>
      </c>
      <c r="C21">
        <v>100</v>
      </c>
      <c r="D21" t="s">
        <v>3</v>
      </c>
      <c r="E21">
        <v>37.363999999999997</v>
      </c>
      <c r="I21">
        <v>38.26</v>
      </c>
      <c r="J21">
        <f t="shared" si="0"/>
        <v>0.8960000000000008</v>
      </c>
      <c r="K21">
        <f t="shared" si="1"/>
        <v>8.960000000000008</v>
      </c>
      <c r="P21" s="8">
        <v>42613</v>
      </c>
      <c r="Q21">
        <f>AVERAGE(K116:K121)</f>
        <v>31.87916666666511</v>
      </c>
      <c r="R21">
        <f>STDEV(K116:K121)</f>
        <v>1.0019252300787795</v>
      </c>
    </row>
    <row r="22" spans="1:18" x14ac:dyDescent="0.25">
      <c r="A22" s="1">
        <v>42494</v>
      </c>
      <c r="B22" s="2">
        <v>3</v>
      </c>
      <c r="C22">
        <v>100</v>
      </c>
      <c r="D22" t="s">
        <v>3</v>
      </c>
      <c r="E22">
        <v>37.061999999999998</v>
      </c>
      <c r="I22">
        <v>37.881</v>
      </c>
      <c r="J22">
        <f t="shared" si="0"/>
        <v>0.81900000000000261</v>
      </c>
      <c r="K22">
        <f t="shared" si="1"/>
        <v>8.1900000000000261</v>
      </c>
      <c r="P22" s="8">
        <v>42620</v>
      </c>
      <c r="Q22">
        <f>AVERAGE(K122:K127)</f>
        <v>45.425694444443735</v>
      </c>
      <c r="R22">
        <f>STDEV(K122:K127)</f>
        <v>4.0034936276776927</v>
      </c>
    </row>
    <row r="23" spans="1:18" x14ac:dyDescent="0.25">
      <c r="A23" s="1">
        <v>42494</v>
      </c>
      <c r="B23" s="2">
        <v>4</v>
      </c>
      <c r="C23">
        <v>100</v>
      </c>
      <c r="D23" t="s">
        <v>3</v>
      </c>
      <c r="E23">
        <v>37.875999999999998</v>
      </c>
      <c r="I23">
        <v>38.82</v>
      </c>
      <c r="J23">
        <f t="shared" si="0"/>
        <v>0.94400000000000261</v>
      </c>
      <c r="K23">
        <f t="shared" si="1"/>
        <v>9.4400000000000261</v>
      </c>
      <c r="P23" s="8">
        <v>42627</v>
      </c>
      <c r="Q23">
        <f>AVERAGE(K128:K133)</f>
        <v>34.560493827161174</v>
      </c>
      <c r="R23">
        <f>STDEV(K128:K133)</f>
        <v>2.0158543977445285</v>
      </c>
    </row>
    <row r="24" spans="1:18" x14ac:dyDescent="0.25">
      <c r="A24" s="1">
        <v>42494</v>
      </c>
      <c r="B24" s="2">
        <v>5</v>
      </c>
      <c r="C24">
        <v>100</v>
      </c>
      <c r="D24" t="s">
        <v>3</v>
      </c>
      <c r="E24">
        <v>36.915999999999997</v>
      </c>
      <c r="I24">
        <v>37.932000000000002</v>
      </c>
      <c r="J24">
        <f t="shared" si="0"/>
        <v>1.0160000000000053</v>
      </c>
      <c r="K24">
        <f t="shared" si="1"/>
        <v>10.160000000000053</v>
      </c>
      <c r="P24" s="8">
        <v>42634</v>
      </c>
      <c r="Q24">
        <f>AVERAGE(K134:K139)</f>
        <v>33.193750000001323</v>
      </c>
      <c r="R24">
        <f>STDEV(K134:K139)</f>
        <v>3.6532070670840486</v>
      </c>
    </row>
    <row r="25" spans="1:18" x14ac:dyDescent="0.25">
      <c r="A25" s="1">
        <v>42494</v>
      </c>
      <c r="B25" s="2">
        <v>6</v>
      </c>
      <c r="C25">
        <v>100</v>
      </c>
      <c r="D25" t="s">
        <v>3</v>
      </c>
      <c r="E25">
        <v>37.347999999999999</v>
      </c>
      <c r="I25">
        <v>38.348999999999997</v>
      </c>
      <c r="J25">
        <f t="shared" si="0"/>
        <v>1.0009999999999977</v>
      </c>
      <c r="K25">
        <f t="shared" si="1"/>
        <v>10.009999999999977</v>
      </c>
      <c r="P25" s="8">
        <v>42641</v>
      </c>
      <c r="Q25">
        <f>AVERAGE(K140:K145)</f>
        <v>33.193209876543058</v>
      </c>
      <c r="R25">
        <f>STDEV(K140:K145)</f>
        <v>2.1855108566681496</v>
      </c>
    </row>
    <row r="26" spans="1:18" x14ac:dyDescent="0.25">
      <c r="A26" s="1">
        <v>42501</v>
      </c>
      <c r="B26" s="2">
        <v>1</v>
      </c>
      <c r="C26">
        <v>100</v>
      </c>
      <c r="D26" t="s">
        <v>3</v>
      </c>
      <c r="E26">
        <v>37.564999999999998</v>
      </c>
      <c r="I26">
        <v>38.743000000000002</v>
      </c>
      <c r="J26">
        <f t="shared" si="0"/>
        <v>1.1780000000000044</v>
      </c>
      <c r="K26">
        <f t="shared" si="1"/>
        <v>11.780000000000044</v>
      </c>
      <c r="P26" s="8">
        <v>42649</v>
      </c>
    </row>
    <row r="27" spans="1:18" x14ac:dyDescent="0.25">
      <c r="A27" s="1">
        <v>42501</v>
      </c>
      <c r="B27" s="2">
        <v>2</v>
      </c>
      <c r="C27">
        <v>100</v>
      </c>
      <c r="D27" t="s">
        <v>3</v>
      </c>
      <c r="E27">
        <v>37.881</v>
      </c>
      <c r="I27">
        <v>39.021999999999998</v>
      </c>
      <c r="J27">
        <f t="shared" si="0"/>
        <v>1.1409999999999982</v>
      </c>
      <c r="K27">
        <f t="shared" si="1"/>
        <v>11.409999999999982</v>
      </c>
      <c r="P27" s="1">
        <v>42655</v>
      </c>
    </row>
    <row r="28" spans="1:18" x14ac:dyDescent="0.25">
      <c r="A28" s="1">
        <v>42501</v>
      </c>
      <c r="B28" s="2">
        <v>3</v>
      </c>
      <c r="C28">
        <v>100</v>
      </c>
      <c r="D28" t="s">
        <v>3</v>
      </c>
      <c r="E28">
        <v>37.56</v>
      </c>
      <c r="I28">
        <v>38.737000000000002</v>
      </c>
      <c r="J28">
        <f t="shared" si="0"/>
        <v>1.1769999999999996</v>
      </c>
      <c r="K28">
        <f t="shared" si="1"/>
        <v>11.769999999999996</v>
      </c>
      <c r="P28" s="1">
        <v>42662</v>
      </c>
    </row>
    <row r="29" spans="1:18" x14ac:dyDescent="0.25">
      <c r="A29" s="1">
        <v>42501</v>
      </c>
      <c r="B29" s="2">
        <v>4</v>
      </c>
      <c r="C29">
        <v>100</v>
      </c>
      <c r="D29" t="s">
        <v>3</v>
      </c>
      <c r="E29">
        <v>37.697000000000003</v>
      </c>
      <c r="I29">
        <v>38.927</v>
      </c>
      <c r="J29">
        <f t="shared" si="0"/>
        <v>1.2299999999999969</v>
      </c>
      <c r="K29">
        <f t="shared" si="1"/>
        <v>12.299999999999969</v>
      </c>
      <c r="P29" s="1">
        <v>42669</v>
      </c>
    </row>
    <row r="30" spans="1:18" x14ac:dyDescent="0.25">
      <c r="A30" s="1">
        <v>42501</v>
      </c>
      <c r="B30" s="2">
        <v>5</v>
      </c>
      <c r="C30">
        <v>100</v>
      </c>
      <c r="D30" t="s">
        <v>3</v>
      </c>
      <c r="E30">
        <v>37.337000000000003</v>
      </c>
      <c r="I30">
        <v>38.472000000000001</v>
      </c>
      <c r="J30">
        <f t="shared" si="0"/>
        <v>1.134999999999998</v>
      </c>
      <c r="K30">
        <f t="shared" si="1"/>
        <v>11.34999999999998</v>
      </c>
    </row>
    <row r="31" spans="1:18" x14ac:dyDescent="0.25">
      <c r="A31" s="1">
        <v>42501</v>
      </c>
      <c r="B31" s="2">
        <v>6</v>
      </c>
      <c r="C31">
        <v>100</v>
      </c>
      <c r="D31" t="s">
        <v>3</v>
      </c>
      <c r="E31">
        <v>37.749000000000002</v>
      </c>
      <c r="I31">
        <v>38.951000000000001</v>
      </c>
      <c r="J31">
        <f t="shared" si="0"/>
        <v>1.2019999999999982</v>
      </c>
      <c r="K31">
        <f t="shared" si="1"/>
        <v>12.019999999999982</v>
      </c>
    </row>
    <row r="32" spans="1:18" x14ac:dyDescent="0.25">
      <c r="A32" s="1">
        <v>42508</v>
      </c>
      <c r="B32" s="2">
        <v>1</v>
      </c>
      <c r="C32">
        <v>60</v>
      </c>
      <c r="D32" t="s">
        <v>3</v>
      </c>
      <c r="E32">
        <v>38.292000000000002</v>
      </c>
      <c r="I32">
        <v>39.56</v>
      </c>
      <c r="J32">
        <f t="shared" si="0"/>
        <v>1.2680000000000007</v>
      </c>
      <c r="K32">
        <f t="shared" si="1"/>
        <v>21.133333333333347</v>
      </c>
    </row>
    <row r="33" spans="1:16" x14ac:dyDescent="0.25">
      <c r="A33" s="1">
        <v>42508</v>
      </c>
      <c r="B33" s="2">
        <v>2</v>
      </c>
      <c r="C33">
        <v>60</v>
      </c>
      <c r="D33" t="s">
        <v>3</v>
      </c>
      <c r="E33">
        <v>37.244999999999997</v>
      </c>
      <c r="I33">
        <v>38.604999999999997</v>
      </c>
      <c r="J33">
        <f t="shared" si="0"/>
        <v>1.3599999999999994</v>
      </c>
      <c r="K33">
        <f t="shared" si="1"/>
        <v>22.666666666666657</v>
      </c>
    </row>
    <row r="34" spans="1:16" x14ac:dyDescent="0.25">
      <c r="A34" s="1">
        <v>42508</v>
      </c>
      <c r="B34" s="2">
        <v>3</v>
      </c>
      <c r="C34">
        <v>60</v>
      </c>
      <c r="D34" t="s">
        <v>3</v>
      </c>
      <c r="E34">
        <v>37.917000000000002</v>
      </c>
      <c r="I34">
        <v>39.012999999999998</v>
      </c>
      <c r="J34">
        <f t="shared" si="0"/>
        <v>1.0959999999999965</v>
      </c>
      <c r="K34">
        <f t="shared" si="1"/>
        <v>18.266666666666609</v>
      </c>
    </row>
    <row r="35" spans="1:16" x14ac:dyDescent="0.25">
      <c r="A35" s="1">
        <v>42508</v>
      </c>
      <c r="B35" s="2">
        <v>4</v>
      </c>
      <c r="C35">
        <v>60</v>
      </c>
      <c r="D35" t="s">
        <v>3</v>
      </c>
      <c r="E35">
        <v>37.322000000000003</v>
      </c>
      <c r="I35">
        <v>38.567</v>
      </c>
      <c r="J35">
        <f t="shared" si="0"/>
        <v>1.2449999999999974</v>
      </c>
      <c r="K35">
        <f t="shared" si="1"/>
        <v>20.749999999999957</v>
      </c>
    </row>
    <row r="36" spans="1:16" x14ac:dyDescent="0.25">
      <c r="A36" s="1">
        <v>42508</v>
      </c>
      <c r="B36" s="2">
        <v>5</v>
      </c>
      <c r="C36">
        <v>60</v>
      </c>
      <c r="D36" t="s">
        <v>3</v>
      </c>
      <c r="E36">
        <v>37.204000000000001</v>
      </c>
      <c r="I36">
        <v>38.171999999999997</v>
      </c>
      <c r="J36">
        <f t="shared" si="0"/>
        <v>0.96799999999999642</v>
      </c>
      <c r="K36">
        <f t="shared" si="1"/>
        <v>16.133333333333276</v>
      </c>
    </row>
    <row r="37" spans="1:16" x14ac:dyDescent="0.25">
      <c r="A37" s="1">
        <v>42508</v>
      </c>
      <c r="B37" s="2">
        <v>6</v>
      </c>
      <c r="C37">
        <v>60</v>
      </c>
      <c r="D37" t="s">
        <v>3</v>
      </c>
      <c r="E37">
        <v>37.902000000000001</v>
      </c>
      <c r="I37">
        <v>38.783999999999999</v>
      </c>
      <c r="J37">
        <f>I37-E37</f>
        <v>0.8819999999999979</v>
      </c>
      <c r="K37">
        <f t="shared" si="1"/>
        <v>14.699999999999966</v>
      </c>
    </row>
    <row r="38" spans="1:16" x14ac:dyDescent="0.25">
      <c r="A38" s="1">
        <v>42515</v>
      </c>
      <c r="B38" s="2">
        <v>1</v>
      </c>
      <c r="C38">
        <v>50</v>
      </c>
      <c r="D38" t="s">
        <v>3</v>
      </c>
      <c r="E38">
        <v>37.180999999999997</v>
      </c>
      <c r="F38" s="9" t="s">
        <v>122</v>
      </c>
      <c r="G38" s="9">
        <f>AVERAGE(991.053,991.054)</f>
        <v>991.05349999999999</v>
      </c>
      <c r="H38" s="9">
        <f>AVERAGE(1028.9,1028.901)</f>
        <v>1028.9005000000002</v>
      </c>
      <c r="I38" s="9">
        <f t="shared" ref="I38" si="2">H38-G38</f>
        <v>37.847000000000207</v>
      </c>
      <c r="J38" s="9">
        <f t="shared" ref="J38" si="3">I38-E38</f>
        <v>0.66600000000020998</v>
      </c>
      <c r="K38" s="9">
        <f t="shared" si="1"/>
        <v>13.3200000000042</v>
      </c>
      <c r="L38">
        <v>38.020000000000003</v>
      </c>
      <c r="M38">
        <f t="shared" ref="M38:M49" si="4">L38-E38</f>
        <v>0.83900000000000574</v>
      </c>
      <c r="N38">
        <f t="shared" ref="N38:N49" si="5">M38/(C38/1000)</f>
        <v>16.780000000000115</v>
      </c>
      <c r="O38">
        <v>1</v>
      </c>
      <c r="P38">
        <v>1</v>
      </c>
    </row>
    <row r="39" spans="1:16" x14ac:dyDescent="0.25">
      <c r="A39" s="1">
        <v>42515</v>
      </c>
      <c r="B39" s="2">
        <v>2</v>
      </c>
      <c r="C39">
        <v>50</v>
      </c>
      <c r="D39" t="s">
        <v>3</v>
      </c>
      <c r="E39">
        <v>37.527999999999999</v>
      </c>
      <c r="F39" s="9" t="s">
        <v>123</v>
      </c>
      <c r="G39" s="9">
        <f>AVERAGE(998.993,998.991)</f>
        <v>998.99199999999996</v>
      </c>
      <c r="H39" s="9">
        <f>AVERAGE(1037.352,1037.343)</f>
        <v>1037.3475000000001</v>
      </c>
      <c r="I39" s="9">
        <f t="shared" ref="I39:I54" si="6">H39-G39</f>
        <v>38.35550000000012</v>
      </c>
      <c r="J39" s="9">
        <f t="shared" ref="J39:J54" si="7">I39-E39</f>
        <v>0.82750000000012136</v>
      </c>
      <c r="K39" s="9">
        <f t="shared" ref="K39:K54" si="8">J39/(C39/1000)</f>
        <v>16.550000000002427</v>
      </c>
      <c r="L39">
        <v>38.395000000000003</v>
      </c>
      <c r="M39">
        <f t="shared" si="4"/>
        <v>0.86700000000000443</v>
      </c>
      <c r="N39">
        <f t="shared" si="5"/>
        <v>17.340000000000089</v>
      </c>
      <c r="O39">
        <v>5</v>
      </c>
      <c r="P39">
        <v>4</v>
      </c>
    </row>
    <row r="40" spans="1:16" x14ac:dyDescent="0.25">
      <c r="A40" s="1">
        <v>42515</v>
      </c>
      <c r="B40" s="2">
        <v>3</v>
      </c>
      <c r="C40">
        <v>50</v>
      </c>
      <c r="D40" t="s">
        <v>3</v>
      </c>
      <c r="E40">
        <v>37.430999999999997</v>
      </c>
      <c r="F40" s="9" t="s">
        <v>124</v>
      </c>
      <c r="G40" s="9">
        <f>AVERAGE(992.511,992.518)</f>
        <v>992.5145</v>
      </c>
      <c r="H40" s="9">
        <f>AVERAGE(1030.518,1030.51)</f>
        <v>1030.5140000000001</v>
      </c>
      <c r="I40" s="9">
        <f t="shared" si="6"/>
        <v>37.999500000000126</v>
      </c>
      <c r="J40" s="9">
        <f t="shared" si="7"/>
        <v>0.56850000000012813</v>
      </c>
      <c r="K40" s="9">
        <f t="shared" si="8"/>
        <v>11.370000000002563</v>
      </c>
      <c r="L40">
        <v>38.289000000000001</v>
      </c>
      <c r="M40">
        <f t="shared" si="4"/>
        <v>0.85800000000000409</v>
      </c>
      <c r="N40">
        <f t="shared" si="5"/>
        <v>17.160000000000082</v>
      </c>
      <c r="O40">
        <v>3</v>
      </c>
      <c r="P40">
        <v>2</v>
      </c>
    </row>
    <row r="41" spans="1:16" x14ac:dyDescent="0.25">
      <c r="A41" s="1">
        <v>42515</v>
      </c>
      <c r="B41" s="2">
        <v>4</v>
      </c>
      <c r="C41">
        <v>50</v>
      </c>
      <c r="D41" t="s">
        <v>3</v>
      </c>
      <c r="E41">
        <v>37.558</v>
      </c>
      <c r="F41" s="9" t="s">
        <v>125</v>
      </c>
      <c r="G41" s="9">
        <f>AVERAGE(994.924,994.977)</f>
        <v>994.95049999999992</v>
      </c>
      <c r="H41" s="9">
        <f>AVERAGE(1033.318,1033.312)</f>
        <v>1033.3150000000001</v>
      </c>
      <c r="I41" s="9">
        <f t="shared" si="6"/>
        <v>38.364500000000135</v>
      </c>
      <c r="J41" s="9">
        <f t="shared" si="7"/>
        <v>0.80650000000013478</v>
      </c>
      <c r="K41" s="9">
        <f t="shared" si="8"/>
        <v>16.130000000002696</v>
      </c>
      <c r="L41">
        <v>38.384</v>
      </c>
      <c r="M41">
        <f t="shared" si="4"/>
        <v>0.82600000000000051</v>
      </c>
      <c r="N41">
        <f t="shared" si="5"/>
        <v>16.52000000000001</v>
      </c>
      <c r="O41">
        <v>4</v>
      </c>
      <c r="P41">
        <v>6</v>
      </c>
    </row>
    <row r="42" spans="1:16" x14ac:dyDescent="0.25">
      <c r="A42" s="1">
        <v>42515</v>
      </c>
      <c r="B42" s="2">
        <v>5</v>
      </c>
      <c r="C42">
        <v>50</v>
      </c>
      <c r="D42" t="s">
        <v>3</v>
      </c>
      <c r="E42">
        <v>37.725999999999999</v>
      </c>
      <c r="F42" s="9" t="s">
        <v>126</v>
      </c>
      <c r="G42" s="9">
        <f>AVERAGE(998.532,998.541)</f>
        <v>998.53650000000005</v>
      </c>
      <c r="H42" s="9">
        <f>AVERAGE(1036.895,1036.89)</f>
        <v>1036.8924999999999</v>
      </c>
      <c r="I42" s="9">
        <f t="shared" si="6"/>
        <v>38.355999999999881</v>
      </c>
      <c r="J42" s="9">
        <f t="shared" si="7"/>
        <v>0.62999999999988177</v>
      </c>
      <c r="K42" s="9">
        <f t="shared" si="8"/>
        <v>12.599999999997635</v>
      </c>
      <c r="L42">
        <v>38.563000000000002</v>
      </c>
      <c r="M42">
        <f t="shared" si="4"/>
        <v>0.8370000000000033</v>
      </c>
      <c r="N42">
        <f t="shared" si="5"/>
        <v>16.740000000000066</v>
      </c>
      <c r="O42">
        <v>6</v>
      </c>
      <c r="P42">
        <v>5</v>
      </c>
    </row>
    <row r="43" spans="1:16" x14ac:dyDescent="0.25">
      <c r="A43" s="1">
        <v>42515</v>
      </c>
      <c r="B43" s="2">
        <v>6</v>
      </c>
      <c r="C43">
        <v>50</v>
      </c>
      <c r="D43" t="s">
        <v>3</v>
      </c>
      <c r="E43">
        <v>37.363</v>
      </c>
      <c r="F43" s="9" t="s">
        <v>127</v>
      </c>
      <c r="G43" s="9">
        <f>AVERAGE(990.374,990.366)</f>
        <v>990.37</v>
      </c>
      <c r="H43" s="9">
        <f>AVERAGE(1028.387,1028.379)</f>
        <v>1028.3829999999998</v>
      </c>
      <c r="I43" s="9">
        <f t="shared" si="6"/>
        <v>38.012999999999806</v>
      </c>
      <c r="J43" s="9">
        <f t="shared" si="7"/>
        <v>0.64999999999980673</v>
      </c>
      <c r="K43" s="9">
        <f t="shared" si="8"/>
        <v>12.999999999996135</v>
      </c>
      <c r="L43">
        <v>38.194000000000003</v>
      </c>
      <c r="M43">
        <f t="shared" si="4"/>
        <v>0.83100000000000307</v>
      </c>
      <c r="N43">
        <f t="shared" si="5"/>
        <v>16.620000000000061</v>
      </c>
      <c r="O43">
        <v>2</v>
      </c>
      <c r="P43">
        <v>3</v>
      </c>
    </row>
    <row r="44" spans="1:16" x14ac:dyDescent="0.25">
      <c r="A44" s="1">
        <v>42522</v>
      </c>
      <c r="B44" s="2">
        <v>1</v>
      </c>
      <c r="C44">
        <v>50</v>
      </c>
      <c r="D44" t="s">
        <v>3</v>
      </c>
      <c r="E44">
        <v>38.012</v>
      </c>
      <c r="F44" t="s">
        <v>116</v>
      </c>
      <c r="G44">
        <f>AVERAGE(991.026,991.034)</f>
        <v>991.03</v>
      </c>
      <c r="H44">
        <f>AVERAGE(1029.966,1029.964)</f>
        <v>1029.9649999999999</v>
      </c>
      <c r="I44">
        <f t="shared" si="6"/>
        <v>38.934999999999945</v>
      </c>
      <c r="J44">
        <f t="shared" si="7"/>
        <v>0.92299999999994498</v>
      </c>
      <c r="K44">
        <f t="shared" si="8"/>
        <v>18.4599999999989</v>
      </c>
      <c r="L44">
        <v>38.878999999999998</v>
      </c>
      <c r="M44">
        <f t="shared" si="4"/>
        <v>0.86699999999999733</v>
      </c>
      <c r="N44">
        <f t="shared" si="5"/>
        <v>17.339999999999947</v>
      </c>
    </row>
    <row r="45" spans="1:16" x14ac:dyDescent="0.25">
      <c r="A45" s="1">
        <v>42522</v>
      </c>
      <c r="B45" s="2">
        <v>2</v>
      </c>
      <c r="C45">
        <v>50</v>
      </c>
      <c r="D45" t="s">
        <v>3</v>
      </c>
      <c r="E45">
        <v>37.83</v>
      </c>
      <c r="F45" t="s">
        <v>117</v>
      </c>
      <c r="G45">
        <f>AVERAGE(994.764,994.754)</f>
        <v>994.75900000000001</v>
      </c>
      <c r="H45">
        <f>AVERAGE(1033.496,1033.487)</f>
        <v>1033.4915000000001</v>
      </c>
      <c r="I45">
        <f t="shared" si="6"/>
        <v>38.732500000000073</v>
      </c>
      <c r="J45">
        <f t="shared" si="7"/>
        <v>0.90250000000007446</v>
      </c>
      <c r="K45">
        <f t="shared" si="8"/>
        <v>18.050000000001489</v>
      </c>
      <c r="L45">
        <v>38.799999999999997</v>
      </c>
      <c r="M45">
        <f t="shared" si="4"/>
        <v>0.96999999999999886</v>
      </c>
      <c r="N45">
        <f t="shared" si="5"/>
        <v>19.399999999999977</v>
      </c>
    </row>
    <row r="46" spans="1:16" x14ac:dyDescent="0.25">
      <c r="A46" s="1">
        <v>42522</v>
      </c>
      <c r="B46" s="2">
        <v>3</v>
      </c>
      <c r="C46">
        <v>50</v>
      </c>
      <c r="D46" t="s">
        <v>3</v>
      </c>
      <c r="E46">
        <v>37.325000000000003</v>
      </c>
      <c r="F46" t="s">
        <v>118</v>
      </c>
      <c r="G46">
        <f>AVERAGE(992.419,992.405)</f>
        <v>992.41200000000003</v>
      </c>
      <c r="H46">
        <f>AVERAGE(1030.465,1030.46)</f>
        <v>1030.4625000000001</v>
      </c>
      <c r="I46">
        <f t="shared" si="6"/>
        <v>38.050500000000056</v>
      </c>
      <c r="J46">
        <f t="shared" si="7"/>
        <v>0.72550000000005355</v>
      </c>
      <c r="K46">
        <f t="shared" si="8"/>
        <v>14.510000000001071</v>
      </c>
      <c r="L46">
        <v>38.216000000000001</v>
      </c>
      <c r="M46">
        <f t="shared" si="4"/>
        <v>0.89099999999999824</v>
      </c>
      <c r="N46">
        <f t="shared" si="5"/>
        <v>17.819999999999965</v>
      </c>
    </row>
    <row r="47" spans="1:16" x14ac:dyDescent="0.25">
      <c r="A47" s="1">
        <v>42522</v>
      </c>
      <c r="B47" s="2">
        <v>4</v>
      </c>
      <c r="C47">
        <v>50</v>
      </c>
      <c r="D47" t="s">
        <v>3</v>
      </c>
      <c r="E47">
        <v>37.241</v>
      </c>
      <c r="F47" t="s">
        <v>119</v>
      </c>
      <c r="G47">
        <f>AVERAGE(1001.432,1001.454)</f>
        <v>1001.443</v>
      </c>
      <c r="H47">
        <f>AVERAGE(1039.745,1039.74)</f>
        <v>1039.7424999999998</v>
      </c>
      <c r="I47">
        <f t="shared" si="6"/>
        <v>38.299499999999853</v>
      </c>
      <c r="J47">
        <f t="shared" si="7"/>
        <v>1.058499999999853</v>
      </c>
      <c r="K47">
        <f t="shared" si="8"/>
        <v>21.16999999999706</v>
      </c>
      <c r="L47">
        <v>38.256999999999998</v>
      </c>
      <c r="M47">
        <f t="shared" si="4"/>
        <v>1.0159999999999982</v>
      </c>
      <c r="N47">
        <f t="shared" si="5"/>
        <v>20.319999999999965</v>
      </c>
    </row>
    <row r="48" spans="1:16" x14ac:dyDescent="0.25">
      <c r="A48" s="1">
        <v>42522</v>
      </c>
      <c r="B48" s="2">
        <v>5</v>
      </c>
      <c r="C48">
        <v>50</v>
      </c>
      <c r="D48" t="s">
        <v>3</v>
      </c>
      <c r="E48">
        <v>38.267000000000003</v>
      </c>
      <c r="F48" t="s">
        <v>120</v>
      </c>
      <c r="G48">
        <f>AVERAGE(993.23,993.247)</f>
        <v>993.23849999999993</v>
      </c>
      <c r="H48">
        <f>AVERAGE(1032.38,1032.377)</f>
        <v>1032.3785</v>
      </c>
      <c r="I48">
        <f t="shared" si="6"/>
        <v>39.1400000000001</v>
      </c>
      <c r="J48">
        <f t="shared" si="7"/>
        <v>0.87300000000009703</v>
      </c>
      <c r="K48">
        <f t="shared" si="8"/>
        <v>17.460000000001941</v>
      </c>
      <c r="L48">
        <v>39.316000000000003</v>
      </c>
      <c r="M48">
        <f t="shared" si="4"/>
        <v>1.0489999999999995</v>
      </c>
      <c r="N48">
        <f t="shared" si="5"/>
        <v>20.97999999999999</v>
      </c>
    </row>
    <row r="49" spans="1:14" x14ac:dyDescent="0.25">
      <c r="A49" s="1">
        <v>42522</v>
      </c>
      <c r="B49" s="2">
        <v>6</v>
      </c>
      <c r="C49">
        <v>50</v>
      </c>
      <c r="D49" t="s">
        <v>3</v>
      </c>
      <c r="E49">
        <v>37.414999999999999</v>
      </c>
      <c r="F49" t="s">
        <v>121</v>
      </c>
      <c r="G49">
        <f>AVERAGE(997.273,997.337)</f>
        <v>997.30500000000006</v>
      </c>
      <c r="H49">
        <f>AVERAGE(1035.329,1035.619)</f>
        <v>1035.4739999999999</v>
      </c>
      <c r="I49">
        <f t="shared" si="6"/>
        <v>38.168999999999869</v>
      </c>
      <c r="J49">
        <f t="shared" si="7"/>
        <v>0.75399999999986989</v>
      </c>
      <c r="K49">
        <f t="shared" si="8"/>
        <v>15.079999999997398</v>
      </c>
      <c r="L49">
        <v>38.442</v>
      </c>
      <c r="M49">
        <f t="shared" si="4"/>
        <v>1.027000000000001</v>
      </c>
      <c r="N49">
        <f t="shared" si="5"/>
        <v>20.54000000000002</v>
      </c>
    </row>
    <row r="50" spans="1:14" x14ac:dyDescent="0.25">
      <c r="A50" s="1">
        <v>42536</v>
      </c>
      <c r="B50" s="2">
        <v>1</v>
      </c>
      <c r="C50">
        <v>50</v>
      </c>
      <c r="D50" t="s">
        <v>3</v>
      </c>
      <c r="E50">
        <v>36.871000000000002</v>
      </c>
      <c r="F50" t="s">
        <v>110</v>
      </c>
      <c r="G50">
        <f>AVERAGE(1001.536,1001.554)</f>
        <v>1001.545</v>
      </c>
      <c r="H50">
        <f>AVERAGE(1040.251,1040.251)</f>
        <v>1040.251</v>
      </c>
      <c r="I50">
        <f t="shared" si="6"/>
        <v>38.706000000000017</v>
      </c>
      <c r="J50">
        <f t="shared" si="7"/>
        <v>1.8350000000000151</v>
      </c>
      <c r="K50">
        <f t="shared" si="8"/>
        <v>36.700000000000301</v>
      </c>
    </row>
    <row r="51" spans="1:14" x14ac:dyDescent="0.25">
      <c r="A51" s="1">
        <v>42536</v>
      </c>
      <c r="B51" s="2">
        <v>2</v>
      </c>
      <c r="C51">
        <v>50</v>
      </c>
      <c r="D51" t="s">
        <v>3</v>
      </c>
      <c r="E51">
        <v>37.621000000000002</v>
      </c>
      <c r="F51" t="s">
        <v>111</v>
      </c>
      <c r="G51">
        <f>AVERAGE(991.58,991.576)</f>
        <v>991.57799999999997</v>
      </c>
      <c r="H51">
        <f>AVERAGE(1031.013,1030.987)</f>
        <v>1031</v>
      </c>
      <c r="I51">
        <f t="shared" si="6"/>
        <v>39.422000000000025</v>
      </c>
      <c r="J51">
        <f t="shared" si="7"/>
        <v>1.8010000000000232</v>
      </c>
      <c r="K51">
        <f t="shared" si="8"/>
        <v>36.020000000000465</v>
      </c>
    </row>
    <row r="52" spans="1:14" x14ac:dyDescent="0.25">
      <c r="A52" s="1">
        <v>42536</v>
      </c>
      <c r="B52" s="2">
        <v>3</v>
      </c>
      <c r="C52">
        <v>50</v>
      </c>
      <c r="D52" t="s">
        <v>3</v>
      </c>
      <c r="E52">
        <v>38.488</v>
      </c>
      <c r="F52" t="s">
        <v>112</v>
      </c>
      <c r="G52">
        <f>AVERAGE(999.177,999.19)</f>
        <v>999.18350000000009</v>
      </c>
      <c r="H52">
        <f>AVERAGE(1039.511,1039.505)</f>
        <v>1039.508</v>
      </c>
      <c r="I52">
        <f t="shared" si="6"/>
        <v>40.324499999999944</v>
      </c>
      <c r="J52">
        <f t="shared" si="7"/>
        <v>1.8364999999999441</v>
      </c>
      <c r="K52">
        <f t="shared" si="8"/>
        <v>36.729999999998881</v>
      </c>
    </row>
    <row r="53" spans="1:14" x14ac:dyDescent="0.25">
      <c r="A53" s="1">
        <v>42536</v>
      </c>
      <c r="B53" s="2">
        <v>4</v>
      </c>
      <c r="C53">
        <v>50</v>
      </c>
      <c r="D53" t="s">
        <v>3</v>
      </c>
      <c r="E53">
        <v>38.052</v>
      </c>
      <c r="F53" t="s">
        <v>113</v>
      </c>
      <c r="G53">
        <f>AVERAGE(1003.324,1003.326)</f>
        <v>1003.325</v>
      </c>
      <c r="H53">
        <f>AVERAGE(1043.185,1043.177)</f>
        <v>1043.181</v>
      </c>
      <c r="I53">
        <f t="shared" si="6"/>
        <v>39.855999999999995</v>
      </c>
      <c r="J53">
        <f t="shared" si="7"/>
        <v>1.8039999999999949</v>
      </c>
      <c r="K53">
        <f t="shared" si="8"/>
        <v>36.079999999999899</v>
      </c>
    </row>
    <row r="54" spans="1:14" x14ac:dyDescent="0.25">
      <c r="A54" s="1">
        <v>42536</v>
      </c>
      <c r="B54" s="2">
        <v>5</v>
      </c>
      <c r="C54">
        <v>50</v>
      </c>
      <c r="D54" t="s">
        <v>3</v>
      </c>
      <c r="E54">
        <v>37.704999999999998</v>
      </c>
      <c r="F54" t="s">
        <v>114</v>
      </c>
      <c r="G54">
        <f>AVERAGE(994.519,994.519)</f>
        <v>994.51900000000001</v>
      </c>
      <c r="H54">
        <f>AVERAGE(1033.977,1033.964)</f>
        <v>1033.9704999999999</v>
      </c>
      <c r="I54">
        <f t="shared" si="6"/>
        <v>39.451499999999896</v>
      </c>
      <c r="J54">
        <f t="shared" si="7"/>
        <v>1.746499999999898</v>
      </c>
      <c r="K54">
        <f t="shared" si="8"/>
        <v>34.92999999999796</v>
      </c>
    </row>
    <row r="55" spans="1:14" x14ac:dyDescent="0.25">
      <c r="A55" s="1">
        <v>42536</v>
      </c>
      <c r="B55" s="2">
        <v>6</v>
      </c>
      <c r="C55">
        <v>50</v>
      </c>
      <c r="D55" t="s">
        <v>3</v>
      </c>
      <c r="E55">
        <v>37.484000000000002</v>
      </c>
      <c r="F55" t="s">
        <v>115</v>
      </c>
      <c r="G55">
        <f>AVERAGE(996.017,996.01)</f>
        <v>996.01350000000002</v>
      </c>
      <c r="H55">
        <f>AVERAGE(1035.431,1035.421)</f>
        <v>1035.4259999999999</v>
      </c>
      <c r="I55">
        <f t="shared" ref="I55" si="9">H55-G55</f>
        <v>39.412499999999909</v>
      </c>
      <c r="J55">
        <f t="shared" ref="J55" si="10">I55-E55</f>
        <v>1.9284999999999073</v>
      </c>
      <c r="K55">
        <f t="shared" ref="K55" si="11">J55/(C55/1000)</f>
        <v>38.569999999998146</v>
      </c>
    </row>
    <row r="56" spans="1:14" x14ac:dyDescent="0.25">
      <c r="A56" s="1">
        <v>42544</v>
      </c>
      <c r="B56" s="2">
        <v>1</v>
      </c>
      <c r="C56">
        <v>50</v>
      </c>
      <c r="D56" t="s">
        <v>3</v>
      </c>
      <c r="E56">
        <v>38.076999999999998</v>
      </c>
      <c r="F56" t="s">
        <v>104</v>
      </c>
      <c r="G56">
        <f>AVERAGE(996.025,996.011)</f>
        <v>996.01800000000003</v>
      </c>
      <c r="H56">
        <f>AVERAGE(1036.12,1036.112)</f>
        <v>1036.116</v>
      </c>
      <c r="I56">
        <f t="shared" ref="I56:I61" si="12">H56-G56</f>
        <v>40.097999999999956</v>
      </c>
      <c r="J56">
        <f t="shared" ref="J56:J61" si="13">I56-E56</f>
        <v>2.0209999999999582</v>
      </c>
      <c r="K56">
        <f t="shared" ref="K56:K61" si="14">J56/(C56/1000)</f>
        <v>40.419999999999163</v>
      </c>
    </row>
    <row r="57" spans="1:14" x14ac:dyDescent="0.25">
      <c r="A57" s="1">
        <v>42544</v>
      </c>
      <c r="B57" s="2">
        <v>2</v>
      </c>
      <c r="C57">
        <v>50</v>
      </c>
      <c r="D57" t="s">
        <v>3</v>
      </c>
      <c r="E57">
        <v>37.813000000000002</v>
      </c>
      <c r="F57" t="s">
        <v>105</v>
      </c>
      <c r="G57">
        <f>AVERAGE(998.111,998.096)</f>
        <v>998.10349999999994</v>
      </c>
      <c r="H57">
        <f>AVERAGE(1037.982,1037.972)</f>
        <v>1037.9769999999999</v>
      </c>
      <c r="I57">
        <f t="shared" si="12"/>
        <v>39.873499999999922</v>
      </c>
      <c r="J57">
        <f t="shared" si="13"/>
        <v>2.0604999999999194</v>
      </c>
      <c r="K57">
        <f t="shared" si="14"/>
        <v>41.209999999998388</v>
      </c>
    </row>
    <row r="58" spans="1:14" x14ac:dyDescent="0.25">
      <c r="A58" s="1">
        <v>42544</v>
      </c>
      <c r="B58" s="2">
        <v>3</v>
      </c>
      <c r="C58">
        <v>50</v>
      </c>
      <c r="D58" t="s">
        <v>3</v>
      </c>
      <c r="E58">
        <v>38.273000000000003</v>
      </c>
      <c r="F58" t="s">
        <v>106</v>
      </c>
      <c r="G58">
        <f>AVERAGE(992.278,992.289)</f>
        <v>992.2835</v>
      </c>
      <c r="H58" s="9">
        <f>AVERAGE(1032.615,1032.606)</f>
        <v>1032.6105</v>
      </c>
      <c r="I58">
        <f t="shared" si="12"/>
        <v>40.326999999999998</v>
      </c>
      <c r="J58">
        <f t="shared" si="13"/>
        <v>2.0539999999999949</v>
      </c>
      <c r="K58">
        <f t="shared" si="14"/>
        <v>41.079999999999899</v>
      </c>
    </row>
    <row r="59" spans="1:14" x14ac:dyDescent="0.25">
      <c r="A59" s="1">
        <v>42544</v>
      </c>
      <c r="B59" s="2">
        <v>4</v>
      </c>
      <c r="C59">
        <v>50</v>
      </c>
      <c r="D59" t="s">
        <v>3</v>
      </c>
      <c r="E59">
        <v>37.140999999999998</v>
      </c>
      <c r="F59" t="s">
        <v>107</v>
      </c>
      <c r="G59">
        <f>AVERAGE(994.071,994.067)</f>
        <v>994.06899999999996</v>
      </c>
      <c r="H59">
        <f>AVERAGE(1033.264,1033.255)</f>
        <v>1033.2595000000001</v>
      </c>
      <c r="I59">
        <f t="shared" si="12"/>
        <v>39.190500000000156</v>
      </c>
      <c r="J59">
        <f t="shared" si="13"/>
        <v>2.0495000000001582</v>
      </c>
      <c r="K59">
        <f t="shared" si="14"/>
        <v>40.990000000003164</v>
      </c>
    </row>
    <row r="60" spans="1:14" x14ac:dyDescent="0.25">
      <c r="A60" s="1">
        <v>42544</v>
      </c>
      <c r="B60" s="2">
        <v>5</v>
      </c>
      <c r="C60">
        <v>50</v>
      </c>
      <c r="D60" t="s">
        <v>3</v>
      </c>
      <c r="E60">
        <v>37.54</v>
      </c>
      <c r="F60" t="s">
        <v>108</v>
      </c>
      <c r="G60">
        <f>AVERAGE(995.155,995.173)</f>
        <v>995.16399999999999</v>
      </c>
      <c r="H60">
        <f>AVERAGE(1034.463,1034.478)</f>
        <v>1034.4704999999999</v>
      </c>
      <c r="I60">
        <f t="shared" si="12"/>
        <v>39.306499999999915</v>
      </c>
      <c r="J60">
        <f t="shared" si="13"/>
        <v>1.7664999999999154</v>
      </c>
      <c r="K60">
        <f t="shared" si="14"/>
        <v>35.329999999998307</v>
      </c>
    </row>
    <row r="61" spans="1:14" x14ac:dyDescent="0.25">
      <c r="A61" s="1">
        <v>42544</v>
      </c>
      <c r="B61" s="2">
        <v>6</v>
      </c>
      <c r="C61">
        <v>50</v>
      </c>
      <c r="D61" t="s">
        <v>3</v>
      </c>
      <c r="E61">
        <v>38.204000000000001</v>
      </c>
      <c r="F61" t="s">
        <v>109</v>
      </c>
      <c r="G61">
        <f>AVERAGE(996.675,996.728)</f>
        <v>996.7014999999999</v>
      </c>
      <c r="H61">
        <f>AVERAGE(1036.914,1036.914)</f>
        <v>1036.914</v>
      </c>
      <c r="I61">
        <f t="shared" si="12"/>
        <v>40.212500000000091</v>
      </c>
      <c r="J61">
        <f t="shared" si="13"/>
        <v>2.0085000000000903</v>
      </c>
      <c r="K61">
        <f t="shared" si="14"/>
        <v>40.170000000001806</v>
      </c>
    </row>
    <row r="62" spans="1:14" x14ac:dyDescent="0.25">
      <c r="A62" s="1">
        <v>42550</v>
      </c>
      <c r="B62" s="2">
        <v>1</v>
      </c>
      <c r="C62">
        <v>50</v>
      </c>
      <c r="D62" t="s">
        <v>3</v>
      </c>
      <c r="E62">
        <v>37.122</v>
      </c>
      <c r="F62" t="s">
        <v>98</v>
      </c>
      <c r="G62">
        <f>AVERAGE(992.473,992.459)</f>
        <v>992.46599999999989</v>
      </c>
      <c r="H62">
        <f>AVERAGE(1031.463,1031.47)</f>
        <v>1031.4665</v>
      </c>
      <c r="I62">
        <f t="shared" ref="I62:I67" si="15">H62-G62</f>
        <v>39.000500000000102</v>
      </c>
      <c r="J62">
        <f t="shared" ref="J62:J67" si="16">I62-E62</f>
        <v>1.878500000000102</v>
      </c>
      <c r="K62">
        <f t="shared" ref="K62:K67" si="17">J62/(C62/1000)</f>
        <v>37.57000000000204</v>
      </c>
    </row>
    <row r="63" spans="1:14" x14ac:dyDescent="0.25">
      <c r="A63" s="1">
        <v>42550</v>
      </c>
      <c r="B63" s="2">
        <v>2</v>
      </c>
      <c r="C63">
        <v>50</v>
      </c>
      <c r="D63" t="s">
        <v>3</v>
      </c>
      <c r="E63">
        <v>37.450000000000003</v>
      </c>
      <c r="F63" t="s">
        <v>99</v>
      </c>
      <c r="G63">
        <f>AVERAGE(998.941,998.9)</f>
        <v>998.92049999999995</v>
      </c>
      <c r="H63">
        <f>AVERAGE(1038.4,1038.394)</f>
        <v>1038.3969999999999</v>
      </c>
      <c r="I63">
        <f t="shared" si="15"/>
        <v>39.476499999999987</v>
      </c>
      <c r="J63">
        <f t="shared" si="16"/>
        <v>2.0264999999999844</v>
      </c>
      <c r="K63">
        <f t="shared" si="17"/>
        <v>40.529999999999688</v>
      </c>
    </row>
    <row r="64" spans="1:14" x14ac:dyDescent="0.25">
      <c r="A64" s="1">
        <v>42550</v>
      </c>
      <c r="B64" s="2">
        <v>3</v>
      </c>
      <c r="C64">
        <v>50</v>
      </c>
      <c r="D64" t="s">
        <v>3</v>
      </c>
      <c r="E64">
        <v>37.780999999999999</v>
      </c>
      <c r="F64" t="s">
        <v>100</v>
      </c>
      <c r="G64">
        <f>AVERAGE(994.3,994.3)</f>
        <v>994.3</v>
      </c>
      <c r="H64">
        <f>AVERAGE(1033.978,1033.984)</f>
        <v>1033.981</v>
      </c>
      <c r="I64">
        <f t="shared" si="15"/>
        <v>39.68100000000004</v>
      </c>
      <c r="J64">
        <f t="shared" si="16"/>
        <v>1.9000000000000412</v>
      </c>
      <c r="K64">
        <f t="shared" si="17"/>
        <v>38.000000000000824</v>
      </c>
    </row>
    <row r="65" spans="1:11" x14ac:dyDescent="0.25">
      <c r="A65" s="1">
        <v>42550</v>
      </c>
      <c r="B65" s="2">
        <v>4</v>
      </c>
      <c r="C65">
        <v>50</v>
      </c>
      <c r="D65" t="s">
        <v>3</v>
      </c>
      <c r="E65">
        <v>37.933999999999997</v>
      </c>
      <c r="F65" t="s">
        <v>101</v>
      </c>
      <c r="G65">
        <f>AVERAGE(996.762,996.737)</f>
        <v>996.7494999999999</v>
      </c>
      <c r="H65">
        <f>AVERAGE(1036.85,1036.855)</f>
        <v>1036.8525</v>
      </c>
      <c r="I65">
        <f t="shared" si="15"/>
        <v>40.103000000000065</v>
      </c>
      <c r="J65">
        <f t="shared" si="16"/>
        <v>2.169000000000068</v>
      </c>
      <c r="K65">
        <f t="shared" si="17"/>
        <v>43.38000000000136</v>
      </c>
    </row>
    <row r="66" spans="1:11" x14ac:dyDescent="0.25">
      <c r="A66" s="1">
        <v>42550</v>
      </c>
      <c r="B66" s="2">
        <v>5</v>
      </c>
      <c r="C66">
        <v>50</v>
      </c>
      <c r="D66" t="s">
        <v>3</v>
      </c>
      <c r="E66">
        <v>38.198999999999998</v>
      </c>
      <c r="F66" t="s">
        <v>102</v>
      </c>
      <c r="G66">
        <f>AVERAGE(991.778,991.785)</f>
        <v>991.78150000000005</v>
      </c>
      <c r="H66">
        <f>AVERAGE(1031.821,1031.798)</f>
        <v>1031.8094999999998</v>
      </c>
      <c r="I66">
        <f t="shared" si="15"/>
        <v>40.027999999999793</v>
      </c>
      <c r="J66">
        <f t="shared" si="16"/>
        <v>1.8289999999997946</v>
      </c>
      <c r="K66">
        <f t="shared" si="17"/>
        <v>36.579999999995891</v>
      </c>
    </row>
    <row r="67" spans="1:11" x14ac:dyDescent="0.25">
      <c r="A67" s="1">
        <v>42550</v>
      </c>
      <c r="B67" s="2">
        <v>6</v>
      </c>
      <c r="C67">
        <v>50</v>
      </c>
      <c r="D67" t="s">
        <v>3</v>
      </c>
      <c r="E67">
        <v>37.786000000000001</v>
      </c>
      <c r="F67" t="s">
        <v>103</v>
      </c>
      <c r="G67">
        <f>AVERAGE(994.035,994.01)</f>
        <v>994.02250000000004</v>
      </c>
      <c r="H67">
        <f>AVERAGE(1033.817,1033.808)</f>
        <v>1033.8125</v>
      </c>
      <c r="I67">
        <f t="shared" si="15"/>
        <v>39.789999999999964</v>
      </c>
      <c r="J67">
        <f t="shared" si="16"/>
        <v>2.0039999999999623</v>
      </c>
      <c r="K67">
        <f t="shared" si="17"/>
        <v>40.079999999999245</v>
      </c>
    </row>
    <row r="68" spans="1:11" x14ac:dyDescent="0.25">
      <c r="A68" s="1">
        <v>42557</v>
      </c>
      <c r="B68" s="2">
        <v>1</v>
      </c>
      <c r="C68">
        <v>40</v>
      </c>
      <c r="D68" t="s">
        <v>3</v>
      </c>
      <c r="E68">
        <v>37.716999999999999</v>
      </c>
      <c r="F68" t="s">
        <v>92</v>
      </c>
      <c r="G68">
        <f>AVERAGE(992.912,992.881)</f>
        <v>992.89650000000006</v>
      </c>
      <c r="H68">
        <f>AVERAGE(1032.474,1032.47)</f>
        <v>1032.472</v>
      </c>
      <c r="I68">
        <f t="shared" ref="I68:I73" si="18">H68-G68</f>
        <v>39.57549999999992</v>
      </c>
      <c r="J68">
        <f t="shared" ref="J68:J73" si="19">I68-E68</f>
        <v>1.8584999999999212</v>
      </c>
      <c r="K68">
        <f t="shared" ref="K68:K73" si="20">J68/(C68/1000)</f>
        <v>46.46249999999803</v>
      </c>
    </row>
    <row r="69" spans="1:11" x14ac:dyDescent="0.25">
      <c r="A69" s="1">
        <v>42557</v>
      </c>
      <c r="B69" s="2">
        <v>2</v>
      </c>
      <c r="C69">
        <v>40</v>
      </c>
      <c r="D69" t="s">
        <v>3</v>
      </c>
      <c r="E69">
        <v>37.802999999999997</v>
      </c>
      <c r="F69" t="s">
        <v>93</v>
      </c>
      <c r="G69">
        <f>AVERAGE(992.018,992.092)</f>
        <v>992.05500000000006</v>
      </c>
      <c r="H69">
        <f>AVERAGE(1031.918,1031.916)</f>
        <v>1031.9169999999999</v>
      </c>
      <c r="I69">
        <f t="shared" si="18"/>
        <v>39.861999999999853</v>
      </c>
      <c r="J69">
        <f t="shared" si="19"/>
        <v>2.0589999999998554</v>
      </c>
      <c r="K69">
        <f t="shared" si="20"/>
        <v>51.474999999996385</v>
      </c>
    </row>
    <row r="70" spans="1:11" x14ac:dyDescent="0.25">
      <c r="A70" s="1">
        <v>42557</v>
      </c>
      <c r="B70" s="2">
        <v>3</v>
      </c>
      <c r="C70">
        <v>40</v>
      </c>
      <c r="D70" t="s">
        <v>3</v>
      </c>
      <c r="E70">
        <v>37.728000000000002</v>
      </c>
      <c r="F70" t="s">
        <v>94</v>
      </c>
      <c r="G70">
        <f>AVERAGE(994.515,994.509)</f>
        <v>994.51199999999994</v>
      </c>
      <c r="H70">
        <f>AVERAGE(1034.185,1034.187)</f>
        <v>1034.1859999999999</v>
      </c>
      <c r="I70">
        <f t="shared" si="18"/>
        <v>39.673999999999978</v>
      </c>
      <c r="J70">
        <f t="shared" si="19"/>
        <v>1.9459999999999766</v>
      </c>
      <c r="K70">
        <f t="shared" si="20"/>
        <v>48.649999999999416</v>
      </c>
    </row>
    <row r="71" spans="1:11" x14ac:dyDescent="0.25">
      <c r="A71" s="1">
        <v>42557</v>
      </c>
      <c r="B71" s="2">
        <v>4</v>
      </c>
      <c r="C71">
        <v>40</v>
      </c>
      <c r="D71" t="s">
        <v>3</v>
      </c>
      <c r="E71">
        <v>37.656999999999996</v>
      </c>
      <c r="F71" t="s">
        <v>95</v>
      </c>
      <c r="G71">
        <f>AVERAGE(995.804,995.798)</f>
        <v>995.80099999999993</v>
      </c>
      <c r="H71">
        <f>AVERAGE(1035.259,1035.258)</f>
        <v>1035.2584999999999</v>
      </c>
      <c r="I71">
        <f t="shared" si="18"/>
        <v>39.457499999999982</v>
      </c>
      <c r="J71">
        <f t="shared" si="19"/>
        <v>1.8004999999999853</v>
      </c>
      <c r="K71">
        <f t="shared" si="20"/>
        <v>45.012499999999633</v>
      </c>
    </row>
    <row r="72" spans="1:11" x14ac:dyDescent="0.25">
      <c r="A72" s="1">
        <v>42557</v>
      </c>
      <c r="B72" s="2">
        <v>5</v>
      </c>
      <c r="C72">
        <v>40</v>
      </c>
      <c r="D72" t="s">
        <v>3</v>
      </c>
      <c r="E72">
        <v>37.456000000000003</v>
      </c>
      <c r="F72" t="s">
        <v>96</v>
      </c>
      <c r="G72">
        <f>AVERAGE(994.704,994.67)</f>
        <v>994.6869999999999</v>
      </c>
      <c r="H72">
        <f>AVERAGE(1033.908,1033.905)</f>
        <v>1033.9065000000001</v>
      </c>
      <c r="I72">
        <f t="shared" si="18"/>
        <v>39.219500000000153</v>
      </c>
      <c r="J72">
        <f t="shared" si="19"/>
        <v>1.7635000000001497</v>
      </c>
      <c r="K72">
        <f t="shared" si="20"/>
        <v>44.087500000003743</v>
      </c>
    </row>
    <row r="73" spans="1:11" x14ac:dyDescent="0.25">
      <c r="A73" s="1">
        <v>42557</v>
      </c>
      <c r="B73" s="2">
        <v>6</v>
      </c>
      <c r="C73">
        <v>40</v>
      </c>
      <c r="D73" t="s">
        <v>3</v>
      </c>
      <c r="E73">
        <v>38.018000000000001</v>
      </c>
      <c r="F73" t="s">
        <v>97</v>
      </c>
      <c r="G73">
        <f>AVERAGE(997.534,997.524)</f>
        <v>997.529</v>
      </c>
      <c r="H73">
        <f>AVERAGE(1037.491,1037.492)</f>
        <v>1037.4915000000001</v>
      </c>
      <c r="I73">
        <f t="shared" si="18"/>
        <v>39.962500000000091</v>
      </c>
      <c r="J73">
        <f t="shared" si="19"/>
        <v>1.9445000000000903</v>
      </c>
      <c r="K73">
        <f t="shared" si="20"/>
        <v>48.612500000002257</v>
      </c>
    </row>
    <row r="74" spans="1:11" x14ac:dyDescent="0.25">
      <c r="A74" s="1">
        <v>42564</v>
      </c>
      <c r="B74" s="2">
        <v>1</v>
      </c>
      <c r="C74">
        <v>35</v>
      </c>
      <c r="D74" t="s">
        <v>3</v>
      </c>
      <c r="E74">
        <v>37.351999999999997</v>
      </c>
      <c r="F74" t="s">
        <v>86</v>
      </c>
      <c r="G74" s="9">
        <f>AVERAGE(996.881,996.907)</f>
        <v>996.89400000000001</v>
      </c>
      <c r="H74" s="9">
        <f>AVERAGE(1036.774,1036.778)</f>
        <v>1036.7759999999998</v>
      </c>
      <c r="I74">
        <f t="shared" ref="I74:I79" si="21">H74-G74</f>
        <v>39.881999999999834</v>
      </c>
      <c r="J74">
        <f t="shared" ref="J74:J79" si="22">I74-E74</f>
        <v>2.5299999999998377</v>
      </c>
      <c r="K74">
        <f t="shared" ref="K74:K79" si="23">J74/(C74/1000)</f>
        <v>72.285714285709645</v>
      </c>
    </row>
    <row r="75" spans="1:11" x14ac:dyDescent="0.25">
      <c r="A75" s="1">
        <v>42564</v>
      </c>
      <c r="B75" s="2">
        <v>2</v>
      </c>
      <c r="C75">
        <v>35</v>
      </c>
      <c r="D75" t="s">
        <v>3</v>
      </c>
      <c r="E75">
        <v>37.508000000000003</v>
      </c>
      <c r="F75" t="s">
        <v>87</v>
      </c>
      <c r="G75">
        <f>AVERAGE(993.366,993.345)</f>
        <v>993.35550000000001</v>
      </c>
      <c r="H75">
        <f>AVERAGE(1032.258,1032.258)</f>
        <v>1032.258</v>
      </c>
      <c r="I75">
        <f t="shared" si="21"/>
        <v>38.902500000000032</v>
      </c>
      <c r="J75">
        <f t="shared" si="22"/>
        <v>1.3945000000000292</v>
      </c>
      <c r="K75">
        <f t="shared" si="23"/>
        <v>39.842857142857973</v>
      </c>
    </row>
    <row r="76" spans="1:11" x14ac:dyDescent="0.25">
      <c r="A76" s="1">
        <v>42564</v>
      </c>
      <c r="B76" s="2">
        <v>3</v>
      </c>
      <c r="C76">
        <v>35</v>
      </c>
      <c r="D76" t="s">
        <v>3</v>
      </c>
      <c r="E76">
        <v>36.69</v>
      </c>
      <c r="F76" t="s">
        <v>88</v>
      </c>
      <c r="G76">
        <f>AVERAGE(989.786,989.754)</f>
        <v>989.77</v>
      </c>
      <c r="H76">
        <f>AVERAGE(1028.178,1028.174)</f>
        <v>1028.1759999999999</v>
      </c>
      <c r="I76">
        <f t="shared" si="21"/>
        <v>38.405999999999949</v>
      </c>
      <c r="J76">
        <f t="shared" si="22"/>
        <v>1.7159999999999513</v>
      </c>
      <c r="K76">
        <f t="shared" si="23"/>
        <v>49.028571428570032</v>
      </c>
    </row>
    <row r="77" spans="1:11" x14ac:dyDescent="0.25">
      <c r="A77" s="1">
        <v>42564</v>
      </c>
      <c r="B77" s="2">
        <v>4</v>
      </c>
      <c r="C77">
        <v>35</v>
      </c>
      <c r="D77" t="s">
        <v>3</v>
      </c>
      <c r="E77">
        <v>37.323</v>
      </c>
      <c r="F77" t="s">
        <v>89</v>
      </c>
      <c r="G77">
        <f>AVERAGE(999.428,999.313,999.242)</f>
        <v>999.32766666666669</v>
      </c>
      <c r="H77">
        <f>AVERAGE(1038.337,1038.333)</f>
        <v>1038.335</v>
      </c>
      <c r="I77">
        <f t="shared" si="21"/>
        <v>39.007333333333349</v>
      </c>
      <c r="J77">
        <f t="shared" si="22"/>
        <v>1.684333333333349</v>
      </c>
      <c r="K77">
        <f t="shared" si="23"/>
        <v>48.123809523809967</v>
      </c>
    </row>
    <row r="78" spans="1:11" x14ac:dyDescent="0.25">
      <c r="A78" s="1">
        <v>42564</v>
      </c>
      <c r="B78" s="2">
        <v>5</v>
      </c>
      <c r="C78">
        <v>35</v>
      </c>
      <c r="D78" t="s">
        <v>3</v>
      </c>
      <c r="E78">
        <v>36.579000000000001</v>
      </c>
      <c r="F78" t="s">
        <v>90</v>
      </c>
      <c r="G78">
        <f>AVERAGE(992.191,992.167)</f>
        <v>992.17900000000009</v>
      </c>
      <c r="H78">
        <f>AVERAGE(1030.184,1030.176)</f>
        <v>1030.1799999999998</v>
      </c>
      <c r="I78">
        <f t="shared" si="21"/>
        <v>38.000999999999749</v>
      </c>
      <c r="J78">
        <f t="shared" si="22"/>
        <v>1.4219999999997484</v>
      </c>
      <c r="K78">
        <f t="shared" si="23"/>
        <v>40.628571428564236</v>
      </c>
    </row>
    <row r="79" spans="1:11" x14ac:dyDescent="0.25">
      <c r="A79" s="1">
        <v>42564</v>
      </c>
      <c r="B79" s="2">
        <v>6</v>
      </c>
      <c r="C79">
        <v>35</v>
      </c>
      <c r="D79" t="s">
        <v>3</v>
      </c>
      <c r="E79">
        <v>37.154000000000003</v>
      </c>
      <c r="F79" t="s">
        <v>91</v>
      </c>
      <c r="G79">
        <f>AVERAGE(999.567,999.617)</f>
        <v>999.59199999999998</v>
      </c>
      <c r="H79">
        <f>AVERAGE(1038.192,1038.192)</f>
        <v>1038.192</v>
      </c>
      <c r="I79">
        <f t="shared" si="21"/>
        <v>38.600000000000023</v>
      </c>
      <c r="J79">
        <f t="shared" si="22"/>
        <v>1.4460000000000193</v>
      </c>
      <c r="K79">
        <f t="shared" si="23"/>
        <v>41.314285714286264</v>
      </c>
    </row>
    <row r="80" spans="1:11" x14ac:dyDescent="0.25">
      <c r="A80" s="1">
        <v>42571</v>
      </c>
      <c r="B80" s="2">
        <v>1</v>
      </c>
      <c r="C80">
        <v>45</v>
      </c>
      <c r="D80" t="s">
        <v>3</v>
      </c>
      <c r="E80">
        <v>37.06</v>
      </c>
      <c r="F80" t="s">
        <v>80</v>
      </c>
      <c r="G80">
        <f>AVERAGE(1009.025,1009.005)</f>
        <v>1009.015</v>
      </c>
      <c r="H80">
        <f>AVERAGE(1048.027,1048.024)</f>
        <v>1048.0255</v>
      </c>
      <c r="I80">
        <f t="shared" ref="I80:I85" si="24">H80-G80</f>
        <v>39.010499999999979</v>
      </c>
      <c r="J80">
        <f t="shared" ref="J80:J85" si="25">I80-E80</f>
        <v>1.9504999999999768</v>
      </c>
      <c r="K80">
        <f t="shared" ref="K80:K85" si="26">J80/(C80/1000)</f>
        <v>43.34444444444393</v>
      </c>
    </row>
    <row r="81" spans="1:11" x14ac:dyDescent="0.25">
      <c r="A81" s="1">
        <v>42571</v>
      </c>
      <c r="B81" s="2">
        <v>2</v>
      </c>
      <c r="C81">
        <v>45</v>
      </c>
      <c r="D81" t="s">
        <v>3</v>
      </c>
      <c r="E81">
        <v>36.688000000000002</v>
      </c>
      <c r="F81" t="s">
        <v>81</v>
      </c>
      <c r="G81">
        <f>AVERAGE(1001.833,1001.848)</f>
        <v>1001.8405</v>
      </c>
      <c r="H81">
        <f>AVERAGE(1040.307,1040.31)</f>
        <v>1040.3085000000001</v>
      </c>
      <c r="I81">
        <f t="shared" si="24"/>
        <v>38.468000000000075</v>
      </c>
      <c r="J81">
        <f t="shared" si="25"/>
        <v>1.7800000000000722</v>
      </c>
      <c r="K81">
        <f t="shared" si="26"/>
        <v>39.555555555557163</v>
      </c>
    </row>
    <row r="82" spans="1:11" x14ac:dyDescent="0.25">
      <c r="A82" s="1">
        <v>42571</v>
      </c>
      <c r="B82" s="2">
        <v>3</v>
      </c>
      <c r="C82">
        <v>45</v>
      </c>
      <c r="D82" t="s">
        <v>3</v>
      </c>
      <c r="E82">
        <v>36.880000000000003</v>
      </c>
      <c r="F82" t="s">
        <v>82</v>
      </c>
      <c r="G82">
        <f>AVERAGE(994.138,994.156)</f>
        <v>994.14699999999993</v>
      </c>
      <c r="H82">
        <f>AVERAGE(1032.856,1032.852)</f>
        <v>1032.854</v>
      </c>
      <c r="I82">
        <f t="shared" si="24"/>
        <v>38.707000000000107</v>
      </c>
      <c r="J82">
        <f t="shared" si="25"/>
        <v>1.8270000000001048</v>
      </c>
      <c r="K82">
        <f t="shared" si="26"/>
        <v>40.600000000002332</v>
      </c>
    </row>
    <row r="83" spans="1:11" x14ac:dyDescent="0.25">
      <c r="A83" s="1">
        <v>42571</v>
      </c>
      <c r="B83" s="2">
        <v>4</v>
      </c>
      <c r="C83">
        <v>45</v>
      </c>
      <c r="D83" t="s">
        <v>3</v>
      </c>
      <c r="E83">
        <v>36.686999999999998</v>
      </c>
      <c r="F83" t="s">
        <v>83</v>
      </c>
      <c r="G83">
        <f>AVERAGE(996.466,996.465)</f>
        <v>996.46550000000002</v>
      </c>
      <c r="H83">
        <f>AVERAGE(1035.019,1035.017)</f>
        <v>1035.018</v>
      </c>
      <c r="I83">
        <f t="shared" si="24"/>
        <v>38.552500000000009</v>
      </c>
      <c r="J83">
        <f t="shared" si="25"/>
        <v>1.8655000000000115</v>
      </c>
      <c r="K83">
        <f t="shared" si="26"/>
        <v>41.455555555555812</v>
      </c>
    </row>
    <row r="84" spans="1:11" x14ac:dyDescent="0.25">
      <c r="A84" s="1">
        <v>42571</v>
      </c>
      <c r="B84" s="2">
        <v>5</v>
      </c>
      <c r="C84">
        <v>45</v>
      </c>
      <c r="D84" t="s">
        <v>3</v>
      </c>
      <c r="E84">
        <v>36.796999999999997</v>
      </c>
      <c r="F84" t="s">
        <v>84</v>
      </c>
      <c r="G84">
        <f>AVERAGE(1009.651,1009.659)</f>
        <v>1009.655</v>
      </c>
      <c r="H84">
        <f>AVERAGE(1048.385,1048.383)</f>
        <v>1048.384</v>
      </c>
      <c r="I84">
        <f t="shared" si="24"/>
        <v>38.729000000000042</v>
      </c>
      <c r="J84">
        <f t="shared" si="25"/>
        <v>1.9320000000000448</v>
      </c>
      <c r="K84">
        <f t="shared" si="26"/>
        <v>42.933333333334332</v>
      </c>
    </row>
    <row r="85" spans="1:11" x14ac:dyDescent="0.25">
      <c r="A85" s="1">
        <v>42571</v>
      </c>
      <c r="B85" s="2">
        <v>6</v>
      </c>
      <c r="C85">
        <v>45</v>
      </c>
      <c r="D85" t="s">
        <v>3</v>
      </c>
      <c r="E85">
        <v>37.433999999999997</v>
      </c>
      <c r="F85" t="s">
        <v>85</v>
      </c>
      <c r="G85">
        <f>AVERAGE(993.553,993.521)</f>
        <v>993.53700000000003</v>
      </c>
      <c r="H85">
        <f>AVERAGE(1032.831,1032.833)</f>
        <v>1032.8319999999999</v>
      </c>
      <c r="I85">
        <f t="shared" si="24"/>
        <v>39.294999999999845</v>
      </c>
      <c r="J85">
        <f t="shared" si="25"/>
        <v>1.8609999999998479</v>
      </c>
      <c r="K85">
        <f t="shared" si="26"/>
        <v>41.355555555552179</v>
      </c>
    </row>
    <row r="86" spans="1:11" x14ac:dyDescent="0.25">
      <c r="A86" s="1">
        <v>42578</v>
      </c>
      <c r="B86" s="2">
        <v>1</v>
      </c>
      <c r="C86">
        <v>50</v>
      </c>
      <c r="D86" t="s">
        <v>3</v>
      </c>
      <c r="E86">
        <v>37.889000000000003</v>
      </c>
      <c r="F86" t="s">
        <v>74</v>
      </c>
      <c r="G86">
        <v>991.41499999999996</v>
      </c>
      <c r="H86">
        <f>AVERAGE(1030.415,1030.569)</f>
        <v>1030.492</v>
      </c>
      <c r="I86">
        <f t="shared" ref="I86:I103" si="27">H86-G86</f>
        <v>39.076999999999998</v>
      </c>
      <c r="J86">
        <f t="shared" ref="J86:J103" si="28">I86-E86</f>
        <v>1.1879999999999953</v>
      </c>
      <c r="K86">
        <f t="shared" ref="K86:K103" si="29">J86/(C86/1000)</f>
        <v>23.759999999999906</v>
      </c>
    </row>
    <row r="87" spans="1:11" x14ac:dyDescent="0.25">
      <c r="A87" s="1">
        <v>42578</v>
      </c>
      <c r="B87" s="2">
        <v>2</v>
      </c>
      <c r="C87">
        <v>50</v>
      </c>
      <c r="D87" t="s">
        <v>3</v>
      </c>
      <c r="E87">
        <v>37.151000000000003</v>
      </c>
      <c r="F87" t="s">
        <v>75</v>
      </c>
      <c r="G87">
        <v>989.33500000000004</v>
      </c>
      <c r="H87">
        <f>AVERAGE(1027.839,1027.789)</f>
        <v>1027.8139999999999</v>
      </c>
      <c r="I87">
        <f t="shared" si="27"/>
        <v>38.478999999999814</v>
      </c>
      <c r="J87">
        <f t="shared" si="28"/>
        <v>1.3279999999998111</v>
      </c>
      <c r="K87">
        <f t="shared" si="29"/>
        <v>26.559999999996222</v>
      </c>
    </row>
    <row r="88" spans="1:11" x14ac:dyDescent="0.25">
      <c r="A88" s="1">
        <v>42578</v>
      </c>
      <c r="B88" s="2">
        <v>3</v>
      </c>
      <c r="C88">
        <v>50</v>
      </c>
      <c r="D88" t="s">
        <v>3</v>
      </c>
      <c r="E88">
        <v>37.594000000000001</v>
      </c>
      <c r="F88" t="s">
        <v>76</v>
      </c>
      <c r="G88">
        <v>997.41600000000005</v>
      </c>
      <c r="H88">
        <f>AVERAGE(1036.364,1036.258)</f>
        <v>1036.3110000000001</v>
      </c>
      <c r="I88">
        <f t="shared" si="27"/>
        <v>38.895000000000095</v>
      </c>
      <c r="J88">
        <f t="shared" si="28"/>
        <v>1.3010000000000943</v>
      </c>
      <c r="K88">
        <f t="shared" si="29"/>
        <v>26.020000000001886</v>
      </c>
    </row>
    <row r="89" spans="1:11" x14ac:dyDescent="0.25">
      <c r="A89" s="1">
        <v>42578</v>
      </c>
      <c r="B89" s="2">
        <v>4</v>
      </c>
      <c r="C89">
        <v>50</v>
      </c>
      <c r="D89" t="s">
        <v>3</v>
      </c>
      <c r="E89">
        <v>37.24</v>
      </c>
      <c r="F89" t="s">
        <v>77</v>
      </c>
      <c r="G89">
        <v>998.31100000000004</v>
      </c>
      <c r="H89">
        <f>AVERAGE(1036.924,1036.896)</f>
        <v>1036.9099999999999</v>
      </c>
      <c r="I89">
        <f t="shared" si="27"/>
        <v>38.598999999999819</v>
      </c>
      <c r="J89">
        <f t="shared" si="28"/>
        <v>1.358999999999817</v>
      </c>
      <c r="K89">
        <f t="shared" si="29"/>
        <v>27.17999999999634</v>
      </c>
    </row>
    <row r="90" spans="1:11" x14ac:dyDescent="0.25">
      <c r="A90" s="1">
        <v>42578</v>
      </c>
      <c r="B90" s="2">
        <v>5</v>
      </c>
      <c r="C90">
        <v>50</v>
      </c>
      <c r="D90" t="s">
        <v>3</v>
      </c>
      <c r="E90">
        <v>37.494</v>
      </c>
      <c r="F90" t="s">
        <v>78</v>
      </c>
      <c r="G90">
        <v>990.92</v>
      </c>
      <c r="H90">
        <f>AVERAGE(1029.695,1029.652)</f>
        <v>1029.6734999999999</v>
      </c>
      <c r="I90">
        <f t="shared" si="27"/>
        <v>38.753499999999917</v>
      </c>
      <c r="J90">
        <f t="shared" si="28"/>
        <v>1.2594999999999175</v>
      </c>
      <c r="K90">
        <f t="shared" si="29"/>
        <v>25.189999999998349</v>
      </c>
    </row>
    <row r="91" spans="1:11" x14ac:dyDescent="0.25">
      <c r="A91" s="1">
        <v>42578</v>
      </c>
      <c r="B91" s="2">
        <v>6</v>
      </c>
      <c r="C91">
        <v>50</v>
      </c>
      <c r="D91" t="s">
        <v>3</v>
      </c>
      <c r="E91">
        <v>37.622</v>
      </c>
      <c r="F91" t="s">
        <v>79</v>
      </c>
      <c r="G91">
        <v>1000.62</v>
      </c>
      <c r="H91">
        <f>AVERAGE(1039.555,1039.52)</f>
        <v>1039.5374999999999</v>
      </c>
      <c r="I91">
        <f t="shared" si="27"/>
        <v>38.917499999999905</v>
      </c>
      <c r="J91">
        <f t="shared" si="28"/>
        <v>1.2954999999999046</v>
      </c>
      <c r="K91">
        <f t="shared" si="29"/>
        <v>25.909999999998092</v>
      </c>
    </row>
    <row r="92" spans="1:11" x14ac:dyDescent="0.25">
      <c r="A92" s="1">
        <v>42585</v>
      </c>
      <c r="B92" s="2">
        <v>1</v>
      </c>
      <c r="C92">
        <v>50</v>
      </c>
      <c r="D92" t="s">
        <v>3</v>
      </c>
      <c r="E92">
        <v>37.978999999999999</v>
      </c>
      <c r="F92" t="s">
        <v>68</v>
      </c>
      <c r="G92">
        <v>993.90599999999995</v>
      </c>
      <c r="H92">
        <f>AVERAGE(1033.336,1033.17)</f>
        <v>1033.2530000000002</v>
      </c>
      <c r="I92">
        <f t="shared" si="27"/>
        <v>39.347000000000207</v>
      </c>
      <c r="J92">
        <f t="shared" si="28"/>
        <v>1.3680000000002082</v>
      </c>
      <c r="K92">
        <f t="shared" si="29"/>
        <v>27.360000000004163</v>
      </c>
    </row>
    <row r="93" spans="1:11" x14ac:dyDescent="0.25">
      <c r="A93" s="1">
        <v>42585</v>
      </c>
      <c r="B93" s="2">
        <v>2</v>
      </c>
      <c r="C93">
        <v>50</v>
      </c>
      <c r="D93" t="s">
        <v>3</v>
      </c>
      <c r="E93">
        <v>38.204999999999998</v>
      </c>
      <c r="F93" t="s">
        <v>69</v>
      </c>
      <c r="G93">
        <v>991.71299999999997</v>
      </c>
      <c r="H93">
        <f>AVERAGE(1031.532,1031.486)</f>
        <v>1031.509</v>
      </c>
      <c r="I93">
        <f t="shared" si="27"/>
        <v>39.796000000000049</v>
      </c>
      <c r="J93">
        <f t="shared" si="28"/>
        <v>1.5910000000000508</v>
      </c>
      <c r="K93">
        <f t="shared" si="29"/>
        <v>31.820000000001016</v>
      </c>
    </row>
    <row r="94" spans="1:11" x14ac:dyDescent="0.25">
      <c r="A94" s="1">
        <v>42585</v>
      </c>
      <c r="B94" s="2">
        <v>3</v>
      </c>
      <c r="C94">
        <v>50</v>
      </c>
      <c r="D94" t="s">
        <v>3</v>
      </c>
      <c r="E94">
        <v>37.917999999999999</v>
      </c>
      <c r="F94" t="s">
        <v>70</v>
      </c>
      <c r="G94">
        <v>994.84799999999996</v>
      </c>
      <c r="H94">
        <f>AVERAGE(1034.398,1034.388)</f>
        <v>1034.393</v>
      </c>
      <c r="I94">
        <f t="shared" si="27"/>
        <v>39.545000000000073</v>
      </c>
      <c r="J94">
        <f t="shared" si="28"/>
        <v>1.6270000000000735</v>
      </c>
      <c r="K94">
        <f t="shared" si="29"/>
        <v>32.54000000000147</v>
      </c>
    </row>
    <row r="95" spans="1:11" x14ac:dyDescent="0.25">
      <c r="A95" s="1">
        <v>42585</v>
      </c>
      <c r="B95" s="2">
        <v>4</v>
      </c>
      <c r="C95">
        <v>50</v>
      </c>
      <c r="D95" t="s">
        <v>3</v>
      </c>
      <c r="E95">
        <v>38.322000000000003</v>
      </c>
      <c r="F95" t="s">
        <v>71</v>
      </c>
      <c r="G95">
        <v>994.50900000000001</v>
      </c>
      <c r="H95">
        <f>AVERAGE(1034.3,1034.287)</f>
        <v>1034.2935</v>
      </c>
      <c r="I95">
        <f t="shared" si="27"/>
        <v>39.78449999999998</v>
      </c>
      <c r="J95">
        <f t="shared" si="28"/>
        <v>1.4624999999999773</v>
      </c>
      <c r="K95">
        <f t="shared" si="29"/>
        <v>29.249999999999545</v>
      </c>
    </row>
    <row r="96" spans="1:11" x14ac:dyDescent="0.25">
      <c r="A96" s="1">
        <v>42585</v>
      </c>
      <c r="B96" s="2">
        <v>5</v>
      </c>
      <c r="C96">
        <v>50</v>
      </c>
      <c r="D96" t="s">
        <v>3</v>
      </c>
      <c r="E96">
        <v>38.226999999999997</v>
      </c>
      <c r="F96" t="s">
        <v>72</v>
      </c>
      <c r="G96">
        <v>992.58900000000006</v>
      </c>
      <c r="H96">
        <f>AVERAGE(1032.486,1032.452)</f>
        <v>1032.4690000000001</v>
      </c>
      <c r="I96">
        <f t="shared" si="27"/>
        <v>39.879999999999995</v>
      </c>
      <c r="J96">
        <f t="shared" si="28"/>
        <v>1.6529999999999987</v>
      </c>
      <c r="K96">
        <f t="shared" si="29"/>
        <v>33.059999999999974</v>
      </c>
    </row>
    <row r="97" spans="1:11" x14ac:dyDescent="0.25">
      <c r="A97" s="1">
        <v>42585</v>
      </c>
      <c r="B97" s="2">
        <v>6</v>
      </c>
      <c r="C97">
        <v>50</v>
      </c>
      <c r="D97" t="s">
        <v>3</v>
      </c>
      <c r="E97">
        <v>37.710999999999999</v>
      </c>
      <c r="F97" t="s">
        <v>73</v>
      </c>
      <c r="G97">
        <v>994.91300000000001</v>
      </c>
      <c r="H97">
        <f>AVERAGE(1034.412,1034.376)</f>
        <v>1034.394</v>
      </c>
      <c r="I97">
        <f t="shared" si="27"/>
        <v>39.480999999999995</v>
      </c>
      <c r="J97">
        <f t="shared" si="28"/>
        <v>1.769999999999996</v>
      </c>
      <c r="K97">
        <f t="shared" si="29"/>
        <v>35.39999999999992</v>
      </c>
    </row>
    <row r="98" spans="1:11" x14ac:dyDescent="0.25">
      <c r="A98" s="1">
        <v>42592</v>
      </c>
      <c r="B98" s="2">
        <v>1</v>
      </c>
      <c r="C98">
        <v>50</v>
      </c>
      <c r="D98" t="s">
        <v>3</v>
      </c>
      <c r="E98">
        <v>37.128999999999998</v>
      </c>
      <c r="F98" t="s">
        <v>62</v>
      </c>
      <c r="G98">
        <v>995.26400000000001</v>
      </c>
      <c r="H98">
        <f>AVERAGE(1034.227,1034.223)</f>
        <v>1034.2249999999999</v>
      </c>
      <c r="I98">
        <f t="shared" si="27"/>
        <v>38.960999999999899</v>
      </c>
      <c r="J98">
        <f t="shared" si="28"/>
        <v>1.8319999999999013</v>
      </c>
      <c r="K98">
        <f t="shared" si="29"/>
        <v>36.639999999998025</v>
      </c>
    </row>
    <row r="99" spans="1:11" x14ac:dyDescent="0.25">
      <c r="A99" s="1">
        <v>42592</v>
      </c>
      <c r="B99" s="2">
        <v>2</v>
      </c>
      <c r="C99">
        <v>50</v>
      </c>
      <c r="D99" t="s">
        <v>3</v>
      </c>
      <c r="E99">
        <v>37.71</v>
      </c>
      <c r="F99" t="s">
        <v>63</v>
      </c>
      <c r="G99">
        <v>995.03200000000004</v>
      </c>
      <c r="H99">
        <f>AVERAGE(1034.572,1034.574)</f>
        <v>1034.5729999999999</v>
      </c>
      <c r="I99">
        <f t="shared" si="27"/>
        <v>39.540999999999826</v>
      </c>
      <c r="J99">
        <f t="shared" si="28"/>
        <v>1.8309999999998254</v>
      </c>
      <c r="K99">
        <f t="shared" si="29"/>
        <v>36.619999999996509</v>
      </c>
    </row>
    <row r="100" spans="1:11" x14ac:dyDescent="0.25">
      <c r="A100" s="1">
        <v>42592</v>
      </c>
      <c r="B100" s="2">
        <v>3</v>
      </c>
      <c r="C100">
        <v>50</v>
      </c>
      <c r="D100" t="s">
        <v>3</v>
      </c>
      <c r="E100">
        <v>37.892000000000003</v>
      </c>
      <c r="F100" t="s">
        <v>64</v>
      </c>
      <c r="G100">
        <v>994.38199999999995</v>
      </c>
      <c r="H100">
        <f>AVERAGE(1034.081,1034.086)</f>
        <v>1034.0835</v>
      </c>
      <c r="I100">
        <f t="shared" si="27"/>
        <v>39.70150000000001</v>
      </c>
      <c r="J100">
        <f t="shared" si="28"/>
        <v>1.809500000000007</v>
      </c>
      <c r="K100">
        <f t="shared" si="29"/>
        <v>36.19000000000014</v>
      </c>
    </row>
    <row r="101" spans="1:11" x14ac:dyDescent="0.25">
      <c r="A101" s="1">
        <v>42592</v>
      </c>
      <c r="B101" s="2">
        <v>4</v>
      </c>
      <c r="C101">
        <v>50</v>
      </c>
      <c r="D101" t="s">
        <v>3</v>
      </c>
      <c r="E101">
        <v>38.482999999999997</v>
      </c>
      <c r="F101" t="s">
        <v>65</v>
      </c>
      <c r="G101">
        <v>996.29499999999996</v>
      </c>
      <c r="H101">
        <f>AVERAGE(1036.552,1036.567)</f>
        <v>1036.5594999999998</v>
      </c>
      <c r="I101">
        <f t="shared" si="27"/>
        <v>40.264499999999884</v>
      </c>
      <c r="J101">
        <f t="shared" si="28"/>
        <v>1.7814999999998875</v>
      </c>
      <c r="K101">
        <f t="shared" si="29"/>
        <v>35.62999999999775</v>
      </c>
    </row>
    <row r="102" spans="1:11" x14ac:dyDescent="0.25">
      <c r="A102" s="1">
        <v>42592</v>
      </c>
      <c r="B102" s="2">
        <v>5</v>
      </c>
      <c r="C102">
        <v>50</v>
      </c>
      <c r="D102" t="s">
        <v>3</v>
      </c>
      <c r="E102">
        <v>37.22</v>
      </c>
      <c r="F102" t="s">
        <v>66</v>
      </c>
      <c r="G102">
        <v>998.81200000000001</v>
      </c>
      <c r="H102">
        <f>AVERAGE(1037.944,1037.941)</f>
        <v>1037.9425000000001</v>
      </c>
      <c r="I102">
        <f t="shared" si="27"/>
        <v>39.130500000000097</v>
      </c>
      <c r="J102">
        <f t="shared" si="28"/>
        <v>1.9105000000000985</v>
      </c>
      <c r="K102">
        <f t="shared" si="29"/>
        <v>38.210000000001969</v>
      </c>
    </row>
    <row r="103" spans="1:11" x14ac:dyDescent="0.25">
      <c r="A103" s="1">
        <v>42592</v>
      </c>
      <c r="B103" s="2">
        <v>6</v>
      </c>
      <c r="C103">
        <v>50</v>
      </c>
      <c r="D103" t="s">
        <v>3</v>
      </c>
      <c r="E103">
        <v>37.789000000000001</v>
      </c>
      <c r="F103" t="s">
        <v>67</v>
      </c>
      <c r="G103">
        <v>992.57100000000003</v>
      </c>
      <c r="H103">
        <f>AVERAGE(1032.292,1032.327)</f>
        <v>1032.3094999999998</v>
      </c>
      <c r="I103">
        <f t="shared" si="27"/>
        <v>39.738499999999817</v>
      </c>
      <c r="J103">
        <f t="shared" si="28"/>
        <v>1.9494999999998157</v>
      </c>
      <c r="K103">
        <f t="shared" si="29"/>
        <v>38.989999999996314</v>
      </c>
    </row>
    <row r="104" spans="1:11" x14ac:dyDescent="0.25">
      <c r="A104" s="1">
        <v>42599</v>
      </c>
      <c r="B104" s="2">
        <v>1</v>
      </c>
      <c r="C104">
        <v>50</v>
      </c>
      <c r="D104" t="s">
        <v>3</v>
      </c>
      <c r="E104">
        <v>37.418999999999997</v>
      </c>
      <c r="F104" t="s">
        <v>56</v>
      </c>
      <c r="G104">
        <v>998.15099999999995</v>
      </c>
      <c r="H104">
        <f>AVERAGE(1037.556,1037.569)</f>
        <v>1037.5625</v>
      </c>
      <c r="I104">
        <f>H104-G104</f>
        <v>39.411500000000046</v>
      </c>
      <c r="J104">
        <f t="shared" ref="J104" si="30">I104-E104</f>
        <v>1.9925000000000495</v>
      </c>
      <c r="K104">
        <f t="shared" ref="K104" si="31">J104/(C104/1000)</f>
        <v>39.850000000000989</v>
      </c>
    </row>
    <row r="105" spans="1:11" x14ac:dyDescent="0.25">
      <c r="A105" s="1">
        <v>42599</v>
      </c>
      <c r="B105" s="2">
        <v>2</v>
      </c>
      <c r="C105">
        <v>50</v>
      </c>
      <c r="D105" t="s">
        <v>3</v>
      </c>
      <c r="E105">
        <v>37.997999999999998</v>
      </c>
      <c r="F105" t="s">
        <v>57</v>
      </c>
      <c r="G105">
        <v>997.83399999999995</v>
      </c>
      <c r="H105">
        <f>AVERAGE(1038.075,1038.08)</f>
        <v>1038.0774999999999</v>
      </c>
      <c r="I105">
        <f t="shared" ref="I105:I109" si="32">H105-G105</f>
        <v>40.243499999999926</v>
      </c>
      <c r="J105">
        <f t="shared" ref="J105:J109" si="33">I105-E105</f>
        <v>2.2454999999999288</v>
      </c>
      <c r="K105">
        <f t="shared" ref="K105:K109" si="34">J105/(C105/1000)</f>
        <v>44.909999999998576</v>
      </c>
    </row>
    <row r="106" spans="1:11" x14ac:dyDescent="0.25">
      <c r="A106" s="1">
        <v>42599</v>
      </c>
      <c r="B106" s="2">
        <v>3</v>
      </c>
      <c r="C106">
        <v>50</v>
      </c>
      <c r="D106" t="s">
        <v>3</v>
      </c>
      <c r="E106">
        <v>38.055</v>
      </c>
      <c r="F106" t="s">
        <v>58</v>
      </c>
      <c r="G106">
        <v>992.44500000000005</v>
      </c>
      <c r="H106">
        <f>AVERAGE(1032.555,1032.567)</f>
        <v>1032.5610000000001</v>
      </c>
      <c r="I106">
        <f t="shared" si="32"/>
        <v>40.116000000000099</v>
      </c>
      <c r="J106">
        <f t="shared" si="33"/>
        <v>2.0610000000000994</v>
      </c>
      <c r="K106">
        <f t="shared" si="34"/>
        <v>41.220000000001988</v>
      </c>
    </row>
    <row r="107" spans="1:11" x14ac:dyDescent="0.25">
      <c r="A107" s="1">
        <v>42599</v>
      </c>
      <c r="B107" s="2">
        <v>4</v>
      </c>
      <c r="C107">
        <v>50</v>
      </c>
      <c r="D107" t="s">
        <v>3</v>
      </c>
      <c r="E107">
        <v>38.122</v>
      </c>
      <c r="F107" t="s">
        <v>59</v>
      </c>
      <c r="G107">
        <v>1012.852</v>
      </c>
      <c r="H107">
        <f>AVERAGE(1053.227,1053.214)</f>
        <v>1053.2204999999999</v>
      </c>
      <c r="I107">
        <f t="shared" si="32"/>
        <v>40.368499999999926</v>
      </c>
      <c r="J107">
        <f t="shared" si="33"/>
        <v>2.2464999999999264</v>
      </c>
      <c r="K107">
        <f t="shared" si="34"/>
        <v>44.929999999998529</v>
      </c>
    </row>
    <row r="108" spans="1:11" x14ac:dyDescent="0.25">
      <c r="A108" s="1">
        <v>42599</v>
      </c>
      <c r="B108" s="2">
        <v>5</v>
      </c>
      <c r="C108">
        <v>50</v>
      </c>
      <c r="D108" t="s">
        <v>3</v>
      </c>
      <c r="E108">
        <v>37.085000000000001</v>
      </c>
      <c r="F108" t="s">
        <v>60</v>
      </c>
      <c r="G108">
        <v>996.98599999999999</v>
      </c>
      <c r="H108">
        <f>AVERAGE(1036.334,1036.311)</f>
        <v>1036.3225</v>
      </c>
      <c r="I108">
        <f t="shared" si="32"/>
        <v>39.336500000000001</v>
      </c>
      <c r="J108">
        <f t="shared" si="33"/>
        <v>2.2515000000000001</v>
      </c>
      <c r="K108">
        <f t="shared" si="34"/>
        <v>45.03</v>
      </c>
    </row>
    <row r="109" spans="1:11" x14ac:dyDescent="0.25">
      <c r="A109" s="1">
        <v>42599</v>
      </c>
      <c r="B109" s="2">
        <v>6</v>
      </c>
      <c r="C109">
        <v>50</v>
      </c>
      <c r="D109" t="s">
        <v>3</v>
      </c>
      <c r="E109">
        <v>37.494</v>
      </c>
      <c r="F109" t="s">
        <v>61</v>
      </c>
      <c r="G109">
        <v>992.17200000000003</v>
      </c>
      <c r="H109">
        <f>AVERAGE(1031.797,1031.82)</f>
        <v>1031.8085000000001</v>
      </c>
      <c r="I109">
        <f t="shared" si="32"/>
        <v>39.636500000000069</v>
      </c>
      <c r="J109">
        <f t="shared" si="33"/>
        <v>2.1425000000000693</v>
      </c>
      <c r="K109">
        <f t="shared" si="34"/>
        <v>42.850000000001387</v>
      </c>
    </row>
    <row r="110" spans="1:11" x14ac:dyDescent="0.25">
      <c r="A110" s="1">
        <v>42606</v>
      </c>
      <c r="B110" s="2">
        <v>1</v>
      </c>
      <c r="C110">
        <v>50</v>
      </c>
      <c r="D110" t="s">
        <v>3</v>
      </c>
      <c r="E110">
        <v>37.856000000000002</v>
      </c>
      <c r="F110" t="s">
        <v>144</v>
      </c>
      <c r="G110">
        <f>AVERAGE(1000.699,1000.68)</f>
        <v>1000.6895</v>
      </c>
      <c r="H110">
        <f>AVERAGE(1040.244,1040.263)</f>
        <v>1040.2534999999998</v>
      </c>
      <c r="I110">
        <f t="shared" ref="I110:I115" si="35">H110-G110</f>
        <v>39.563999999999851</v>
      </c>
      <c r="J110">
        <f t="shared" ref="J110:J115" si="36">I110-E110</f>
        <v>1.7079999999998492</v>
      </c>
      <c r="K110">
        <f t="shared" ref="K110:K115" si="37">J110/(C110/1000)</f>
        <v>34.159999999996984</v>
      </c>
    </row>
    <row r="111" spans="1:11" x14ac:dyDescent="0.25">
      <c r="A111" s="1">
        <v>42606</v>
      </c>
      <c r="B111" s="2">
        <v>2</v>
      </c>
      <c r="C111">
        <v>50</v>
      </c>
      <c r="D111" t="s">
        <v>3</v>
      </c>
      <c r="E111">
        <v>37.435000000000002</v>
      </c>
      <c r="F111" t="s">
        <v>145</v>
      </c>
      <c r="G111">
        <f>AVERAGE(995.653,995.633)</f>
        <v>995.64300000000003</v>
      </c>
      <c r="H111">
        <f>AVERAGE(1034.889,1034.891)</f>
        <v>1034.8899999999999</v>
      </c>
      <c r="I111">
        <f t="shared" si="35"/>
        <v>39.246999999999844</v>
      </c>
      <c r="J111">
        <f t="shared" si="36"/>
        <v>1.8119999999998413</v>
      </c>
      <c r="K111">
        <f t="shared" si="37"/>
        <v>36.239999999996826</v>
      </c>
    </row>
    <row r="112" spans="1:11" x14ac:dyDescent="0.25">
      <c r="A112" s="1">
        <v>42606</v>
      </c>
      <c r="B112" s="2">
        <v>3</v>
      </c>
      <c r="C112">
        <v>50</v>
      </c>
      <c r="D112" t="s">
        <v>3</v>
      </c>
      <c r="E112">
        <v>38.595999999999997</v>
      </c>
      <c r="F112" t="s">
        <v>146</v>
      </c>
      <c r="G112">
        <f>AVERAGE(995.579,995.569)</f>
        <v>995.57399999999996</v>
      </c>
      <c r="H112">
        <f>AVERAGE(1036,1036.005)</f>
        <v>1036.0025000000001</v>
      </c>
      <c r="I112">
        <f t="shared" si="35"/>
        <v>40.428500000000099</v>
      </c>
      <c r="J112">
        <f t="shared" si="36"/>
        <v>1.8325000000001026</v>
      </c>
      <c r="K112">
        <f t="shared" si="37"/>
        <v>36.650000000002052</v>
      </c>
    </row>
    <row r="113" spans="1:11" x14ac:dyDescent="0.25">
      <c r="A113" s="1">
        <v>42606</v>
      </c>
      <c r="B113" s="2">
        <v>4</v>
      </c>
      <c r="C113">
        <v>50</v>
      </c>
      <c r="D113" t="s">
        <v>3</v>
      </c>
      <c r="E113">
        <v>38.191000000000003</v>
      </c>
      <c r="F113" t="s">
        <v>147</v>
      </c>
      <c r="G113">
        <f>AVERAGE(994.639,994.658)</f>
        <v>994.64850000000001</v>
      </c>
      <c r="H113">
        <f>AVERAGE(1034.634,1034.635)</f>
        <v>1034.6345000000001</v>
      </c>
      <c r="I113">
        <f t="shared" si="35"/>
        <v>39.986000000000104</v>
      </c>
      <c r="J113">
        <f t="shared" si="36"/>
        <v>1.7950000000001012</v>
      </c>
      <c r="K113">
        <f t="shared" si="37"/>
        <v>35.900000000002024</v>
      </c>
    </row>
    <row r="114" spans="1:11" x14ac:dyDescent="0.25">
      <c r="A114" s="1">
        <v>42606</v>
      </c>
      <c r="B114" s="2">
        <v>5</v>
      </c>
      <c r="C114">
        <v>50</v>
      </c>
      <c r="D114" t="s">
        <v>3</v>
      </c>
      <c r="E114">
        <v>38.097999999999999</v>
      </c>
      <c r="F114" t="s">
        <v>148</v>
      </c>
      <c r="G114">
        <f>AVERAGE(998.302,998.316)</f>
        <v>998.30899999999997</v>
      </c>
      <c r="H114">
        <f>AVERAGE(1038.147,1038.163)</f>
        <v>1038.155</v>
      </c>
      <c r="I114">
        <f t="shared" si="35"/>
        <v>39.846000000000004</v>
      </c>
      <c r="J114">
        <f t="shared" si="36"/>
        <v>1.7480000000000047</v>
      </c>
      <c r="K114">
        <f t="shared" si="37"/>
        <v>34.960000000000093</v>
      </c>
    </row>
    <row r="115" spans="1:11" x14ac:dyDescent="0.25">
      <c r="A115" s="1">
        <v>42606</v>
      </c>
      <c r="B115" s="2">
        <v>6</v>
      </c>
      <c r="C115">
        <v>50</v>
      </c>
      <c r="D115" t="s">
        <v>3</v>
      </c>
      <c r="E115">
        <v>37.875</v>
      </c>
      <c r="F115" t="s">
        <v>149</v>
      </c>
      <c r="G115">
        <f>AVERAGE(1001.211,1001.197)</f>
        <v>1001.204</v>
      </c>
      <c r="H115">
        <f>AVERAGE(1040.825,1040.825)</f>
        <v>1040.825</v>
      </c>
      <c r="I115">
        <f t="shared" si="35"/>
        <v>39.621000000000095</v>
      </c>
      <c r="J115">
        <f t="shared" si="36"/>
        <v>1.7460000000000946</v>
      </c>
      <c r="K115">
        <f t="shared" si="37"/>
        <v>34.920000000001892</v>
      </c>
    </row>
    <row r="116" spans="1:11" x14ac:dyDescent="0.25">
      <c r="A116" s="1">
        <v>42613</v>
      </c>
      <c r="B116" s="2">
        <v>1</v>
      </c>
      <c r="C116">
        <v>40</v>
      </c>
      <c r="D116" t="s">
        <v>3</v>
      </c>
      <c r="E116">
        <v>37.554000000000002</v>
      </c>
      <c r="F116" t="s">
        <v>150</v>
      </c>
      <c r="G116">
        <f>AVERAGE(1010.463,1010.444)</f>
        <v>1010.4535</v>
      </c>
      <c r="H116">
        <f>AVERAGE(1049.309,1049.309)</f>
        <v>1049.309</v>
      </c>
      <c r="I116">
        <f t="shared" ref="I116:I121" si="38">H116-G116</f>
        <v>38.855500000000006</v>
      </c>
      <c r="J116">
        <f t="shared" ref="J116:J121" si="39">I116-E116</f>
        <v>1.3015000000000043</v>
      </c>
      <c r="K116">
        <f t="shared" ref="K116:K121" si="40">J116/(C116/1000)</f>
        <v>32.537500000000108</v>
      </c>
    </row>
    <row r="117" spans="1:11" x14ac:dyDescent="0.25">
      <c r="A117" s="1">
        <v>42613</v>
      </c>
      <c r="B117" s="2">
        <v>2</v>
      </c>
      <c r="C117">
        <v>40</v>
      </c>
      <c r="D117" t="s">
        <v>3</v>
      </c>
      <c r="E117">
        <v>37.820999999999998</v>
      </c>
      <c r="F117" t="s">
        <v>151</v>
      </c>
      <c r="G117">
        <f>AVERAGE(994.861,994.806)</f>
        <v>994.83349999999996</v>
      </c>
      <c r="H117">
        <f>AVERAGE(1033.972,1033.974)</f>
        <v>1033.973</v>
      </c>
      <c r="I117">
        <f t="shared" si="38"/>
        <v>39.139499999999998</v>
      </c>
      <c r="J117">
        <f t="shared" si="39"/>
        <v>1.3185000000000002</v>
      </c>
      <c r="K117">
        <f t="shared" si="40"/>
        <v>32.962500000000006</v>
      </c>
    </row>
    <row r="118" spans="1:11" x14ac:dyDescent="0.25">
      <c r="A118" s="1">
        <v>42613</v>
      </c>
      <c r="B118" s="2">
        <v>3</v>
      </c>
      <c r="C118">
        <v>40</v>
      </c>
      <c r="D118" t="s">
        <v>3</v>
      </c>
      <c r="E118">
        <v>37.183</v>
      </c>
      <c r="F118" t="s">
        <v>152</v>
      </c>
      <c r="G118">
        <f>AVERAGE(1011.21,1011.202)</f>
        <v>1011.206</v>
      </c>
      <c r="H118">
        <f>AVERAGE(1049.67,1049.669)</f>
        <v>1049.6695</v>
      </c>
      <c r="I118">
        <f t="shared" si="38"/>
        <v>38.463499999999954</v>
      </c>
      <c r="J118">
        <f t="shared" si="39"/>
        <v>1.2804999999999538</v>
      </c>
      <c r="K118">
        <f t="shared" si="40"/>
        <v>32.012499999998845</v>
      </c>
    </row>
    <row r="119" spans="1:11" x14ac:dyDescent="0.25">
      <c r="A119" s="1">
        <v>42613</v>
      </c>
      <c r="B119" s="2">
        <v>4</v>
      </c>
      <c r="C119">
        <v>40</v>
      </c>
      <c r="D119" t="s">
        <v>3</v>
      </c>
      <c r="E119">
        <v>37.484000000000002</v>
      </c>
      <c r="F119" t="s">
        <v>153</v>
      </c>
      <c r="G119">
        <f>AVERAGE(993.56,993.552)</f>
        <v>993.55600000000004</v>
      </c>
      <c r="H119">
        <f>AVERAGE(1032.327,1032.333)</f>
        <v>1032.33</v>
      </c>
      <c r="I119">
        <f t="shared" si="38"/>
        <v>38.773999999999887</v>
      </c>
      <c r="J119">
        <f t="shared" si="39"/>
        <v>1.2899999999998855</v>
      </c>
      <c r="K119">
        <f t="shared" si="40"/>
        <v>32.249999999997137</v>
      </c>
    </row>
    <row r="120" spans="1:11" x14ac:dyDescent="0.25">
      <c r="A120" s="1">
        <v>42613</v>
      </c>
      <c r="B120" s="2">
        <v>5</v>
      </c>
      <c r="C120">
        <v>40</v>
      </c>
      <c r="D120" t="s">
        <v>3</v>
      </c>
      <c r="E120">
        <v>37.24</v>
      </c>
      <c r="F120" t="s">
        <v>154</v>
      </c>
      <c r="G120">
        <f>AVERAGE(997.292,997.298)</f>
        <v>997.29500000000007</v>
      </c>
      <c r="H120">
        <f>AVERAGE(1035.737,1035.745)</f>
        <v>1035.741</v>
      </c>
      <c r="I120">
        <f t="shared" si="38"/>
        <v>38.445999999999913</v>
      </c>
      <c r="J120">
        <f t="shared" si="39"/>
        <v>1.2059999999999107</v>
      </c>
      <c r="K120">
        <f t="shared" si="40"/>
        <v>30.149999999997767</v>
      </c>
    </row>
    <row r="121" spans="1:11" x14ac:dyDescent="0.25">
      <c r="A121" s="1">
        <v>42613</v>
      </c>
      <c r="B121" s="2">
        <v>6</v>
      </c>
      <c r="C121">
        <v>40</v>
      </c>
      <c r="D121" t="s">
        <v>3</v>
      </c>
      <c r="E121">
        <v>37.972000000000001</v>
      </c>
      <c r="F121" t="s">
        <v>155</v>
      </c>
      <c r="G121">
        <f>AVERAGE(1010.659,1010.677)</f>
        <v>1010.668</v>
      </c>
      <c r="H121">
        <f>AVERAGE(1049.901,1049.888)</f>
        <v>1049.8944999999999</v>
      </c>
      <c r="I121">
        <f t="shared" si="38"/>
        <v>39.226499999999874</v>
      </c>
      <c r="J121">
        <f t="shared" si="39"/>
        <v>1.2544999999998723</v>
      </c>
      <c r="K121">
        <f t="shared" si="40"/>
        <v>31.362499999996807</v>
      </c>
    </row>
    <row r="122" spans="1:11" x14ac:dyDescent="0.25">
      <c r="A122" s="1">
        <v>42620</v>
      </c>
      <c r="B122" s="2">
        <v>1</v>
      </c>
      <c r="C122">
        <v>40</v>
      </c>
      <c r="D122" t="s">
        <v>3</v>
      </c>
      <c r="E122">
        <f>AVERAGE(37.118,37.123)</f>
        <v>37.1205</v>
      </c>
      <c r="F122" t="s">
        <v>156</v>
      </c>
      <c r="G122">
        <f>AVERAGE(998.687,998.681)</f>
        <v>998.68399999999997</v>
      </c>
      <c r="H122">
        <f>AVERAGE(1037.719,1037.714)</f>
        <v>1037.7165</v>
      </c>
      <c r="I122">
        <f t="shared" ref="I122:I127" si="41">H122-G122</f>
        <v>39.032500000000027</v>
      </c>
      <c r="J122">
        <f t="shared" ref="J122:J127" si="42">I122-E122</f>
        <v>1.9120000000000275</v>
      </c>
      <c r="K122">
        <f t="shared" ref="K122:K127" si="43">J122/(C122/1000)</f>
        <v>47.800000000000686</v>
      </c>
    </row>
    <row r="123" spans="1:11" x14ac:dyDescent="0.25">
      <c r="A123" s="1">
        <v>42620</v>
      </c>
      <c r="B123" s="2">
        <v>2</v>
      </c>
      <c r="C123">
        <v>40</v>
      </c>
      <c r="D123" t="s">
        <v>3</v>
      </c>
      <c r="E123">
        <v>38.570999999999998</v>
      </c>
      <c r="F123" t="s">
        <v>157</v>
      </c>
      <c r="G123">
        <f>AVERAGE(997.359,997.338)</f>
        <v>997.34850000000006</v>
      </c>
      <c r="H123">
        <f>AVERAGE(1037.566,1037.564)</f>
        <v>1037.5650000000001</v>
      </c>
      <c r="I123">
        <f t="shared" si="41"/>
        <v>40.216499999999996</v>
      </c>
      <c r="J123">
        <f t="shared" si="42"/>
        <v>1.6454999999999984</v>
      </c>
      <c r="K123">
        <f t="shared" si="43"/>
        <v>41.13749999999996</v>
      </c>
    </row>
    <row r="124" spans="1:11" x14ac:dyDescent="0.25">
      <c r="A124" s="1">
        <v>42620</v>
      </c>
      <c r="B124" s="2">
        <v>3</v>
      </c>
      <c r="C124">
        <v>40</v>
      </c>
      <c r="D124" t="s">
        <v>3</v>
      </c>
      <c r="E124">
        <v>37.865000000000002</v>
      </c>
      <c r="F124" t="s">
        <v>158</v>
      </c>
      <c r="G124">
        <f>AVERAGE(995.58,995.566)</f>
        <v>995.57300000000009</v>
      </c>
      <c r="H124">
        <f>AVERAGE(1035.503,1035.499)</f>
        <v>1035.501</v>
      </c>
      <c r="I124">
        <f t="shared" si="41"/>
        <v>39.927999999999884</v>
      </c>
      <c r="J124">
        <f t="shared" si="42"/>
        <v>2.0629999999998816</v>
      </c>
      <c r="K124">
        <f t="shared" si="43"/>
        <v>51.57499999999704</v>
      </c>
    </row>
    <row r="125" spans="1:11" x14ac:dyDescent="0.25">
      <c r="A125" s="1">
        <v>42620</v>
      </c>
      <c r="B125" s="2">
        <v>4</v>
      </c>
      <c r="C125">
        <v>40</v>
      </c>
      <c r="D125" t="s">
        <v>3</v>
      </c>
      <c r="E125">
        <v>37.360999999999997</v>
      </c>
      <c r="F125" t="s">
        <v>159</v>
      </c>
      <c r="G125">
        <f>AVERAGE(996.795,996.722,996.749)</f>
        <v>996.75533333333317</v>
      </c>
      <c r="H125">
        <f>AVERAGE(1035.952,1035.952)</f>
        <v>1035.952</v>
      </c>
      <c r="I125">
        <f t="shared" si="41"/>
        <v>39.196666666666829</v>
      </c>
      <c r="J125">
        <f t="shared" si="42"/>
        <v>1.8356666666668318</v>
      </c>
      <c r="K125">
        <f t="shared" si="43"/>
        <v>45.891666666670794</v>
      </c>
    </row>
    <row r="126" spans="1:11" x14ac:dyDescent="0.25">
      <c r="A126" s="1">
        <v>42620</v>
      </c>
      <c r="B126" s="2">
        <v>5</v>
      </c>
      <c r="C126">
        <v>40</v>
      </c>
      <c r="D126" t="s">
        <v>3</v>
      </c>
      <c r="E126">
        <v>37.332999999999998</v>
      </c>
      <c r="F126" t="s">
        <v>160</v>
      </c>
      <c r="G126">
        <f>AVERAGE(991.178,991.166)</f>
        <v>991.17200000000003</v>
      </c>
      <c r="H126">
        <f>AVERAGE(1030.157,1030.149)</f>
        <v>1030.1529999999998</v>
      </c>
      <c r="I126">
        <f t="shared" si="41"/>
        <v>38.980999999999767</v>
      </c>
      <c r="J126">
        <f t="shared" si="42"/>
        <v>1.6479999999997688</v>
      </c>
      <c r="K126">
        <f t="shared" si="43"/>
        <v>41.199999999994219</v>
      </c>
    </row>
    <row r="127" spans="1:11" x14ac:dyDescent="0.25">
      <c r="A127" s="1">
        <v>42620</v>
      </c>
      <c r="B127" s="2">
        <v>6</v>
      </c>
      <c r="C127">
        <v>40</v>
      </c>
      <c r="D127" t="s">
        <v>3</v>
      </c>
      <c r="E127">
        <v>37.462000000000003</v>
      </c>
      <c r="F127" t="s">
        <v>161</v>
      </c>
      <c r="G127">
        <f>AVERAGE(988.912,988.887)</f>
        <v>988.89949999999999</v>
      </c>
      <c r="H127">
        <f>AVERAGE(1028.158,1028.161)</f>
        <v>1028.1595</v>
      </c>
      <c r="I127">
        <f t="shared" si="41"/>
        <v>39.259999999999991</v>
      </c>
      <c r="J127">
        <f t="shared" si="42"/>
        <v>1.7979999999999876</v>
      </c>
      <c r="K127">
        <f t="shared" si="43"/>
        <v>44.94999999999969</v>
      </c>
    </row>
    <row r="128" spans="1:11" x14ac:dyDescent="0.25">
      <c r="A128" s="1">
        <v>42627</v>
      </c>
      <c r="B128" s="2">
        <v>1</v>
      </c>
      <c r="C128">
        <v>45</v>
      </c>
      <c r="D128" t="s">
        <v>3</v>
      </c>
      <c r="E128">
        <f>AVERAGE(38.05,38.068)</f>
        <v>38.058999999999997</v>
      </c>
      <c r="F128" t="s">
        <v>128</v>
      </c>
      <c r="G128">
        <f>AVERAGE(990.124,990.134)</f>
        <v>990.12900000000002</v>
      </c>
      <c r="H128">
        <f>AVERAGE(1029.72,1029.726)</f>
        <v>1029.723</v>
      </c>
      <c r="I128">
        <f t="shared" ref="I128" si="44">H128-G128</f>
        <v>39.593999999999937</v>
      </c>
      <c r="J128">
        <f t="shared" ref="J128" si="45">I128-E128</f>
        <v>1.5349999999999397</v>
      </c>
      <c r="K128">
        <f t="shared" ref="K128" si="46">J128/(C128/1000)</f>
        <v>34.111111111109771</v>
      </c>
    </row>
    <row r="129" spans="1:11" x14ac:dyDescent="0.25">
      <c r="A129" s="1">
        <v>42627</v>
      </c>
      <c r="B129" s="2">
        <v>2</v>
      </c>
      <c r="C129">
        <v>45</v>
      </c>
      <c r="D129" t="s">
        <v>3</v>
      </c>
      <c r="E129">
        <f>AVERAGE(37.448,37.463)</f>
        <v>37.455500000000001</v>
      </c>
      <c r="F129" t="s">
        <v>129</v>
      </c>
      <c r="G129">
        <f>AVERAGE(989.302,989.286)</f>
        <v>989.29399999999998</v>
      </c>
      <c r="H129">
        <f>AVERAGE(1028.33,1028.336)</f>
        <v>1028.3330000000001</v>
      </c>
      <c r="I129">
        <f t="shared" ref="I129:I133" si="47">H129-G129</f>
        <v>39.039000000000101</v>
      </c>
      <c r="J129">
        <f t="shared" ref="J129:J133" si="48">I129-E129</f>
        <v>1.5835000000001003</v>
      </c>
      <c r="K129">
        <f t="shared" ref="K129:K133" si="49">J129/(C129/1000)</f>
        <v>35.188888888891121</v>
      </c>
    </row>
    <row r="130" spans="1:11" x14ac:dyDescent="0.25">
      <c r="A130" s="1">
        <v>42627</v>
      </c>
      <c r="B130" s="2">
        <v>3</v>
      </c>
      <c r="C130">
        <v>45</v>
      </c>
      <c r="D130" t="s">
        <v>3</v>
      </c>
      <c r="E130">
        <f>AVERAGE(38.209,38.213)</f>
        <v>38.210999999999999</v>
      </c>
      <c r="F130" t="s">
        <v>130</v>
      </c>
      <c r="G130">
        <f>AVERAGE(994.696,994.685)</f>
        <v>994.69049999999993</v>
      </c>
      <c r="H130">
        <f>AVERAGE(1034.558,1034.558)</f>
        <v>1034.558</v>
      </c>
      <c r="I130">
        <f t="shared" si="47"/>
        <v>39.867500000000064</v>
      </c>
      <c r="J130">
        <f t="shared" si="48"/>
        <v>1.6565000000000651</v>
      </c>
      <c r="K130">
        <f t="shared" si="49"/>
        <v>36.81111111111256</v>
      </c>
    </row>
    <row r="131" spans="1:11" x14ac:dyDescent="0.25">
      <c r="A131" s="1">
        <v>42627</v>
      </c>
      <c r="B131" s="2">
        <v>4</v>
      </c>
      <c r="C131">
        <v>45</v>
      </c>
      <c r="D131" t="s">
        <v>3</v>
      </c>
      <c r="E131">
        <f>AVERAGE(38.061,38.069)</f>
        <v>38.064999999999998</v>
      </c>
      <c r="F131" t="s">
        <v>131</v>
      </c>
      <c r="G131">
        <f>AVERAGE(994.687,994.677)</f>
        <v>994.68200000000002</v>
      </c>
      <c r="H131">
        <f>AVERAGE(1034.17,1034.172)</f>
        <v>1034.171</v>
      </c>
      <c r="I131">
        <f t="shared" si="47"/>
        <v>39.489000000000033</v>
      </c>
      <c r="J131">
        <f t="shared" si="48"/>
        <v>1.424000000000035</v>
      </c>
      <c r="K131">
        <f t="shared" si="49"/>
        <v>31.644444444445224</v>
      </c>
    </row>
    <row r="132" spans="1:11" x14ac:dyDescent="0.25">
      <c r="A132" s="1">
        <v>42627</v>
      </c>
      <c r="B132" s="2">
        <v>5</v>
      </c>
      <c r="C132">
        <v>45</v>
      </c>
      <c r="D132" t="s">
        <v>3</v>
      </c>
      <c r="E132">
        <f>AVERAGE(38.24,38.242)</f>
        <v>38.241</v>
      </c>
      <c r="F132" t="s">
        <v>132</v>
      </c>
      <c r="G132">
        <f>AVERAGE(996.313,996.303)</f>
        <v>996.30799999999999</v>
      </c>
      <c r="H132">
        <f>AVERAGE(1036.184,1036.204,1036.192)</f>
        <v>1036.1933333333334</v>
      </c>
      <c r="I132">
        <f t="shared" si="47"/>
        <v>39.885333333333392</v>
      </c>
      <c r="J132">
        <f t="shared" si="48"/>
        <v>1.6443333333333925</v>
      </c>
      <c r="K132">
        <f t="shared" si="49"/>
        <v>36.540740740742059</v>
      </c>
    </row>
    <row r="133" spans="1:11" x14ac:dyDescent="0.25">
      <c r="A133" s="1">
        <v>42627</v>
      </c>
      <c r="B133" s="2">
        <v>6</v>
      </c>
      <c r="C133">
        <v>45</v>
      </c>
      <c r="D133" t="s">
        <v>3</v>
      </c>
      <c r="E133">
        <f>AVERAGE(38.33,38.33)</f>
        <v>38.33</v>
      </c>
      <c r="F133" t="s">
        <v>133</v>
      </c>
      <c r="G133">
        <f>AVERAGE(999.18,999.161)</f>
        <v>999.17049999999995</v>
      </c>
      <c r="H133">
        <f>AVERAGE(1039.001,1038.976)</f>
        <v>1038.9884999999999</v>
      </c>
      <c r="I133">
        <f t="shared" si="47"/>
        <v>39.817999999999984</v>
      </c>
      <c r="J133">
        <f t="shared" si="48"/>
        <v>1.4879999999999853</v>
      </c>
      <c r="K133">
        <f t="shared" si="49"/>
        <v>33.066666666666343</v>
      </c>
    </row>
    <row r="134" spans="1:11" x14ac:dyDescent="0.25">
      <c r="A134" s="1">
        <v>42634</v>
      </c>
      <c r="B134" s="2">
        <v>1</v>
      </c>
      <c r="C134">
        <v>40</v>
      </c>
      <c r="D134" t="s">
        <v>3</v>
      </c>
      <c r="E134">
        <f>AVERAGE(38.436,38.45)</f>
        <v>38.442999999999998</v>
      </c>
      <c r="F134" t="s">
        <v>134</v>
      </c>
      <c r="G134">
        <f>AVERAGE(995.901,995.887)</f>
        <v>995.89400000000001</v>
      </c>
      <c r="H134">
        <f>AVERAGE(1035.682,1035.675)</f>
        <v>1035.6785</v>
      </c>
      <c r="I134">
        <f t="shared" ref="I134:I139" si="50">H134-G134</f>
        <v>39.78449999999998</v>
      </c>
      <c r="J134">
        <f t="shared" ref="J134:J139" si="51">I134-E134</f>
        <v>1.3414999999999822</v>
      </c>
      <c r="K134">
        <f t="shared" ref="K134:K139" si="52">J134/(C134/1000)</f>
        <v>33.537499999999554</v>
      </c>
    </row>
    <row r="135" spans="1:11" x14ac:dyDescent="0.25">
      <c r="A135" s="1">
        <v>42634</v>
      </c>
      <c r="B135" s="2">
        <v>2</v>
      </c>
      <c r="C135">
        <v>40</v>
      </c>
      <c r="D135" t="s">
        <v>3</v>
      </c>
      <c r="E135">
        <f>AVERAGE(37.813,37.82)</f>
        <v>37.816500000000005</v>
      </c>
      <c r="F135" t="s">
        <v>135</v>
      </c>
      <c r="G135">
        <f>AVERAGE(995.286,995.266)</f>
        <v>995.27599999999995</v>
      </c>
      <c r="H135">
        <f>AVERAGE(1034.394,1034.394)</f>
        <v>1034.394</v>
      </c>
      <c r="I135">
        <f t="shared" si="50"/>
        <v>39.118000000000052</v>
      </c>
      <c r="J135">
        <f t="shared" si="51"/>
        <v>1.301500000000047</v>
      </c>
      <c r="K135">
        <f t="shared" si="52"/>
        <v>32.537500000001174</v>
      </c>
    </row>
    <row r="136" spans="1:11" x14ac:dyDescent="0.25">
      <c r="A136" s="1">
        <v>42634</v>
      </c>
      <c r="B136" s="2">
        <v>3</v>
      </c>
      <c r="C136">
        <v>40</v>
      </c>
      <c r="D136" t="s">
        <v>3</v>
      </c>
      <c r="E136">
        <f>AVERAGE(37.878,37.885)</f>
        <v>37.881500000000003</v>
      </c>
      <c r="F136" t="s">
        <v>136</v>
      </c>
      <c r="G136">
        <f>AVERAGE(994.082,994.063)</f>
        <v>994.07249999999999</v>
      </c>
      <c r="H136">
        <f>AVERAGE(1033.123,1033.133)</f>
        <v>1033.1280000000002</v>
      </c>
      <c r="I136">
        <f t="shared" si="50"/>
        <v>39.055500000000166</v>
      </c>
      <c r="J136">
        <f t="shared" si="51"/>
        <v>1.1740000000001629</v>
      </c>
      <c r="K136">
        <f t="shared" si="52"/>
        <v>29.350000000004073</v>
      </c>
    </row>
    <row r="137" spans="1:11" x14ac:dyDescent="0.25">
      <c r="A137" s="1">
        <v>42634</v>
      </c>
      <c r="B137" s="2">
        <v>4</v>
      </c>
      <c r="C137">
        <v>40</v>
      </c>
      <c r="D137" t="s">
        <v>3</v>
      </c>
      <c r="E137">
        <f>AVERAGE(37.772,37.775)</f>
        <v>37.773499999999999</v>
      </c>
      <c r="F137" t="s">
        <v>137</v>
      </c>
      <c r="G137">
        <f>AVERAGE(992.096,992.097)</f>
        <v>992.09649999999999</v>
      </c>
      <c r="H137">
        <f>AVERAGE(1031.067,1031.086)</f>
        <v>1031.0765000000001</v>
      </c>
      <c r="I137">
        <f t="shared" si="50"/>
        <v>38.980000000000132</v>
      </c>
      <c r="J137">
        <f t="shared" si="51"/>
        <v>1.2065000000001334</v>
      </c>
      <c r="K137">
        <f t="shared" si="52"/>
        <v>30.162500000003334</v>
      </c>
    </row>
    <row r="138" spans="1:11" x14ac:dyDescent="0.25">
      <c r="A138" s="1">
        <v>42634</v>
      </c>
      <c r="B138" s="2">
        <v>5</v>
      </c>
      <c r="C138">
        <v>40</v>
      </c>
      <c r="D138" t="s">
        <v>3</v>
      </c>
      <c r="E138">
        <f>AVERAGE(37.561,37.568)</f>
        <v>37.564499999999995</v>
      </c>
      <c r="F138" t="s">
        <v>134</v>
      </c>
      <c r="G138">
        <f>AVERAGE(998.757,998.734)</f>
        <v>998.74549999999999</v>
      </c>
      <c r="H138">
        <f>AVERAGE(1037.664,1037.67)</f>
        <v>1037.6669999999999</v>
      </c>
      <c r="I138">
        <f t="shared" si="50"/>
        <v>38.921499999999924</v>
      </c>
      <c r="J138">
        <f t="shared" si="51"/>
        <v>1.3569999999999283</v>
      </c>
      <c r="K138">
        <f t="shared" si="52"/>
        <v>33.924999999998207</v>
      </c>
    </row>
    <row r="139" spans="1:11" x14ac:dyDescent="0.25">
      <c r="A139" s="1">
        <v>42634</v>
      </c>
      <c r="B139" s="2">
        <v>6</v>
      </c>
      <c r="C139">
        <v>40</v>
      </c>
      <c r="D139" t="s">
        <v>3</v>
      </c>
      <c r="E139">
        <f>AVERAGE(37.708,37.711)</f>
        <v>37.709499999999998</v>
      </c>
      <c r="F139" t="s">
        <v>135</v>
      </c>
      <c r="G139">
        <f>AVERAGE(995.687,995.705)</f>
        <v>995.69600000000003</v>
      </c>
      <c r="H139">
        <f>AVERAGE(1034.982,1035.001)</f>
        <v>1034.9915000000001</v>
      </c>
      <c r="I139">
        <f t="shared" si="50"/>
        <v>39.295500000000061</v>
      </c>
      <c r="J139">
        <f t="shared" si="51"/>
        <v>1.5860000000000625</v>
      </c>
      <c r="K139">
        <f t="shared" si="52"/>
        <v>39.650000000001562</v>
      </c>
    </row>
    <row r="140" spans="1:11" x14ac:dyDescent="0.25">
      <c r="A140" s="1">
        <v>42641</v>
      </c>
      <c r="B140" s="2">
        <v>1</v>
      </c>
      <c r="C140">
        <v>45</v>
      </c>
      <c r="D140" t="s">
        <v>3</v>
      </c>
      <c r="E140">
        <f>AVERAGE(37.699,37.704)</f>
        <v>37.701499999999996</v>
      </c>
      <c r="F140" t="s">
        <v>138</v>
      </c>
      <c r="G140">
        <f>AVERAGE(989.774,989.752)</f>
        <v>989.76299999999992</v>
      </c>
      <c r="H140">
        <f>AVERAGE(1028.931,1028.943,1028.936)</f>
        <v>1028.9366666666665</v>
      </c>
      <c r="I140">
        <f t="shared" ref="I140:I145" si="53">H140-G140</f>
        <v>39.173666666666577</v>
      </c>
      <c r="J140">
        <f t="shared" ref="J140:J145" si="54">I140-E140</f>
        <v>1.4721666666665811</v>
      </c>
      <c r="K140">
        <f t="shared" ref="K140:K145" si="55">J140/(C140/1000)</f>
        <v>32.714814814812918</v>
      </c>
    </row>
    <row r="141" spans="1:11" x14ac:dyDescent="0.25">
      <c r="A141" s="1">
        <v>42641</v>
      </c>
      <c r="B141" s="2">
        <v>2</v>
      </c>
      <c r="C141">
        <v>45</v>
      </c>
      <c r="D141" t="s">
        <v>3</v>
      </c>
      <c r="E141">
        <f>AVERAGE(37.707,37.706)</f>
        <v>37.706500000000005</v>
      </c>
      <c r="F141" t="s">
        <v>139</v>
      </c>
      <c r="G141">
        <f>AVERAGE(996.809,996.782)</f>
        <v>996.79549999999995</v>
      </c>
      <c r="H141">
        <f>AVERAGE(1035.823,1035.829)</f>
        <v>1035.826</v>
      </c>
      <c r="I141">
        <f t="shared" si="53"/>
        <v>39.030500000000075</v>
      </c>
      <c r="J141">
        <f t="shared" si="54"/>
        <v>1.3240000000000691</v>
      </c>
      <c r="K141">
        <f t="shared" si="55"/>
        <v>29.422222222223759</v>
      </c>
    </row>
    <row r="142" spans="1:11" x14ac:dyDescent="0.25">
      <c r="A142" s="1">
        <v>42641</v>
      </c>
      <c r="B142" s="2">
        <v>3</v>
      </c>
      <c r="C142">
        <v>45</v>
      </c>
      <c r="D142" t="s">
        <v>3</v>
      </c>
      <c r="E142">
        <f>AVERAGE(38.154,38.151)</f>
        <v>38.152500000000003</v>
      </c>
      <c r="F142" t="s">
        <v>140</v>
      </c>
      <c r="G142">
        <f>AVERAGE(995.932,995.914)</f>
        <v>995.923</v>
      </c>
      <c r="H142">
        <f>AVERAGE(1035.543,1035.547)</f>
        <v>1035.5450000000001</v>
      </c>
      <c r="I142">
        <f t="shared" si="53"/>
        <v>39.622000000000071</v>
      </c>
      <c r="J142">
        <f t="shared" si="54"/>
        <v>1.4695000000000675</v>
      </c>
      <c r="K142">
        <f t="shared" si="55"/>
        <v>32.655555555557058</v>
      </c>
    </row>
    <row r="143" spans="1:11" x14ac:dyDescent="0.25">
      <c r="A143" s="1">
        <v>42641</v>
      </c>
      <c r="B143" s="2">
        <v>4</v>
      </c>
      <c r="C143">
        <v>45</v>
      </c>
      <c r="D143" t="s">
        <v>3</v>
      </c>
      <c r="E143">
        <f>AVERAGE(37.558,37.56)</f>
        <v>37.558999999999997</v>
      </c>
      <c r="F143" t="s">
        <v>141</v>
      </c>
      <c r="G143">
        <f>AVERAGE(994.173,994.193)</f>
        <v>994.18299999999999</v>
      </c>
      <c r="H143">
        <f>AVERAGE(1033.318,1033.329)</f>
        <v>1033.3235</v>
      </c>
      <c r="I143">
        <f t="shared" si="53"/>
        <v>39.140499999999975</v>
      </c>
      <c r="J143">
        <f t="shared" si="54"/>
        <v>1.581499999999977</v>
      </c>
      <c r="K143">
        <f t="shared" si="55"/>
        <v>35.144444444443934</v>
      </c>
    </row>
    <row r="144" spans="1:11" x14ac:dyDescent="0.25">
      <c r="A144" s="1">
        <v>42641</v>
      </c>
      <c r="B144" s="2">
        <v>5</v>
      </c>
      <c r="C144">
        <v>45</v>
      </c>
      <c r="D144" t="s">
        <v>3</v>
      </c>
      <c r="E144">
        <f>AVERAGE(37.801,37.802)</f>
        <v>37.801500000000004</v>
      </c>
      <c r="F144" t="s">
        <v>142</v>
      </c>
      <c r="G144">
        <f>AVERAGE(997.625,997.62)</f>
        <v>997.62249999999995</v>
      </c>
      <c r="H144">
        <f>AVERAGE(1036.943,1036.947)</f>
        <v>1036.9449999999999</v>
      </c>
      <c r="I144">
        <f t="shared" si="53"/>
        <v>39.322499999999991</v>
      </c>
      <c r="J144">
        <f t="shared" si="54"/>
        <v>1.5209999999999866</v>
      </c>
      <c r="K144">
        <f t="shared" si="55"/>
        <v>33.799999999999706</v>
      </c>
    </row>
    <row r="145" spans="1:11" x14ac:dyDescent="0.25">
      <c r="A145" s="1">
        <v>42641</v>
      </c>
      <c r="B145" s="2">
        <v>6</v>
      </c>
      <c r="C145">
        <v>45</v>
      </c>
      <c r="D145" t="s">
        <v>3</v>
      </c>
      <c r="E145">
        <f>AVERAGE(37.543,37.543)</f>
        <v>37.542999999999999</v>
      </c>
      <c r="F145" t="s">
        <v>143</v>
      </c>
      <c r="G145">
        <f>AVERAGE(994.745,994.788)</f>
        <v>994.76649999999995</v>
      </c>
      <c r="H145">
        <f>AVERAGE(1033.903,1033.904)</f>
        <v>1033.9034999999999</v>
      </c>
      <c r="I145">
        <f t="shared" si="53"/>
        <v>39.136999999999944</v>
      </c>
      <c r="J145">
        <f t="shared" si="54"/>
        <v>1.5939999999999444</v>
      </c>
      <c r="K145">
        <f t="shared" si="55"/>
        <v>35.422222222220988</v>
      </c>
    </row>
    <row r="146" spans="1:11" x14ac:dyDescent="0.25">
      <c r="A146" s="1">
        <v>42649</v>
      </c>
      <c r="B146" s="2">
        <v>1</v>
      </c>
      <c r="C146">
        <v>40</v>
      </c>
      <c r="D146" t="s">
        <v>3</v>
      </c>
      <c r="E146">
        <f>AVERAGE(37.948,37.95)</f>
        <v>37.948999999999998</v>
      </c>
    </row>
    <row r="147" spans="1:11" x14ac:dyDescent="0.25">
      <c r="A147" s="1">
        <v>42649</v>
      </c>
      <c r="B147" s="2">
        <v>2</v>
      </c>
      <c r="C147">
        <v>40</v>
      </c>
      <c r="D147" t="s">
        <v>3</v>
      </c>
      <c r="E147">
        <f>AVERAGE(37.787,37.792)</f>
        <v>37.789500000000004</v>
      </c>
    </row>
    <row r="148" spans="1:11" x14ac:dyDescent="0.25">
      <c r="A148" s="1">
        <v>42649</v>
      </c>
      <c r="B148" s="2">
        <v>3</v>
      </c>
      <c r="C148">
        <v>40</v>
      </c>
      <c r="D148" t="s">
        <v>3</v>
      </c>
      <c r="E148">
        <f>AVERAGE(37.608,37.61)</f>
        <v>37.608999999999995</v>
      </c>
    </row>
    <row r="149" spans="1:11" x14ac:dyDescent="0.25">
      <c r="A149" s="1">
        <v>42649</v>
      </c>
      <c r="B149" s="2">
        <v>4</v>
      </c>
      <c r="C149">
        <v>40</v>
      </c>
      <c r="D149" t="s">
        <v>3</v>
      </c>
      <c r="E149">
        <f>AVERAGE(37.931,37.93)</f>
        <v>37.930499999999995</v>
      </c>
    </row>
    <row r="150" spans="1:11" x14ac:dyDescent="0.25">
      <c r="A150" s="1">
        <v>42649</v>
      </c>
      <c r="B150" s="2">
        <v>5</v>
      </c>
      <c r="C150">
        <v>40</v>
      </c>
      <c r="D150" t="s">
        <v>3</v>
      </c>
      <c r="E150">
        <f>AVERAGE(37.362,37.361)</f>
        <v>37.361499999999999</v>
      </c>
    </row>
    <row r="151" spans="1:11" x14ac:dyDescent="0.25">
      <c r="A151" s="1">
        <v>42649</v>
      </c>
      <c r="B151" s="2">
        <v>6</v>
      </c>
      <c r="C151">
        <v>40</v>
      </c>
      <c r="D151" t="s">
        <v>3</v>
      </c>
      <c r="E151">
        <f>AVERAGE(37.191,37.193)</f>
        <v>37.192</v>
      </c>
    </row>
    <row r="152" spans="1:11" x14ac:dyDescent="0.25">
      <c r="A152" s="1">
        <v>42655</v>
      </c>
      <c r="B152" s="2">
        <v>1</v>
      </c>
      <c r="C152">
        <v>50</v>
      </c>
      <c r="D152" t="s">
        <v>3</v>
      </c>
      <c r="E152">
        <v>37.107999999999997</v>
      </c>
    </row>
    <row r="153" spans="1:11" x14ac:dyDescent="0.25">
      <c r="A153" s="1">
        <v>42655</v>
      </c>
      <c r="B153" s="2">
        <v>2</v>
      </c>
      <c r="C153">
        <v>50</v>
      </c>
      <c r="D153" t="s">
        <v>3</v>
      </c>
      <c r="E153">
        <v>37.332999999999998</v>
      </c>
    </row>
    <row r="154" spans="1:11" x14ac:dyDescent="0.25">
      <c r="A154" s="1">
        <v>42655</v>
      </c>
      <c r="B154" s="2">
        <v>3</v>
      </c>
      <c r="C154">
        <v>50</v>
      </c>
      <c r="D154" t="s">
        <v>3</v>
      </c>
      <c r="E154">
        <v>37.442999999999998</v>
      </c>
    </row>
    <row r="155" spans="1:11" x14ac:dyDescent="0.25">
      <c r="A155" s="1">
        <v>42655</v>
      </c>
      <c r="B155" s="2">
        <v>4</v>
      </c>
      <c r="C155">
        <v>50</v>
      </c>
      <c r="D155" t="s">
        <v>3</v>
      </c>
      <c r="E155">
        <v>37.860999999999997</v>
      </c>
    </row>
    <row r="156" spans="1:11" x14ac:dyDescent="0.25">
      <c r="A156" s="1">
        <v>42655</v>
      </c>
      <c r="B156" s="2">
        <v>5</v>
      </c>
      <c r="C156">
        <v>50</v>
      </c>
      <c r="D156" t="s">
        <v>3</v>
      </c>
      <c r="E156">
        <v>37.040999999999997</v>
      </c>
    </row>
    <row r="157" spans="1:11" x14ac:dyDescent="0.25">
      <c r="A157" s="1">
        <v>42655</v>
      </c>
      <c r="B157" s="2">
        <v>6</v>
      </c>
      <c r="C157">
        <v>50</v>
      </c>
      <c r="D157" t="s">
        <v>3</v>
      </c>
      <c r="E157">
        <v>37.527000000000001</v>
      </c>
    </row>
    <row r="158" spans="1:11" x14ac:dyDescent="0.25">
      <c r="A158" s="1">
        <v>42662</v>
      </c>
      <c r="B158" s="2">
        <v>1</v>
      </c>
      <c r="C158">
        <v>50</v>
      </c>
      <c r="D158" t="s">
        <v>3</v>
      </c>
      <c r="E158">
        <v>37.036000000000001</v>
      </c>
    </row>
    <row r="159" spans="1:11" x14ac:dyDescent="0.25">
      <c r="A159" s="1">
        <v>42662</v>
      </c>
      <c r="B159" s="2">
        <v>2</v>
      </c>
      <c r="C159">
        <v>50</v>
      </c>
      <c r="D159" t="s">
        <v>3</v>
      </c>
      <c r="E159">
        <v>38.308999999999997</v>
      </c>
    </row>
    <row r="160" spans="1:11" x14ac:dyDescent="0.25">
      <c r="A160" s="1">
        <v>42662</v>
      </c>
      <c r="B160" s="2">
        <v>3</v>
      </c>
      <c r="C160">
        <v>50</v>
      </c>
      <c r="D160" t="s">
        <v>3</v>
      </c>
      <c r="E160">
        <v>37.558</v>
      </c>
    </row>
    <row r="161" spans="1:5" x14ac:dyDescent="0.25">
      <c r="A161" s="1">
        <v>42662</v>
      </c>
      <c r="B161" s="2">
        <v>4</v>
      </c>
      <c r="C161">
        <v>50</v>
      </c>
      <c r="D161" t="s">
        <v>3</v>
      </c>
      <c r="E161">
        <v>37.761000000000003</v>
      </c>
    </row>
    <row r="162" spans="1:5" x14ac:dyDescent="0.25">
      <c r="A162" s="1">
        <v>42662</v>
      </c>
      <c r="B162" s="2">
        <v>5</v>
      </c>
      <c r="C162">
        <v>50</v>
      </c>
      <c r="D162" t="s">
        <v>3</v>
      </c>
      <c r="E162">
        <v>38.009</v>
      </c>
    </row>
    <row r="163" spans="1:5" x14ac:dyDescent="0.25">
      <c r="A163" s="1">
        <v>42662</v>
      </c>
      <c r="B163" s="2">
        <v>6</v>
      </c>
      <c r="C163">
        <v>50</v>
      </c>
      <c r="D163" t="s">
        <v>3</v>
      </c>
      <c r="E163">
        <v>38.093000000000004</v>
      </c>
    </row>
    <row r="164" spans="1:5" x14ac:dyDescent="0.25">
      <c r="A164" s="1">
        <v>42669</v>
      </c>
      <c r="B164" s="2">
        <v>1</v>
      </c>
      <c r="C164">
        <v>65</v>
      </c>
      <c r="D164" t="s">
        <v>3</v>
      </c>
      <c r="E164">
        <v>38.183999999999997</v>
      </c>
    </row>
    <row r="165" spans="1:5" x14ac:dyDescent="0.25">
      <c r="A165" s="1">
        <v>42669</v>
      </c>
      <c r="B165" s="2">
        <v>2</v>
      </c>
      <c r="C165">
        <v>65</v>
      </c>
      <c r="D165" t="s">
        <v>3</v>
      </c>
      <c r="E165">
        <v>37.607999999999997</v>
      </c>
    </row>
    <row r="166" spans="1:5" x14ac:dyDescent="0.25">
      <c r="A166" s="1">
        <v>42669</v>
      </c>
      <c r="B166" s="2">
        <v>3</v>
      </c>
      <c r="C166">
        <v>65</v>
      </c>
      <c r="D166" t="s">
        <v>3</v>
      </c>
      <c r="E166">
        <v>37.442999999999998</v>
      </c>
    </row>
    <row r="167" spans="1:5" x14ac:dyDescent="0.25">
      <c r="A167" s="1">
        <v>42669</v>
      </c>
      <c r="B167" s="2">
        <v>4</v>
      </c>
      <c r="C167">
        <v>65</v>
      </c>
      <c r="D167" t="s">
        <v>3</v>
      </c>
      <c r="E167">
        <v>38.061</v>
      </c>
    </row>
    <row r="168" spans="1:5" x14ac:dyDescent="0.25">
      <c r="A168" s="1">
        <v>42669</v>
      </c>
      <c r="B168" s="2">
        <v>5</v>
      </c>
      <c r="C168">
        <v>65</v>
      </c>
      <c r="D168" t="s">
        <v>3</v>
      </c>
      <c r="E168">
        <v>36.923000000000002</v>
      </c>
    </row>
    <row r="169" spans="1:5" x14ac:dyDescent="0.25">
      <c r="A169" s="1">
        <v>42669</v>
      </c>
      <c r="B169" s="2">
        <v>6</v>
      </c>
      <c r="C169">
        <v>65</v>
      </c>
      <c r="D169" t="s">
        <v>3</v>
      </c>
      <c r="E169">
        <v>38.118000000000002</v>
      </c>
    </row>
    <row r="170" spans="1:5" x14ac:dyDescent="0.25">
      <c r="A170" s="1">
        <v>42678</v>
      </c>
      <c r="B170" s="2">
        <v>1</v>
      </c>
      <c r="D170" t="s">
        <v>3</v>
      </c>
    </row>
    <row r="171" spans="1:5" x14ac:dyDescent="0.25">
      <c r="A171" s="1">
        <v>42678</v>
      </c>
      <c r="B171" s="2">
        <v>2</v>
      </c>
      <c r="D171" t="s">
        <v>3</v>
      </c>
    </row>
    <row r="172" spans="1:5" x14ac:dyDescent="0.25">
      <c r="A172" s="1">
        <v>42678</v>
      </c>
      <c r="B172" s="2">
        <v>3</v>
      </c>
      <c r="D172" t="s">
        <v>3</v>
      </c>
    </row>
    <row r="173" spans="1:5" x14ac:dyDescent="0.25">
      <c r="A173" s="1">
        <v>42678</v>
      </c>
      <c r="B173" s="2">
        <v>4</v>
      </c>
      <c r="D173" t="s">
        <v>3</v>
      </c>
    </row>
    <row r="174" spans="1:5" x14ac:dyDescent="0.25">
      <c r="A174" s="1">
        <v>42678</v>
      </c>
      <c r="B174" s="2">
        <v>5</v>
      </c>
      <c r="D174" t="s">
        <v>3</v>
      </c>
    </row>
    <row r="175" spans="1:5" x14ac:dyDescent="0.25">
      <c r="A175" s="1">
        <v>42678</v>
      </c>
      <c r="B175" s="2">
        <v>6</v>
      </c>
      <c r="D175" t="s">
        <v>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pigments</vt:lpstr>
      <vt:lpstr>dissolved nutrients</vt:lpstr>
      <vt:lpstr>DIC-DIC</vt:lpstr>
      <vt:lpstr>DW-part</vt:lpstr>
    </vt:vector>
  </TitlesOfParts>
  <Company>Universiteit van Amsterdam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Jolanda Verspagen</dc:creator>
  <cp:lastModifiedBy>Maria Meijer</cp:lastModifiedBy>
  <dcterms:created xsi:type="dcterms:W3CDTF">2016-03-11T14:47:25Z</dcterms:created>
  <dcterms:modified xsi:type="dcterms:W3CDTF">2016-11-29T17:41:35Z</dcterms:modified>
</cp:coreProperties>
</file>