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Panel\home\rm.local\"/>
    </mc:Choice>
  </mc:AlternateContent>
  <xr:revisionPtr revIDLastSave="0" documentId="13_ncr:20001_{B7630419-D057-4E10-A4FF-DD126998CDF5}" xr6:coauthVersionLast="40" xr6:coauthVersionMax="40" xr10:uidLastSave="{00000000-0000-0000-0000-000000000000}"/>
  <bookViews>
    <workbookView xWindow="0" yWindow="0" windowWidth="28800" windowHeight="13320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calcPr calcId="191029"/>
  <fileRecoveryPr dataExtractLoad="1"/>
</workbook>
</file>

<file path=xl/calcChain.xml><?xml version="1.0" encoding="utf-8"?>
<calcChain xmlns="http://schemas.openxmlformats.org/spreadsheetml/2006/main">
  <c r="G25" i="5" l="1"/>
  <c r="I22" i="5"/>
  <c r="G22" i="5"/>
  <c r="F16" i="5"/>
  <c r="E8" i="9"/>
  <c r="E13" i="9" s="1"/>
  <c r="D5" i="7"/>
  <c r="C11" i="7" s="1"/>
  <c r="E19" i="6"/>
  <c r="D19" i="6"/>
  <c r="C19" i="6"/>
  <c r="E18" i="6"/>
  <c r="D18" i="6"/>
  <c r="C18" i="6"/>
  <c r="E17" i="6"/>
  <c r="D17" i="6"/>
  <c r="C17" i="6"/>
  <c r="E16" i="6"/>
  <c r="D16" i="6"/>
  <c r="C16" i="6"/>
  <c r="B16" i="6"/>
  <c r="E15" i="6"/>
  <c r="D15" i="6"/>
  <c r="C15" i="6"/>
  <c r="B15" i="6"/>
  <c r="E14" i="6"/>
  <c r="D14" i="6"/>
  <c r="C14" i="6"/>
  <c r="B14" i="6"/>
  <c r="A14" i="6"/>
  <c r="A15" i="6" s="1"/>
  <c r="A16" i="6" s="1"/>
  <c r="A17" i="6" s="1"/>
  <c r="A18" i="6" s="1"/>
  <c r="A19" i="6" s="1"/>
  <c r="E13" i="6"/>
  <c r="D13" i="6"/>
  <c r="C13" i="6"/>
  <c r="B13" i="6"/>
  <c r="A13" i="6"/>
  <c r="E12" i="6"/>
  <c r="D12" i="6"/>
  <c r="C12" i="6"/>
  <c r="B12" i="6"/>
  <c r="A4" i="6"/>
  <c r="E179" i="5"/>
  <c r="J175" i="5"/>
  <c r="I175" i="5"/>
  <c r="G175" i="5"/>
  <c r="I174" i="5"/>
  <c r="J174" i="5" s="1"/>
  <c r="G174" i="5"/>
  <c r="J173" i="5"/>
  <c r="I173" i="5"/>
  <c r="G173" i="5"/>
  <c r="I172" i="5"/>
  <c r="J172" i="5" s="1"/>
  <c r="G172" i="5"/>
  <c r="J171" i="5"/>
  <c r="I171" i="5"/>
  <c r="G171" i="5"/>
  <c r="I170" i="5"/>
  <c r="J170" i="5" s="1"/>
  <c r="G170" i="5"/>
  <c r="J169" i="5"/>
  <c r="I169" i="5"/>
  <c r="G169" i="5"/>
  <c r="I168" i="5"/>
  <c r="J168" i="5" s="1"/>
  <c r="G168" i="5"/>
  <c r="J167" i="5"/>
  <c r="I167" i="5"/>
  <c r="G167" i="5"/>
  <c r="I166" i="5"/>
  <c r="J166" i="5" s="1"/>
  <c r="G166" i="5"/>
  <c r="J165" i="5"/>
  <c r="I165" i="5"/>
  <c r="G165" i="5"/>
  <c r="I164" i="5"/>
  <c r="J164" i="5" s="1"/>
  <c r="G164" i="5"/>
  <c r="J163" i="5"/>
  <c r="I163" i="5"/>
  <c r="G163" i="5"/>
  <c r="I162" i="5"/>
  <c r="J162" i="5" s="1"/>
  <c r="G162" i="5"/>
  <c r="J161" i="5"/>
  <c r="I161" i="5"/>
  <c r="G161" i="5"/>
  <c r="I160" i="5"/>
  <c r="J160" i="5" s="1"/>
  <c r="G160" i="5"/>
  <c r="J159" i="5"/>
  <c r="I159" i="5"/>
  <c r="G159" i="5"/>
  <c r="I158" i="5"/>
  <c r="J158" i="5" s="1"/>
  <c r="G158" i="5"/>
  <c r="J157" i="5"/>
  <c r="I157" i="5"/>
  <c r="G157" i="5"/>
  <c r="I156" i="5"/>
  <c r="J156" i="5" s="1"/>
  <c r="G156" i="5"/>
  <c r="J155" i="5"/>
  <c r="I155" i="5"/>
  <c r="G155" i="5"/>
  <c r="I154" i="5"/>
  <c r="J154" i="5" s="1"/>
  <c r="G154" i="5"/>
  <c r="J153" i="5"/>
  <c r="I153" i="5"/>
  <c r="G153" i="5"/>
  <c r="I152" i="5"/>
  <c r="J152" i="5" s="1"/>
  <c r="G152" i="5"/>
  <c r="J151" i="5"/>
  <c r="I151" i="5"/>
  <c r="G151" i="5"/>
  <c r="I150" i="5"/>
  <c r="J150" i="5" s="1"/>
  <c r="G150" i="5"/>
  <c r="I149" i="5"/>
  <c r="J149" i="5" s="1"/>
  <c r="G149" i="5"/>
  <c r="I148" i="5"/>
  <c r="J148" i="5" s="1"/>
  <c r="G148" i="5"/>
  <c r="J147" i="5"/>
  <c r="I147" i="5"/>
  <c r="G147" i="5"/>
  <c r="I146" i="5"/>
  <c r="J146" i="5" s="1"/>
  <c r="G146" i="5"/>
  <c r="J145" i="5"/>
  <c r="I145" i="5"/>
  <c r="G145" i="5"/>
  <c r="I144" i="5"/>
  <c r="J144" i="5" s="1"/>
  <c r="G144" i="5"/>
  <c r="J143" i="5"/>
  <c r="I143" i="5"/>
  <c r="G143" i="5"/>
  <c r="I142" i="5"/>
  <c r="J142" i="5" s="1"/>
  <c r="G142" i="5"/>
  <c r="I141" i="5"/>
  <c r="J141" i="5" s="1"/>
  <c r="G141" i="5"/>
  <c r="I140" i="5"/>
  <c r="J140" i="5" s="1"/>
  <c r="G140" i="5"/>
  <c r="I139" i="5"/>
  <c r="J139" i="5" s="1"/>
  <c r="G139" i="5"/>
  <c r="I138" i="5"/>
  <c r="J138" i="5" s="1"/>
  <c r="G138" i="5"/>
  <c r="I137" i="5"/>
  <c r="J137" i="5" s="1"/>
  <c r="G137" i="5"/>
  <c r="I136" i="5"/>
  <c r="J136" i="5" s="1"/>
  <c r="G136" i="5"/>
  <c r="I135" i="5"/>
  <c r="J135" i="5" s="1"/>
  <c r="G135" i="5"/>
  <c r="I134" i="5"/>
  <c r="J134" i="5" s="1"/>
  <c r="G134" i="5"/>
  <c r="I133" i="5"/>
  <c r="J133" i="5" s="1"/>
  <c r="G133" i="5"/>
  <c r="I132" i="5"/>
  <c r="J132" i="5" s="1"/>
  <c r="G132" i="5"/>
  <c r="J131" i="5"/>
  <c r="I131" i="5"/>
  <c r="G131" i="5"/>
  <c r="I130" i="5"/>
  <c r="J130" i="5" s="1"/>
  <c r="G130" i="5"/>
  <c r="J129" i="5"/>
  <c r="I129" i="5"/>
  <c r="G129" i="5"/>
  <c r="I128" i="5"/>
  <c r="J128" i="5" s="1"/>
  <c r="G128" i="5"/>
  <c r="J127" i="5"/>
  <c r="I127" i="5"/>
  <c r="G127" i="5"/>
  <c r="I126" i="5"/>
  <c r="J126" i="5" s="1"/>
  <c r="G126" i="5"/>
  <c r="I125" i="5"/>
  <c r="J125" i="5" s="1"/>
  <c r="G125" i="5"/>
  <c r="I124" i="5"/>
  <c r="J124" i="5" s="1"/>
  <c r="G124" i="5"/>
  <c r="I123" i="5"/>
  <c r="J123" i="5" s="1"/>
  <c r="G123" i="5"/>
  <c r="I122" i="5"/>
  <c r="J122" i="5" s="1"/>
  <c r="G122" i="5"/>
  <c r="I121" i="5"/>
  <c r="J121" i="5" s="1"/>
  <c r="G121" i="5"/>
  <c r="I120" i="5"/>
  <c r="J120" i="5" s="1"/>
  <c r="G120" i="5"/>
  <c r="I119" i="5"/>
  <c r="J119" i="5" s="1"/>
  <c r="G119" i="5"/>
  <c r="I118" i="5"/>
  <c r="J118" i="5" s="1"/>
  <c r="G118" i="5"/>
  <c r="I117" i="5"/>
  <c r="J117" i="5" s="1"/>
  <c r="G117" i="5"/>
  <c r="I116" i="5"/>
  <c r="J116" i="5" s="1"/>
  <c r="G116" i="5"/>
  <c r="J115" i="5"/>
  <c r="I115" i="5"/>
  <c r="G115" i="5"/>
  <c r="I114" i="5"/>
  <c r="J114" i="5" s="1"/>
  <c r="G114" i="5"/>
  <c r="J113" i="5"/>
  <c r="I113" i="5"/>
  <c r="G113" i="5"/>
  <c r="I112" i="5"/>
  <c r="J112" i="5" s="1"/>
  <c r="G112" i="5"/>
  <c r="J111" i="5"/>
  <c r="I111" i="5"/>
  <c r="G111" i="5"/>
  <c r="I110" i="5"/>
  <c r="J110" i="5" s="1"/>
  <c r="G110" i="5"/>
  <c r="I109" i="5"/>
  <c r="J109" i="5" s="1"/>
  <c r="G109" i="5"/>
  <c r="I108" i="5"/>
  <c r="J108" i="5" s="1"/>
  <c r="G108" i="5"/>
  <c r="I107" i="5"/>
  <c r="J107" i="5" s="1"/>
  <c r="G107" i="5"/>
  <c r="I106" i="5"/>
  <c r="J106" i="5" s="1"/>
  <c r="G106" i="5"/>
  <c r="I105" i="5"/>
  <c r="J105" i="5" s="1"/>
  <c r="G105" i="5"/>
  <c r="I104" i="5"/>
  <c r="J104" i="5" s="1"/>
  <c r="G104" i="5"/>
  <c r="I103" i="5"/>
  <c r="J103" i="5" s="1"/>
  <c r="G103" i="5"/>
  <c r="I102" i="5"/>
  <c r="J102" i="5" s="1"/>
  <c r="G102" i="5"/>
  <c r="J101" i="5"/>
  <c r="I101" i="5"/>
  <c r="G101" i="5"/>
  <c r="I100" i="5"/>
  <c r="J100" i="5" s="1"/>
  <c r="G100" i="5"/>
  <c r="J99" i="5"/>
  <c r="I99" i="5"/>
  <c r="G99" i="5"/>
  <c r="I98" i="5"/>
  <c r="J98" i="5" s="1"/>
  <c r="G98" i="5"/>
  <c r="J97" i="5"/>
  <c r="I97" i="5"/>
  <c r="G97" i="5"/>
  <c r="I96" i="5"/>
  <c r="J96" i="5" s="1"/>
  <c r="G96" i="5"/>
  <c r="J95" i="5"/>
  <c r="I95" i="5"/>
  <c r="G95" i="5"/>
  <c r="I94" i="5"/>
  <c r="J94" i="5" s="1"/>
  <c r="G94" i="5"/>
  <c r="I93" i="5"/>
  <c r="J93" i="5" s="1"/>
  <c r="G93" i="5"/>
  <c r="I92" i="5"/>
  <c r="J92" i="5" s="1"/>
  <c r="G92" i="5"/>
  <c r="I91" i="5"/>
  <c r="J91" i="5" s="1"/>
  <c r="G91" i="5"/>
  <c r="I90" i="5"/>
  <c r="J90" i="5" s="1"/>
  <c r="G90" i="5"/>
  <c r="I89" i="5"/>
  <c r="J89" i="5" s="1"/>
  <c r="G89" i="5"/>
  <c r="I88" i="5"/>
  <c r="J88" i="5" s="1"/>
  <c r="G88" i="5"/>
  <c r="I87" i="5"/>
  <c r="J87" i="5" s="1"/>
  <c r="G87" i="5"/>
  <c r="I86" i="5"/>
  <c r="J86" i="5" s="1"/>
  <c r="G86" i="5"/>
  <c r="J85" i="5"/>
  <c r="I85" i="5"/>
  <c r="I83" i="5"/>
  <c r="J83" i="5" s="1"/>
  <c r="G83" i="5"/>
  <c r="I82" i="5"/>
  <c r="J82" i="5" s="1"/>
  <c r="G82" i="5"/>
  <c r="J81" i="5"/>
  <c r="I81" i="5"/>
  <c r="G81" i="5"/>
  <c r="I80" i="5"/>
  <c r="J80" i="5" s="1"/>
  <c r="G80" i="5"/>
  <c r="I79" i="5"/>
  <c r="J79" i="5" s="1"/>
  <c r="G79" i="5"/>
  <c r="I78" i="5"/>
  <c r="J78" i="5" s="1"/>
  <c r="G78" i="5"/>
  <c r="J77" i="5"/>
  <c r="I77" i="5"/>
  <c r="G77" i="5"/>
  <c r="A77" i="5"/>
  <c r="A78" i="5" s="1"/>
  <c r="A79" i="5" s="1"/>
  <c r="A80" i="5" s="1"/>
  <c r="A81" i="5" s="1"/>
  <c r="A82" i="5" s="1"/>
  <c r="A83" i="5" s="1"/>
  <c r="J76" i="5"/>
  <c r="I76" i="5"/>
  <c r="G76" i="5"/>
  <c r="J70" i="5"/>
  <c r="G70" i="5"/>
  <c r="G19" i="6" s="1"/>
  <c r="F70" i="5"/>
  <c r="F19" i="6" s="1"/>
  <c r="J69" i="5"/>
  <c r="G69" i="5"/>
  <c r="G18" i="6" s="1"/>
  <c r="F69" i="5"/>
  <c r="F18" i="6" s="1"/>
  <c r="J68" i="5"/>
  <c r="J71" i="5" s="1"/>
  <c r="G68" i="5"/>
  <c r="F68" i="5"/>
  <c r="F17" i="6" s="1"/>
  <c r="J66" i="5"/>
  <c r="G66" i="5"/>
  <c r="F66" i="5"/>
  <c r="F16" i="6" s="1"/>
  <c r="J65" i="5"/>
  <c r="F65" i="5"/>
  <c r="J64" i="5"/>
  <c r="G64" i="5"/>
  <c r="F64" i="5"/>
  <c r="F14" i="6" s="1"/>
  <c r="J63" i="5"/>
  <c r="F63" i="5"/>
  <c r="J62" i="5"/>
  <c r="J67" i="5" s="1"/>
  <c r="J72" i="5" s="1"/>
  <c r="G62" i="5"/>
  <c r="F62" i="5"/>
  <c r="F12" i="6" s="1"/>
  <c r="I57" i="5"/>
  <c r="J57" i="5" s="1"/>
  <c r="G57" i="5"/>
  <c r="I56" i="5"/>
  <c r="J56" i="5" s="1"/>
  <c r="G56" i="5"/>
  <c r="I55" i="5"/>
  <c r="J55" i="5" s="1"/>
  <c r="G55" i="5"/>
  <c r="I54" i="5"/>
  <c r="J54" i="5" s="1"/>
  <c r="G54" i="5"/>
  <c r="I53" i="5"/>
  <c r="J53" i="5" s="1"/>
  <c r="G53" i="5"/>
  <c r="I52" i="5"/>
  <c r="J52" i="5" s="1"/>
  <c r="G52" i="5"/>
  <c r="I51" i="5"/>
  <c r="J51" i="5" s="1"/>
  <c r="G51" i="5"/>
  <c r="I50" i="5"/>
  <c r="J50" i="5" s="1"/>
  <c r="G50" i="5"/>
  <c r="I49" i="5"/>
  <c r="J49" i="5" s="1"/>
  <c r="G49" i="5"/>
  <c r="I48" i="5"/>
  <c r="J48" i="5" s="1"/>
  <c r="G48" i="5"/>
  <c r="I47" i="5"/>
  <c r="J47" i="5" s="1"/>
  <c r="G47" i="5"/>
  <c r="I46" i="5"/>
  <c r="J46" i="5" s="1"/>
  <c r="G46" i="5"/>
  <c r="I45" i="5"/>
  <c r="J45" i="5" s="1"/>
  <c r="G45" i="5"/>
  <c r="I44" i="5"/>
  <c r="J44" i="5" s="1"/>
  <c r="G44" i="5"/>
  <c r="I43" i="5"/>
  <c r="J43" i="5" s="1"/>
  <c r="G43" i="5"/>
  <c r="I42" i="5"/>
  <c r="J42" i="5" s="1"/>
  <c r="G42" i="5"/>
  <c r="I41" i="5"/>
  <c r="J41" i="5" s="1"/>
  <c r="G41" i="5"/>
  <c r="I40" i="5"/>
  <c r="J40" i="5" s="1"/>
  <c r="G40" i="5"/>
  <c r="I39" i="5"/>
  <c r="J39" i="5" s="1"/>
  <c r="G39" i="5"/>
  <c r="I38" i="5"/>
  <c r="J38" i="5" s="1"/>
  <c r="G38" i="5"/>
  <c r="I37" i="5"/>
  <c r="J37" i="5" s="1"/>
  <c r="G37" i="5"/>
  <c r="I36" i="5"/>
  <c r="J36" i="5" s="1"/>
  <c r="G36" i="5"/>
  <c r="I35" i="5"/>
  <c r="J35" i="5" s="1"/>
  <c r="G35" i="5"/>
  <c r="I34" i="5"/>
  <c r="J34" i="5" s="1"/>
  <c r="G34" i="5"/>
  <c r="I33" i="5"/>
  <c r="J33" i="5" s="1"/>
  <c r="G33" i="5"/>
  <c r="I32" i="5"/>
  <c r="J32" i="5" s="1"/>
  <c r="G32" i="5"/>
  <c r="I31" i="5"/>
  <c r="J31" i="5" s="1"/>
  <c r="G31" i="5"/>
  <c r="I30" i="5"/>
  <c r="J30" i="5" s="1"/>
  <c r="G30" i="5"/>
  <c r="I29" i="5"/>
  <c r="J29" i="5" s="1"/>
  <c r="G29" i="5"/>
  <c r="G58" i="5" s="1"/>
  <c r="J27" i="5"/>
  <c r="I27" i="5"/>
  <c r="G27" i="5"/>
  <c r="J26" i="5"/>
  <c r="I26" i="5"/>
  <c r="G26" i="5"/>
  <c r="J25" i="5"/>
  <c r="I25" i="5"/>
  <c r="J24" i="5"/>
  <c r="I24" i="5"/>
  <c r="G24" i="5"/>
  <c r="J23" i="5"/>
  <c r="I23" i="5"/>
  <c r="G23" i="5"/>
  <c r="J22" i="5"/>
  <c r="J21" i="5"/>
  <c r="I21" i="5"/>
  <c r="G21" i="5"/>
  <c r="J20" i="5"/>
  <c r="I20" i="5"/>
  <c r="G20" i="5"/>
  <c r="J19" i="5"/>
  <c r="I19" i="5"/>
  <c r="G19" i="5"/>
  <c r="G28" i="5" s="1"/>
  <c r="I16" i="5"/>
  <c r="J16" i="5" s="1"/>
  <c r="C15" i="4" s="1"/>
  <c r="G14" i="5"/>
  <c r="E14" i="5"/>
  <c r="I13" i="5"/>
  <c r="J13" i="5" s="1"/>
  <c r="J14" i="5" s="1"/>
  <c r="F13" i="5"/>
  <c r="D13" i="5"/>
  <c r="B8" i="4"/>
  <c r="B7" i="4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G92" i="3"/>
  <c r="F92" i="3"/>
  <c r="E92" i="3"/>
  <c r="D92" i="3"/>
  <c r="C92" i="3"/>
  <c r="H91" i="3"/>
  <c r="H90" i="3"/>
  <c r="H89" i="3"/>
  <c r="H88" i="3"/>
  <c r="H87" i="3"/>
  <c r="H86" i="3"/>
  <c r="H85" i="3"/>
  <c r="G84" i="3"/>
  <c r="H84" i="3" s="1"/>
  <c r="F84" i="3"/>
  <c r="E84" i="3"/>
  <c r="D84" i="3"/>
  <c r="C84" i="3"/>
  <c r="H83" i="3"/>
  <c r="G85" i="5" s="1"/>
  <c r="H82" i="3"/>
  <c r="H81" i="3"/>
  <c r="H80" i="3"/>
  <c r="H79" i="3"/>
  <c r="H78" i="3"/>
  <c r="H75" i="3" s="1"/>
  <c r="H77" i="3"/>
  <c r="H76" i="3"/>
  <c r="H74" i="3"/>
  <c r="H73" i="3"/>
  <c r="H72" i="3"/>
  <c r="H71" i="3"/>
  <c r="H70" i="3"/>
  <c r="H69" i="3"/>
  <c r="H68" i="3"/>
  <c r="H66" i="3" s="1"/>
  <c r="H67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7" i="3" s="1"/>
  <c r="H28" i="3"/>
  <c r="H25" i="3"/>
  <c r="F24" i="3"/>
  <c r="F23" i="3"/>
  <c r="F22" i="3"/>
  <c r="F21" i="3"/>
  <c r="F20" i="3"/>
  <c r="F19" i="3"/>
  <c r="F18" i="3"/>
  <c r="F17" i="3"/>
  <c r="F16" i="3"/>
  <c r="F15" i="3"/>
  <c r="F14" i="3"/>
  <c r="F12" i="3" s="1"/>
  <c r="A14" i="3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6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7" i="3" s="1"/>
  <c r="A68" i="3" s="1"/>
  <c r="A69" i="3" s="1"/>
  <c r="A70" i="3" s="1"/>
  <c r="A71" i="3" s="1"/>
  <c r="A72" i="3" s="1"/>
  <c r="A73" i="3" s="1"/>
  <c r="A74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F13" i="3"/>
  <c r="H12" i="3"/>
  <c r="A7" i="3"/>
  <c r="F13" i="2"/>
  <c r="F14" i="2" s="1"/>
  <c r="I12" i="2"/>
  <c r="I13" i="2" s="1"/>
  <c r="I14" i="2" s="1"/>
  <c r="H12" i="2"/>
  <c r="H13" i="2" s="1"/>
  <c r="H14" i="2" s="1"/>
  <c r="F12" i="2"/>
  <c r="J12" i="2" s="1"/>
  <c r="J13" i="2" s="1"/>
  <c r="J14" i="2" s="1"/>
  <c r="B7" i="2"/>
  <c r="B6" i="2"/>
  <c r="D23" i="1"/>
  <c r="D24" i="1" s="1"/>
  <c r="D17" i="1"/>
  <c r="J28" i="5" l="1"/>
  <c r="J59" i="5" s="1"/>
  <c r="H58" i="5"/>
  <c r="C11" i="4"/>
  <c r="G59" i="5"/>
  <c r="H26" i="5" s="1"/>
  <c r="H28" i="5"/>
  <c r="G12" i="6"/>
  <c r="J58" i="5"/>
  <c r="C13" i="4" s="1"/>
  <c r="C23" i="4"/>
  <c r="C22" i="4" s="1"/>
  <c r="J179" i="5"/>
  <c r="G176" i="5"/>
  <c r="G63" i="5"/>
  <c r="F13" i="6"/>
  <c r="G16" i="6"/>
  <c r="G84" i="5"/>
  <c r="G14" i="6"/>
  <c r="J84" i="5"/>
  <c r="G17" i="6"/>
  <c r="G71" i="5"/>
  <c r="F15" i="6"/>
  <c r="G65" i="5"/>
  <c r="J176" i="5"/>
  <c r="C17" i="4" s="1"/>
  <c r="H13" i="5"/>
  <c r="E180" i="5"/>
  <c r="C12" i="4" l="1"/>
  <c r="C14" i="4" s="1"/>
  <c r="G15" i="6"/>
  <c r="G20" i="6" s="1"/>
  <c r="H24" i="5"/>
  <c r="G13" i="6"/>
  <c r="J180" i="5"/>
  <c r="C21" i="4"/>
  <c r="C20" i="4" s="1"/>
  <c r="H50" i="5"/>
  <c r="H42" i="5"/>
  <c r="H34" i="5"/>
  <c r="H19" i="5"/>
  <c r="H23" i="5"/>
  <c r="H55" i="5"/>
  <c r="H47" i="5"/>
  <c r="H39" i="5"/>
  <c r="H31" i="5"/>
  <c r="H36" i="5"/>
  <c r="H52" i="5"/>
  <c r="H44" i="5"/>
  <c r="H57" i="5"/>
  <c r="H49" i="5"/>
  <c r="H41" i="5"/>
  <c r="H33" i="5"/>
  <c r="H25" i="5"/>
  <c r="H54" i="5"/>
  <c r="H46" i="5"/>
  <c r="H38" i="5"/>
  <c r="H30" i="5"/>
  <c r="H51" i="5"/>
  <c r="H43" i="5"/>
  <c r="H35" i="5"/>
  <c r="H56" i="5"/>
  <c r="H48" i="5"/>
  <c r="H40" i="5"/>
  <c r="H32" i="5"/>
  <c r="H29" i="5"/>
  <c r="H53" i="5"/>
  <c r="H45" i="5"/>
  <c r="H37" i="5"/>
  <c r="G67" i="5"/>
  <c r="H20" i="5"/>
  <c r="H21" i="5"/>
  <c r="J177" i="5"/>
  <c r="J181" i="5" s="1"/>
  <c r="J182" i="5" s="1"/>
  <c r="J183" i="5" s="1"/>
  <c r="C16" i="4"/>
  <c r="H22" i="5"/>
  <c r="H176" i="5"/>
  <c r="C18" i="4"/>
  <c r="G177" i="5"/>
  <c r="H84" i="5" s="1"/>
  <c r="H27" i="5"/>
  <c r="G21" i="6" l="1"/>
  <c r="G73" i="5"/>
  <c r="J178" i="5"/>
  <c r="H81" i="5"/>
  <c r="H78" i="5"/>
  <c r="H79" i="5"/>
  <c r="H83" i="5"/>
  <c r="H131" i="5"/>
  <c r="H125" i="5"/>
  <c r="H138" i="5"/>
  <c r="H148" i="5"/>
  <c r="H123" i="5"/>
  <c r="H133" i="5"/>
  <c r="H146" i="5"/>
  <c r="H140" i="5"/>
  <c r="H134" i="5"/>
  <c r="H128" i="5"/>
  <c r="H87" i="5"/>
  <c r="H151" i="5"/>
  <c r="H97" i="5"/>
  <c r="H161" i="5"/>
  <c r="H126" i="5"/>
  <c r="H136" i="5"/>
  <c r="H95" i="5"/>
  <c r="H159" i="5"/>
  <c r="H89" i="5"/>
  <c r="H82" i="5"/>
  <c r="H147" i="5"/>
  <c r="H141" i="5"/>
  <c r="H85" i="5"/>
  <c r="H90" i="5"/>
  <c r="H154" i="5"/>
  <c r="H100" i="5"/>
  <c r="H164" i="5"/>
  <c r="H139" i="5"/>
  <c r="H149" i="5"/>
  <c r="H98" i="5"/>
  <c r="H162" i="5"/>
  <c r="H92" i="5"/>
  <c r="H156" i="5"/>
  <c r="H173" i="5"/>
  <c r="H122" i="5"/>
  <c r="H132" i="5"/>
  <c r="H171" i="5"/>
  <c r="G178" i="5"/>
  <c r="H76" i="5"/>
  <c r="H120" i="5"/>
  <c r="H77" i="5"/>
  <c r="H137" i="5"/>
  <c r="H153" i="5"/>
  <c r="H86" i="5"/>
  <c r="H150" i="5"/>
  <c r="H144" i="5"/>
  <c r="H103" i="5"/>
  <c r="H167" i="5"/>
  <c r="H113" i="5"/>
  <c r="H142" i="5"/>
  <c r="H88" i="5"/>
  <c r="H152" i="5"/>
  <c r="H111" i="5"/>
  <c r="H175" i="5"/>
  <c r="H105" i="5"/>
  <c r="H169" i="5"/>
  <c r="H130" i="5"/>
  <c r="H135" i="5"/>
  <c r="H110" i="5"/>
  <c r="H143" i="5"/>
  <c r="H80" i="5"/>
  <c r="H99" i="5"/>
  <c r="H163" i="5"/>
  <c r="H93" i="5"/>
  <c r="H157" i="5"/>
  <c r="H106" i="5"/>
  <c r="H170" i="5"/>
  <c r="H116" i="5"/>
  <c r="H91" i="5"/>
  <c r="H155" i="5"/>
  <c r="H101" i="5"/>
  <c r="H165" i="5"/>
  <c r="H114" i="5"/>
  <c r="H108" i="5"/>
  <c r="H172" i="5"/>
  <c r="H160" i="5"/>
  <c r="H119" i="5"/>
  <c r="H129" i="5"/>
  <c r="H94" i="5"/>
  <c r="H104" i="5"/>
  <c r="H168" i="5"/>
  <c r="G181" i="5"/>
  <c r="H124" i="5"/>
  <c r="H102" i="5"/>
  <c r="H166" i="5"/>
  <c r="H96" i="5"/>
  <c r="H158" i="5"/>
  <c r="H127" i="5"/>
  <c r="H121" i="5"/>
  <c r="H115" i="5"/>
  <c r="H109" i="5"/>
  <c r="H107" i="5"/>
  <c r="H117" i="5"/>
  <c r="H118" i="5"/>
  <c r="H112" i="5"/>
  <c r="H145" i="5"/>
  <c r="H174" i="5"/>
  <c r="G72" i="5"/>
  <c r="H67" i="5" s="1"/>
  <c r="C19" i="4"/>
  <c r="C24" i="4" s="1"/>
  <c r="D18" i="4" s="1"/>
  <c r="D14" i="4"/>
  <c r="D16" i="4" l="1"/>
  <c r="C29" i="4"/>
  <c r="C30" i="4" s="1"/>
  <c r="D24" i="4"/>
  <c r="D15" i="4"/>
  <c r="D11" i="4"/>
  <c r="D17" i="4"/>
  <c r="D13" i="4"/>
  <c r="D22" i="4"/>
  <c r="D12" i="4"/>
  <c r="H72" i="5"/>
  <c r="D20" i="4"/>
  <c r="J73" i="5"/>
  <c r="C25" i="4" s="1"/>
  <c r="H73" i="5"/>
  <c r="H68" i="5"/>
  <c r="H69" i="5"/>
  <c r="H64" i="5"/>
  <c r="H70" i="5"/>
  <c r="H62" i="5"/>
  <c r="H66" i="5"/>
  <c r="H63" i="5"/>
  <c r="H71" i="5"/>
  <c r="H65" i="5"/>
  <c r="G182" i="5"/>
  <c r="G183" i="5" s="1"/>
  <c r="C26" i="4" l="1"/>
  <c r="C27" i="4"/>
  <c r="C34" i="4" l="1"/>
  <c r="C32" i="4"/>
  <c r="C37" i="4" s="1"/>
  <c r="C33" i="4"/>
  <c r="C35" i="4"/>
  <c r="C36" i="4" l="1"/>
  <c r="C38" i="4" s="1"/>
  <c r="C39" i="4" l="1"/>
  <c r="C40" i="4" l="1"/>
  <c r="E39" i="4"/>
  <c r="E40" i="4" l="1"/>
  <c r="E31" i="4"/>
  <c r="C41" i="4"/>
  <c r="D11" i="7" s="1"/>
  <c r="E15" i="4"/>
  <c r="E17" i="4"/>
  <c r="E22" i="4"/>
  <c r="E13" i="4"/>
  <c r="E12" i="4"/>
  <c r="E11" i="4"/>
  <c r="E20" i="4"/>
  <c r="E14" i="4"/>
  <c r="E16" i="4"/>
  <c r="E18" i="4"/>
  <c r="E24" i="4"/>
  <c r="E25" i="4"/>
  <c r="E29" i="4"/>
  <c r="E30" i="4"/>
  <c r="E26" i="4"/>
  <c r="E27" i="4"/>
  <c r="E32" i="4"/>
  <c r="E33" i="4"/>
  <c r="E37" i="4"/>
  <c r="E34" i="4"/>
  <c r="E35" i="4"/>
  <c r="E38" i="4"/>
  <c r="E36" i="4"/>
</calcChain>
</file>

<file path=xl/sharedStrings.xml><?xml version="1.0" encoding="utf-8"?>
<sst xmlns="http://schemas.openxmlformats.org/spreadsheetml/2006/main" count="1137" uniqueCount="528">
  <si>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</si>
  <si>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</si>
  <si>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</si>
  <si>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Ячейка выключателя НУ 110кВ, ном.ток 2500А, ном.ток отключения 40кА</t>
  </si>
  <si>
    <t>Сопоставимый уровень цен: 3 квартал 2014 года</t>
  </si>
  <si>
    <t>Единица измерения  — 1 ячейка</t>
  </si>
  <si>
    <t>№ п/п</t>
  </si>
  <si>
    <t>Параметр</t>
  </si>
  <si>
    <t xml:space="preserve">Объект-представитель </t>
  </si>
  <si>
    <t>Наименование объекта-представителя</t>
  </si>
  <si>
    <t>ПС Святогор (МЭС Западная Сибирь)</t>
  </si>
  <si>
    <t>Наименование субъекта Российской Федерации</t>
  </si>
  <si>
    <t>Тюменская область 
ХМАО — Югра
Нефтеюганский район</t>
  </si>
  <si>
    <t>Климатический район и подрайон</t>
  </si>
  <si>
    <t>IД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</si>
  <si>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</si>
  <si>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</si>
  <si>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Схема РУ 110-9 "Одна рабочая секционированная выключателем система шин" 
тип выключателя- элегазовый колонковый
I откл. (кА)/I ном (А) - 40/2500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</si>
  <si>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</si>
  <si>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</si>
  <si>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</si>
  <si>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</si>
  <si>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</si>
  <si>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</si>
  <si>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</si>
  <si>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</si>
  <si>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</si>
  <si>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</si>
  <si>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2014 года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</si>
  <si>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</si>
  <si>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</si>
  <si>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</si>
  <si>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</si>
  <si>
    <t>Составил ______________________        Е.А. Князева</t>
  </si>
  <si>
    <t xml:space="preserve">                         (подпись, инициалы, фамилия)</t>
  </si>
  <si>
    <t>Составил ______________________        Р.Р. Шагеева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</si>
  <si>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</si>
  <si>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</si>
  <si>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</si>
  <si>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</si>
  <si>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</si>
  <si>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</si>
  <si>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</si>
  <si>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</si>
  <si>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3 кв. 2014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</si>
  <si>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</si>
  <si>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</si>
  <si>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</si>
  <si>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</si>
  <si>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</si>
  <si>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02-01-02 ОРУ 110кВ
02-01-01ОРУ 110кВ
02-01-01ОРУ 110кВ</t>
  </si>
  <si>
    <t>Электротехнические решения; Конструктивно-строительные решения; КСР. с метал</t>
  </si>
  <si>
    <t>Всего по объекту:</t>
  </si>
  <si>
    <t>Всего по объекту в сопоставимом уровне цен 3 кв. 2014г: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</si>
  <si>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</si>
  <si>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</si>
  <si>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</si>
  <si>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</si>
  <si>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</si>
  <si>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</si>
  <si>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</si>
  <si>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</si>
  <si>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</si>
  <si>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</si>
  <si>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</si>
  <si>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</si>
  <si>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</si>
  <si>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</si>
  <si>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(средний разряд работы 4,0)</t>
  </si>
  <si>
    <t>чел.-ч</t>
  </si>
  <si>
    <t>1-4-9</t>
  </si>
  <si>
    <t>Затраты труда рабочих (средний разряд работы 4,9)</t>
  </si>
  <si>
    <t>1-4-3</t>
  </si>
  <si>
    <t>Затраты труда рабочих (средний разряд работы 4,3)</t>
  </si>
  <si>
    <t>1-3-9</t>
  </si>
  <si>
    <t>Затраты труда рабочих (средний разряд работы 3,9)</t>
  </si>
  <si>
    <t>1-4-1</t>
  </si>
  <si>
    <t>Затраты труда рабочих (средний разряд работы 4,1)</t>
  </si>
  <si>
    <t>1-3-8</t>
  </si>
  <si>
    <t>Затраты труда рабочих (средний разряд работы 3,8)</t>
  </si>
  <si>
    <t>1-4-2</t>
  </si>
  <si>
    <t>Затраты труда рабочих (средний разряд работы 4,2)</t>
  </si>
  <si>
    <t>1-3-6</t>
  </si>
  <si>
    <t>Затраты труда рабочих (средний разряд работы 3,6)</t>
  </si>
  <si>
    <t>1-1-5</t>
  </si>
  <si>
    <t>Затраты труда рабочих (средний разряд работы 1,5)</t>
  </si>
  <si>
    <t>1-4-7</t>
  </si>
  <si>
    <t>Затраты труда рабочих (средний разряд работы 4,7)</t>
  </si>
  <si>
    <t>1-2-0</t>
  </si>
  <si>
    <t>Затраты труда рабочих (средний разряд работы 2,0)</t>
  </si>
  <si>
    <t>1-3-5</t>
  </si>
  <si>
    <t>Затраты труда рабочих (средний разряд работы 3,5)</t>
  </si>
  <si>
    <t>Затраты труда машинистов</t>
  </si>
  <si>
    <t>Машины и механизмы</t>
  </si>
  <si>
    <t>91.05.05-014</t>
  </si>
  <si>
    <t>Краны на автомобильном ходу, грузоподъемность 10 т</t>
  </si>
  <si>
    <t>маш.-ч</t>
  </si>
  <si>
    <t>91.02.02-003</t>
  </si>
  <si>
    <t>Агрегаты копровые без дизель-молота на базе экскаватора с емкостью ковша 1 м3</t>
  </si>
  <si>
    <t>91.04.01-021</t>
  </si>
  <si>
    <t>Комплекты оборудования шнекового бурения на базе автомобиля глубина бурения до 50 м, грузоподъемность мачты 3,7 т</t>
  </si>
  <si>
    <t>91.21.22-447</t>
  </si>
  <si>
    <t>Установки электрометаллизационные</t>
  </si>
  <si>
    <t>91.14.02-004</t>
  </si>
  <si>
    <t>Автомобили бортовые, грузоподъемность до 15 т</t>
  </si>
  <si>
    <t>91.02.03-024</t>
  </si>
  <si>
    <t>Дизель-молоты 2,5 т</t>
  </si>
  <si>
    <t>91.10.05-001</t>
  </si>
  <si>
    <t>Трубоукладчики для труб диаметром 800-1000 мм, грузоподъемность 35 т</t>
  </si>
  <si>
    <t>91.15.02-029</t>
  </si>
  <si>
    <t>Тракторы на гусеничном ходу с лебедкой 132 кВт (180 л.с.)</t>
  </si>
  <si>
    <t>91.06.06-042</t>
  </si>
  <si>
    <t>Подъемники гидравлические, высота подъема 10 м</t>
  </si>
  <si>
    <t>91.05.06-007</t>
  </si>
  <si>
    <t>Краны на гусеничном ходу, грузоподъемность 25 т</t>
  </si>
  <si>
    <t>Агрегаты наполнительно-опрессовочные до 300 м3/ч</t>
  </si>
  <si>
    <t>маш.час</t>
  </si>
  <si>
    <t>Автомобили бортовые, грузоподъемность до 5 т</t>
  </si>
  <si>
    <t>Автогидроподъемники высотой подъема 28 м</t>
  </si>
  <si>
    <t>Лебедки электрические тяговым усилием 156,96 кН (16 т)</t>
  </si>
  <si>
    <t>91.14.02-001</t>
  </si>
  <si>
    <t>Автомобили бортовые, грузоподъемность: до 5 т</t>
  </si>
  <si>
    <t>03-21-02-025</t>
  </si>
  <si>
    <t>Перевозка грузов автомобилями-самосвалами грузоподъемностью 10 т, работающих вне карьера, на расстояние: до 25 км II класс груза</t>
  </si>
  <si>
    <t>1 т груза</t>
  </si>
  <si>
    <t>Агрегаты сварочные передвижные с номинальным сварочным током 250-400 А с дизельным двигателем</t>
  </si>
  <si>
    <t>91.06.05-011</t>
  </si>
  <si>
    <t>Погрузчик, грузоподъемность 5 т</t>
  </si>
  <si>
    <t>Установки для сварки ручной дуговой (постоянного тока)</t>
  </si>
  <si>
    <t>Тягачи седельные, грузоподъемность 12 т</t>
  </si>
  <si>
    <t>Краны на гусеничном ходу при работе на других видах строительства до 16 т</t>
  </si>
  <si>
    <t>Преобразователи сварочные с номинальным сварочным током 315-500 А</t>
  </si>
  <si>
    <t>Домкраты гидравлические грузоподъемностью 63-100 т</t>
  </si>
  <si>
    <t>Автомобили бортовые, грузоподъемность до 8 т</t>
  </si>
  <si>
    <t>Полуприцепы общего назначения, грузоподъемность 12 т</t>
  </si>
  <si>
    <t>Краны козловые при работе на монтаже технологического оборудования 32 т</t>
  </si>
  <si>
    <t>Краны башенные при работе на других видах строительства 8 т</t>
  </si>
  <si>
    <t>Перфораторы электрические</t>
  </si>
  <si>
    <t>Бульдозеры при работе на других видах строительства 79 кВт (108 л.с.)</t>
  </si>
  <si>
    <t>Агрегаты окрасочные высокого давления для окраски поверхностей конструкций мощностью 1 кВт</t>
  </si>
  <si>
    <t>Электрические печи для сушки сварочных материалов с регулированием температуры в пределах от 80 °С до 500 °С</t>
  </si>
  <si>
    <t>Аппарат для газовой сварки и резки</t>
  </si>
  <si>
    <t>Машины шлифовальные электрические</t>
  </si>
  <si>
    <t>Лебедки электрические тяговым усилием до 12,26 кН (1,25 т)</t>
  </si>
  <si>
    <t>Автопогрузчики 5 т</t>
  </si>
  <si>
    <t>Автомобиль-самосвал, грузоподъемность до 7 т</t>
  </si>
  <si>
    <t>Вибратор поверхностный</t>
  </si>
  <si>
    <t>Лебедки электрические тяговым усилием до 5,79 кН (0,59 т)</t>
  </si>
  <si>
    <t>Прайс из СД ОП</t>
  </si>
  <si>
    <t>Разъединитель трехполюсный с двумя комплектами заз ножей РГНП.2-110/2500 ном. ток отключения 40 кА</t>
  </si>
  <si>
    <t>шт</t>
  </si>
  <si>
    <t>Трансформатор тока 110кВ, СА-123 УХЛ1, ном. ток 2500 А, ном. ток отключения 40 кА</t>
  </si>
  <si>
    <t>Выключатель элегазовый трёхполюсный , колонковый 110 кВ, ВГТ-110 ном. ток 2500 А, ном. ток отключения 40 кА</t>
  </si>
  <si>
    <t>компл.</t>
  </si>
  <si>
    <t>Разъединитель трехполюсный с одним комплектом заз ножей РГНП.1-110/2500, ном. ток отключения 40 кА</t>
  </si>
  <si>
    <t>Выключатель элегазовый трёхполюсный , колонковый 110 кВ, ВГТ-110 Iном 2500, ном. ток отключения 40 кА</t>
  </si>
  <si>
    <t>компл</t>
  </si>
  <si>
    <t>Трансформатор напряжения 110кВ</t>
  </si>
  <si>
    <t>Ограничитель напряжения ОПН-110</t>
  </si>
  <si>
    <t>шт.</t>
  </si>
  <si>
    <t>Разъединитель РВО-10/400, Iном 2500, ном. ток отключения 40 кА</t>
  </si>
  <si>
    <t>Материалы</t>
  </si>
  <si>
    <t>05.1.05.16-0040</t>
  </si>
  <si>
    <t>Сваи железобетонные С35-1-12-1 (бетон B22,5, расход арматуры 185 кг)</t>
  </si>
  <si>
    <t>м3</t>
  </si>
  <si>
    <t>22.2.02.07-0003</t>
  </si>
  <si>
    <t>Конструкции стальные порталов ОРУ</t>
  </si>
  <si>
    <t>т</t>
  </si>
  <si>
    <t>04.1.02.05-0063</t>
  </si>
  <si>
    <t>Смеси бетонные тяжелого бетона (БСТ), крупность заполнителя 40 мм, класс В25 (М350)</t>
  </si>
  <si>
    <t>22.2.02.07-0004</t>
  </si>
  <si>
    <t>Конструкции стальные прожекторных мачт ОРУ</t>
  </si>
  <si>
    <t>22.2.01.07-0001</t>
  </si>
  <si>
    <t>Опора шинная ШО-110.II-УХЛ1</t>
  </si>
  <si>
    <t>21.2.01.02-0094</t>
  </si>
  <si>
    <t>Провод неизолированный для воздушных линий электропередачи АС 300/39</t>
  </si>
  <si>
    <t>01.4.01.10-0016</t>
  </si>
  <si>
    <t>Шнек, диаметр 135 мм</t>
  </si>
  <si>
    <t>110-0178</t>
  </si>
  <si>
    <t>Ростверки стальные массой до 0,2т</t>
  </si>
  <si>
    <t>201-0599</t>
  </si>
  <si>
    <t>Площадки просадочные, мостики, кронштейны, маршевые лестницы, пожарные щиты переходных площадок, ограждений</t>
  </si>
  <si>
    <t>509-0458</t>
  </si>
  <si>
    <t>Зажимы натяжные болтовые НБН алюминиевые для крепления многопроволочных проводов сечением 95-120 мм2</t>
  </si>
  <si>
    <t>111-0179</t>
  </si>
  <si>
    <t>Изоляторы</t>
  </si>
  <si>
    <t>110-0256</t>
  </si>
  <si>
    <t>Конструкции стальные отдельностоящих молниеотводов ОРУ</t>
  </si>
  <si>
    <t>101-1723</t>
  </si>
  <si>
    <t>Звено соединительное 28 мм</t>
  </si>
  <si>
    <t>10.1.02.03-0001</t>
  </si>
  <si>
    <t>Проволока алюминиевая (АМЦ) диаметром 1,4-1,8 мм</t>
  </si>
  <si>
    <t>509-0417</t>
  </si>
  <si>
    <t>Зажим фиксирующий 049-5 (КС-329)</t>
  </si>
  <si>
    <t>502-0323</t>
  </si>
  <si>
    <t>Провода неизолированные для воздушных линий электропередачи из стальных оцинкованных проволок 1 группы и алюминиевых проволок марки АС, сечением 150/19 мм2</t>
  </si>
  <si>
    <t>113-0442</t>
  </si>
  <si>
    <t>Краска "Цинол"</t>
  </si>
  <si>
    <t>кг</t>
  </si>
  <si>
    <t>509-0127</t>
  </si>
  <si>
    <t>Ушко двухлапчатое У2-12-16</t>
  </si>
  <si>
    <t>201-0764</t>
  </si>
  <si>
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</si>
  <si>
    <t>509-0067</t>
  </si>
  <si>
    <t>Профиль монтажный</t>
  </si>
  <si>
    <t>509-0244</t>
  </si>
  <si>
    <t>Распорка 125-1</t>
  </si>
  <si>
    <t>201-0843</t>
  </si>
  <si>
    <t>Конструкции стальные индивидуальные решетчатые сварные массой до 0,1 т</t>
  </si>
  <si>
    <t>101-3721</t>
  </si>
  <si>
    <t>сталь полосовая 50х4 мм, марка Ст3сп</t>
  </si>
  <si>
    <t>201-0756</t>
  </si>
  <si>
    <t>Отдельные конструктивные элементы зданий и сооружений с преобладанием горячекатаных профилей, средняя масса сборочной единицы от 0,1 до 0,5 т</t>
  </si>
  <si>
    <t>401-0049</t>
  </si>
  <si>
    <t>Надбавка на W8 для М350 3%           617,83х0,03</t>
  </si>
  <si>
    <t>509-1060</t>
  </si>
  <si>
    <t>Узел крепления фиксатора окрашенный</t>
  </si>
  <si>
    <t>509-0221</t>
  </si>
  <si>
    <t>Коромысло для анкеровки усиливающих и питающих проводов (КС-122)</t>
  </si>
  <si>
    <t>101-1513</t>
  </si>
  <si>
    <t>Электроды диаметром 4 мм Э42</t>
  </si>
  <si>
    <t>101-2162</t>
  </si>
  <si>
    <t>Рукава металлические диаметром 27 мм РЗ-Ц-Х</t>
  </si>
  <si>
    <t>м</t>
  </si>
  <si>
    <t>101-1977</t>
  </si>
  <si>
    <t>Болты с гайками и шайбами строительные</t>
  </si>
  <si>
    <t>101-2355</t>
  </si>
  <si>
    <t>Бумага шлифовальная</t>
  </si>
  <si>
    <t>201-0650</t>
  </si>
  <si>
    <t>Ограждения лестничных проемов, лестничные марши, пожарные лестницы</t>
  </si>
  <si>
    <t>101-1755</t>
  </si>
  <si>
    <t>сталь полосовая, марка стали Ст3сп шириной 50-200 мм толщиной 4-5 мм</t>
  </si>
  <si>
    <t>101-2065</t>
  </si>
  <si>
    <t>Болты с гайками и шайбами оцинкованные, диаметр 24 мм</t>
  </si>
  <si>
    <t>502-0505</t>
  </si>
  <si>
    <t>Провода силовые для электрических установок на напряжение до 450 В с медной жилой марки ПВ1, сечением 25 мм2</t>
  </si>
  <si>
    <t>1000 м</t>
  </si>
  <si>
    <t>101-2143</t>
  </si>
  <si>
    <t>Краска</t>
  </si>
  <si>
    <t>14.5.09.11-0101</t>
  </si>
  <si>
    <t>Уайт-спирит</t>
  </si>
  <si>
    <t>503-0544</t>
  </si>
  <si>
    <t>Бокс ЩРН-9 навесной (250х350х120)</t>
  </si>
  <si>
    <t>113-0561</t>
  </si>
  <si>
    <t>Композиция "Алпол" (на основе термопластичных полимеров)</t>
  </si>
  <si>
    <t>102-8009</t>
  </si>
  <si>
    <t>Доски дубовые II сорта</t>
  </si>
  <si>
    <t>101-1924</t>
  </si>
  <si>
    <t>Электроды диаметром 4 мм Э42А</t>
  </si>
  <si>
    <t>401-0064</t>
  </si>
  <si>
    <t>БЕТОН тяжелый, крупность заполнителя 20 мм, класс В10 (М150)</t>
  </si>
  <si>
    <t>401-0061</t>
  </si>
  <si>
    <t>БЕТОН тяжелый, крупность заполнителя 20 мм, класс В3,5 (М50)</t>
  </si>
  <si>
    <t>509-0237</t>
  </si>
  <si>
    <t>Серьга Ср-4,5 075</t>
  </si>
  <si>
    <t>101-0113</t>
  </si>
  <si>
    <t>Бязь суровая арт. 6804</t>
  </si>
  <si>
    <t>10 м2</t>
  </si>
  <si>
    <t>109-0145</t>
  </si>
  <si>
    <t>Коронки буровые типа К-100В</t>
  </si>
  <si>
    <t>101-2353</t>
  </si>
  <si>
    <t>Спирт этиловый ректификованный технический, сорт I</t>
  </si>
  <si>
    <t>101-2343</t>
  </si>
  <si>
    <t>Смазка универсальная тугоплавкая УТ (консталин жировой)</t>
  </si>
  <si>
    <t>201-0755</t>
  </si>
  <si>
    <t>Отдельные конструктивные элементы зданий и сооружений с преобладанием горячекатаных профилей, средняя масса сборочной единицы до 0,1 т</t>
  </si>
  <si>
    <t>999-9950</t>
  </si>
  <si>
    <t>Вспомогательные ненормируемые материальные ресурсы (2% от оплаты труда рабочих)</t>
  </si>
  <si>
    <t>руб.</t>
  </si>
  <si>
    <t>101-1714</t>
  </si>
  <si>
    <t>301-0041</t>
  </si>
  <si>
    <t>Патрубки</t>
  </si>
  <si>
    <t>10 шт.</t>
  </si>
  <si>
    <t>503-0543</t>
  </si>
  <si>
    <t>Бокс ЩРН-9 навесной (250х300х120)</t>
  </si>
  <si>
    <t>509-0129</t>
  </si>
  <si>
    <t>Ушко однолапчатое 012</t>
  </si>
  <si>
    <t>509-0102</t>
  </si>
  <si>
    <t>Скобы</t>
  </si>
  <si>
    <t>113-0226</t>
  </si>
  <si>
    <t>Эмаль ХВ-124 голубая</t>
  </si>
  <si>
    <t>113-0021</t>
  </si>
  <si>
    <t>Грунтовка ГФ-021 красно-коричневая</t>
  </si>
  <si>
    <t>201-0774</t>
  </si>
  <si>
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</si>
  <si>
    <t>101-1515</t>
  </si>
  <si>
    <t>Электроды диаметром 4 мм Э46</t>
  </si>
  <si>
    <t>502-0639</t>
  </si>
  <si>
    <t>Муфта</t>
  </si>
  <si>
    <t>506-0641</t>
  </si>
  <si>
    <t>Проволока латунная марки Л68 круглая, твердая, нормальной точности, диаметром 0,50 мм</t>
  </si>
  <si>
    <t>101-1627</t>
  </si>
  <si>
    <t>сталь листовая углеродистая обыкновенного качества марки ВСт3пс5 толщиной 4-6 мм</t>
  </si>
  <si>
    <t>102-0154</t>
  </si>
  <si>
    <t>Доски обрезные (береза, липа) длиной 4-6,5 м, все ширины, толщиной 19-22 мм, II сорта</t>
  </si>
  <si>
    <t>101-0388</t>
  </si>
  <si>
    <t>Краски масляные земляные марки МА-0115 мумия, сурик железный</t>
  </si>
  <si>
    <t>101-3914</t>
  </si>
  <si>
    <t>Дюбели распорные полипропиленовые</t>
  </si>
  <si>
    <t>100 шт.</t>
  </si>
  <si>
    <t>101-1805</t>
  </si>
  <si>
    <t>Гвозди строительные</t>
  </si>
  <si>
    <t>101-2467</t>
  </si>
  <si>
    <t>Растворитель марки Р-4</t>
  </si>
  <si>
    <t>101-0115</t>
  </si>
  <si>
    <t>Винты с полукруглой головкой длиной 50 мм</t>
  </si>
  <si>
    <t>101-2278</t>
  </si>
  <si>
    <t>Пропан-бутан, смесь техническая</t>
  </si>
  <si>
    <t>509-0090</t>
  </si>
  <si>
    <t>Перемычки гибкие, тип ПГС-50</t>
  </si>
  <si>
    <t>101-1668</t>
  </si>
  <si>
    <t>Рогожа</t>
  </si>
  <si>
    <t>м2</t>
  </si>
  <si>
    <t>101-0324</t>
  </si>
  <si>
    <t>Кислород технический газообразный</t>
  </si>
  <si>
    <t>101-1019</t>
  </si>
  <si>
    <t>Швеллеры № 40 из стали марки Ст0</t>
  </si>
  <si>
    <t>509-0032</t>
  </si>
  <si>
    <t>Зажимы</t>
  </si>
  <si>
    <t>101-0179</t>
  </si>
  <si>
    <t>Гвозди строительные с плоской головкой 1,6x50 мм</t>
  </si>
  <si>
    <t>113-0077</t>
  </si>
  <si>
    <t>Ксилол нефтяной марки А</t>
  </si>
  <si>
    <t>509-0031</t>
  </si>
  <si>
    <t>Муфты соединительные</t>
  </si>
  <si>
    <t>101-0309</t>
  </si>
  <si>
    <t>Канаты пеньковые пропитанные</t>
  </si>
  <si>
    <t>101-1728</t>
  </si>
  <si>
    <t>Дюбели распорные с гайкой</t>
  </si>
  <si>
    <t>101-1306</t>
  </si>
  <si>
    <t>Портландцемент общестроительного назначения бездобавочный, марки 500</t>
  </si>
  <si>
    <t>102-0023</t>
  </si>
  <si>
    <t>Бруски обрезные хвойных пород длиной 4-6,5 м, шириной 75-150 мм, толщиной 40-75 мм, I сорта</t>
  </si>
  <si>
    <t>509-0783</t>
  </si>
  <si>
    <t>Втулки изолирующие</t>
  </si>
  <si>
    <t>506-1362</t>
  </si>
  <si>
    <t>Припои оловянно-свинцовые бессурьмянистые марки ПОС30</t>
  </si>
  <si>
    <t>508-0097</t>
  </si>
  <si>
    <t>Канат двойной свивки типа ТК, конструкции 6х19(1+6+12)+1 о.с., оцинкованный из проволок марки В, маркировочная группа 1770 н/мм2, диаметром 5,5 мм</t>
  </si>
  <si>
    <t>10 м</t>
  </si>
  <si>
    <t>113-0307</t>
  </si>
  <si>
    <t>Пленка полиэтиленовая толщиной 0,2-0,5 мм</t>
  </si>
  <si>
    <t>101-4621</t>
  </si>
  <si>
    <t>Шуруп самонарезающий (LN) 3,5/11 мм</t>
  </si>
  <si>
    <t>113-1786</t>
  </si>
  <si>
    <t>Лак битумный БТ-123</t>
  </si>
  <si>
    <t>101-2478</t>
  </si>
  <si>
    <t>Лента К226</t>
  </si>
  <si>
    <t>100 м</t>
  </si>
  <si>
    <t>101-2357</t>
  </si>
  <si>
    <t>лист</t>
  </si>
  <si>
    <t>408-0141</t>
  </si>
  <si>
    <t>Песок природный для строительных растворов средний</t>
  </si>
  <si>
    <t>101-1964</t>
  </si>
  <si>
    <t>Шпагат бумажный</t>
  </si>
  <si>
    <t>101-1481</t>
  </si>
  <si>
    <t>Шурупы с полукруглой головкой 4x40 мм</t>
  </si>
  <si>
    <t>101-0797</t>
  </si>
  <si>
    <t>Проволока горячекатаная в мотках, диаметром 6,3-6,5 мм</t>
  </si>
  <si>
    <t>408-0015</t>
  </si>
  <si>
    <t>Щебень из природного камня для строительных работ марка 800, фракция 20-40 мм</t>
  </si>
  <si>
    <t>411-0001</t>
  </si>
  <si>
    <t>Вода</t>
  </si>
  <si>
    <t xml:space="preserve">Примечание: </t>
  </si>
  <si>
    <t xml:space="preserve">Сметная стоимость ресурсов принята на основании данных по объекту - представителю в ценах на 01.01.2000 </t>
  </si>
  <si>
    <t>Составил ______________________       Р.Р. Шагеева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</si>
  <si>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</si>
  <si>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</si>
  <si>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</si>
  <si>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</si>
  <si>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</si>
  <si>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</si>
  <si>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</si>
  <si>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</si>
  <si>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</si>
  <si>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</si>
  <si>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</si>
  <si>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</si>
  <si>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</si>
  <si>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</si>
  <si>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</si>
  <si>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</si>
  <si>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</si>
  <si>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</si>
  <si>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</si>
  <si>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</si>
  <si>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</si>
  <si>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</si>
  <si>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</si>
  <si>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</si>
  <si>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</si>
  <si>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</si>
  <si>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</si>
  <si>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</si>
  <si>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</si>
  <si>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</si>
  <si>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</si>
  <si>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</si>
  <si>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</si>
  <si>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</si>
  <si>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</si>
  <si>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</si>
  <si>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</si>
  <si>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</si>
  <si>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</si>
  <si>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</si>
  <si>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Ячейка выключателя НУ 110кВ, ном.ток 2500А, ном.ток отключения 40кА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</si>
  <si>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</si>
  <si>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</si>
  <si>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</si>
  <si>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</si>
  <si>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</si>
  <si>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</si>
  <si>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Итого по разделу "Затраты труда рабочих-строителей"</t>
  </si>
  <si>
    <t>чел.-ч.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</si>
  <si>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</si>
  <si>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</si>
  <si>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</si>
  <si>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</si>
  <si>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</si>
  <si>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</si>
  <si>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БЦ.61.708</t>
  </si>
  <si>
    <t>Разъединитель трехполюсный с двумя комплектами заз ножей 110 кВ, 2500 А ном, 40 кА.</t>
  </si>
  <si>
    <t>БЦ.14.239</t>
  </si>
  <si>
    <t>Трансформатор тока 110кВ, 2500 А, 40 кА</t>
  </si>
  <si>
    <t>БЦ.1.114</t>
  </si>
  <si>
    <t>Выключатель элегазовый трёхполюсный , колонковый 110 кВ, 2500 А, 40 кА</t>
  </si>
  <si>
    <t>БЦ.63.708</t>
  </si>
  <si>
    <t>Разъединитель трехполюсный с одним комплектом заз ножей 110 кВ, 2500 А ном, 40 кА.</t>
  </si>
  <si>
    <t>Выключатель элегазовый трёхполюсный , колонковый 110 кВ, 110 кВ, 2500 А, 40 кА</t>
  </si>
  <si>
    <t>Итого основное оборудование</t>
  </si>
  <si>
    <t>БЦ.16.115</t>
  </si>
  <si>
    <t>Трансформатор напряжения однофазный 110кВ, 960 ВА</t>
  </si>
  <si>
    <t>БЦ.60.48</t>
  </si>
  <si>
    <t>БЦ.64.94</t>
  </si>
  <si>
    <t>Разъединитель одноплюсный с одним комплектом заземляющих ножей 10кВ, 2500 А, 40 кА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</si>
  <si>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</si>
  <si>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</si>
  <si>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</si>
  <si>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</si>
  <si>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20.2.04.04-0052</t>
  </si>
  <si>
    <t>Короб электротехнический стальной: КП-0,1/0,2-2У1</t>
  </si>
  <si>
    <t>Итого основные материалы</t>
  </si>
  <si>
    <t>20.1.01.02-0066</t>
  </si>
  <si>
    <t xml:space="preserve">	Зажим аппаратный прессуемый: А4А-300-2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</si>
  <si>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</si>
  <si>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</si>
  <si>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</si>
  <si>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</si>
  <si>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</si>
  <si>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</si>
  <si>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</si>
  <si>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</si>
  <si>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</si>
  <si>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</si>
  <si>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</si>
  <si>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</si>
  <si>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</si>
  <si>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</si>
  <si>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</si>
  <si>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</si>
  <si>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</si>
  <si>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</si>
  <si>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</si>
  <si>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</si>
  <si>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</si>
  <si>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</si>
  <si>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</si>
  <si>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В1-01-1</t>
  </si>
  <si>
    <t xml:space="preserve">УНЦ ячейки выключателя НУ 110 -750 кВ </t>
  </si>
  <si>
    <t>Составил ______________________      Р.Р. Шагеева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</si>
  <si>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</si>
  <si>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</si>
  <si>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</si>
  <si>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</si>
  <si>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</si>
  <si>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</si>
  <si>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</si>
  <si>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</si>
  <si>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</si>
  <si>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</si>
  <si>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</si>
  <si>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</si>
  <si>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</si>
  <si>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</si>
  <si>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</si>
  <si>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</si>
  <si>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</si>
  <si>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</si>
  <si>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</si>
  <si>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</si>
  <si>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t>Расчет размера средств на оплату труда рабочих-строителей в текущем уровне цен (ФОТр.тек.)</t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</si>
  <si>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</si>
  <si>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</si>
  <si>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</si>
  <si>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</si>
  <si>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</si>
  <si>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</si>
  <si>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</si>
  <si>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</si>
  <si>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t>С1ср</t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</si>
  <si>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</si>
  <si>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</si>
  <si>
    <t>1.2</t>
  </si>
  <si>
    <t>Среднегодовое нормативное число часов работы одного рабочего в месяц, часы (ч.)</t>
  </si>
  <si>
    <t>tср</t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</si>
  <si>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</si>
  <si>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</si>
  <si>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</si>
  <si>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</si>
  <si>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</si>
  <si>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</si>
  <si>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</si>
  <si>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</si>
  <si>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</si>
  <si>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</si>
  <si>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t>КТ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</si>
  <si>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</si>
  <si>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</si>
  <si>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</si>
  <si>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t>Кинф</t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</si>
  <si>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</si>
  <si>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</si>
  <si>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</si>
  <si>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t>Размер средств на оплату труда рабочих-строителей в текущем уровне цен (ФОТр.тек.), руб/чел.-ч</t>
  </si>
  <si>
    <t>ФОТр.тек.</t>
  </si>
  <si>
    <t>(С1ср/tср*КТ*Т*Кув)*Кинф</t>
  </si>
  <si>
    <t>Методика расчета индексов изменения сметной стоимости строительства, утвержденной приказом Минстроя России от 05.06.2019 №326/пр, п.31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</si>
</sst>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</numFmts>
  <fonts count="20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12"/>
      <color rgb="FF000000"/>
      <name val="Calibri"/>
    </font>
    <font>
      <i/>
      <sz val="10"/>
      <color rgb="FF000000"/>
      <name val="Arial"/>
    </font>
    <font>
      <sz val="11"/>
      <color rgb="FFE7E6E6"/>
      <name val="Calibri"/>
    </font>
    <font>
      <sz val="11"/>
      <color rgb="FFFF0000"/>
      <name val="Calibri"/>
    </font>
    <font>
      <sz val="8"/>
      <color rgb="FF000000"/>
      <name val="Arial"/>
    </font>
    <font>
      <sz val="11"/>
      <color rgb="FFBFBFBF"/>
      <name val="Calibri"/>
    </font>
    <font>
      <b/>
      <sz val="14"/>
      <color rgb="FF000000"/>
      <name val="Times New Roman"/>
    </font>
    <font>
      <sz val="11"/>
      <color rgb="FFA5A5A5"/>
      <name val="Calibri"/>
    </font>
    <font>
      <b/>
      <sz val="12"/>
      <color rgb="FF000000"/>
      <name val="Calibri"/>
    </font>
    <font>
      <b/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3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0" xfId="0" applyFont="1" applyAlignment="1">
      <alignment horizontal="justify" vertical="center"/>
    </xf>
    <xf numFmtId="164" fontId="0" fillId="0" borderId="0" xfId="0" applyNumberFormat="1"/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0" fillId="0" borderId="0" xfId="0" applyNumberFormat="1"/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horizontal="right" vertical="center"/>
    </xf>
    <xf numFmtId="164" fontId="1" fillId="0" borderId="0" xfId="0" applyNumberFormat="1" applyFont="1"/>
    <xf numFmtId="10" fontId="1" fillId="0" borderId="0" xfId="0" applyNumberFormat="1" applyFont="1"/>
    <xf numFmtId="4" fontId="1" fillId="0" borderId="0" xfId="0" applyNumberFormat="1" applyFont="1"/>
    <xf numFmtId="168" fontId="12" fillId="2" borderId="0" xfId="0" applyNumberFormat="1" applyFont="1" applyFill="1"/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justify" vertical="center" wrapText="1"/>
    </xf>
    <xf numFmtId="169" fontId="13" fillId="2" borderId="0" xfId="0" applyNumberFormat="1" applyFont="1" applyFill="1"/>
    <xf numFmtId="0" fontId="9" fillId="0" borderId="0" xfId="0" applyFont="1" applyAlignment="1">
      <alignment horizontal="right"/>
    </xf>
    <xf numFmtId="0" fontId="9" fillId="0" borderId="0" xfId="0" applyFont="1"/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/>
    <xf numFmtId="170" fontId="15" fillId="0" borderId="0" xfId="0" applyNumberFormat="1" applyFont="1"/>
    <xf numFmtId="0" fontId="11" fillId="0" borderId="0" xfId="0" applyFont="1" applyAlignment="1">
      <alignment vertical="top"/>
    </xf>
    <xf numFmtId="2" fontId="0" fillId="0" borderId="0" xfId="0" applyNumberFormat="1"/>
    <xf numFmtId="0" fontId="1" fillId="0" borderId="0" xfId="0" applyFont="1" applyAlignment="1">
      <alignment horizontal="left"/>
    </xf>
    <xf numFmtId="4" fontId="0" fillId="0" borderId="0" xfId="0" applyNumberFormat="1"/>
    <xf numFmtId="164" fontId="2" fillId="0" borderId="1" xfId="0" applyNumberFormat="1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168" fontId="17" fillId="0" borderId="0" xfId="0" applyNumberFormat="1" applyFont="1"/>
    <xf numFmtId="4" fontId="2" fillId="0" borderId="0" xfId="0" applyNumberFormat="1" applyFont="1" applyAlignment="1">
      <alignment vertical="center" wrapText="1"/>
    </xf>
    <xf numFmtId="4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righ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71" fontId="2" fillId="0" borderId="1" xfId="0" applyNumberFormat="1" applyFont="1" applyBorder="1" applyAlignment="1">
      <alignment horizontal="center" vertical="center" wrapText="1"/>
    </xf>
    <xf numFmtId="172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right" vertical="center" wrapText="1"/>
    </xf>
    <xf numFmtId="0" fontId="3" fillId="0" borderId="4" xfId="0" applyFont="1" applyBorder="1" applyAlignment="1">
      <alignment horizontal="left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right" vertical="center" wrapText="1"/>
    </xf>
    <xf numFmtId="10" fontId="2" fillId="0" borderId="4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4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0" fontId="0" fillId="0" borderId="0" xfId="0" applyNumberFormat="1"/>
    <xf numFmtId="4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4" fontId="2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4" fontId="10" fillId="0" borderId="1" xfId="0" applyNumberFormat="1" applyFont="1" applyBorder="1" applyAlignment="1">
      <alignment horizontal="center" vertical="center" wrapText="1"/>
    </xf>
    <xf numFmtId="4" fontId="18" fillId="0" borderId="2" xfId="0" applyNumberFormat="1" applyFont="1" applyBorder="1" applyAlignment="1">
      <alignment vertical="center" wrapText="1"/>
    </xf>
    <xf numFmtId="4" fontId="18" fillId="0" borderId="1" xfId="0" applyNumberFormat="1" applyFont="1" applyBorder="1" applyAlignment="1">
      <alignment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vertical="center" wrapText="1"/>
    </xf>
    <xf numFmtId="4" fontId="3" fillId="0" borderId="1" xfId="0" applyNumberFormat="1" applyFont="1" applyBorder="1" applyAlignment="1">
      <alignment horizontal="right"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9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top" wrapText="1"/>
    </xf>
    <xf numFmtId="49" fontId="11" fillId="0" borderId="0" xfId="0" applyNumberFormat="1" applyFont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center"/>
    </xf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3" fillId="0" borderId="11" xfId="0" applyFont="1" applyBorder="1" applyAlignment="1">
      <alignment horizontal="left" vertical="center" wrapText="1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B3:G35"/>
  <sheetViews>
    <sheetView workbookViewId="0"/>
  </sheetViews>
  <sheetFormatPr defaultRowHeight="15" x14ac:dyDescent="0.25"/>
  <sheetData>
    <row r="3" spans="2:4" ht="15.75" x14ac:dyDescent="0.25">
      <c r="B3" s="91" t="s">
        <v>0</v>
      </c>
    </row>
    <row r="4" spans="2:4" ht="18.75" x14ac:dyDescent="0.25">
      <c r="B4" s="92" t="s">
        <v>1</v>
      </c>
    </row>
    <row r="5" spans="2:4" ht="409.5" x14ac:dyDescent="0.25">
      <c r="B5" s="93" t="s">
        <v>2</v>
      </c>
    </row>
    <row r="6" spans="2:4" ht="18.75" x14ac:dyDescent="0.25">
      <c r="B6" s="40"/>
      <c r="C6" s="40"/>
      <c r="D6" s="40"/>
    </row>
    <row r="7" spans="2:4" ht="299.25" x14ac:dyDescent="0.25">
      <c r="B7" s="90" t="s">
        <v>3</v>
      </c>
    </row>
    <row r="8" spans="2:4" ht="110.25" x14ac:dyDescent="0.25">
      <c r="B8" s="90" t="s">
        <v>4</v>
      </c>
    </row>
    <row r="9" spans="2:4" ht="78.75" x14ac:dyDescent="0.25">
      <c r="B9" s="90" t="s">
        <v>5</v>
      </c>
    </row>
    <row r="10" spans="2:4" ht="18.75" x14ac:dyDescent="0.25">
      <c r="B10" s="35"/>
    </row>
    <row r="11" spans="2:4" ht="47.25" x14ac:dyDescent="0.25">
      <c r="B11" s="95" t="s">
        <v>6</v>
      </c>
      <c r="C11" s="95" t="s">
        <v>7</v>
      </c>
      <c r="D11" s="95" t="s">
        <v>8</v>
      </c>
    </row>
    <row r="12" spans="2:4" ht="94.5" x14ac:dyDescent="0.25">
      <c r="B12" s="95">
        <v>1</v>
      </c>
      <c r="C12" s="41" t="s">
        <v>9</v>
      </c>
      <c r="D12" s="95" t="s">
        <v>10</v>
      </c>
    </row>
    <row r="13" spans="2:4" ht="126" x14ac:dyDescent="0.25">
      <c r="B13" s="95">
        <v>2</v>
      </c>
      <c r="C13" s="41" t="s">
        <v>11</v>
      </c>
      <c r="D13" s="95" t="s">
        <v>12</v>
      </c>
    </row>
    <row r="14" spans="2:4" ht="78.75" x14ac:dyDescent="0.25">
      <c r="B14" s="95">
        <v>3</v>
      </c>
      <c r="C14" s="41" t="s">
        <v>13</v>
      </c>
      <c r="D14" s="95" t="s">
        <v>14</v>
      </c>
    </row>
    <row r="15" spans="2:4" ht="47.25" x14ac:dyDescent="0.25">
      <c r="B15" s="95">
        <v>4</v>
      </c>
      <c r="C15" s="41" t="s">
        <v>15</v>
      </c>
      <c r="D15" s="95">
        <v>11</v>
      </c>
    </row>
    <row r="16" spans="2:4" ht="393.75" x14ac:dyDescent="0.25">
      <c r="B16" s="95">
        <v>5</v>
      </c>
      <c r="C16" s="36" t="s">
        <v>16</v>
      </c>
      <c r="D16" s="95" t="s">
        <v>17</v>
      </c>
    </row>
    <row r="17" spans="2:7" ht="378" x14ac:dyDescent="0.25">
      <c r="B17" s="95">
        <v>6</v>
      </c>
      <c r="C17" s="36" t="s">
        <v>18</v>
      </c>
      <c r="D17" s="82">
        <f>SUM(D18:D21)</f>
        <v>20540.53</v>
      </c>
    </row>
    <row r="18" spans="2:7" ht="78.75" x14ac:dyDescent="0.25">
      <c r="B18" s="87" t="s">
        <v>19</v>
      </c>
      <c r="C18" s="41" t="s">
        <v>20</v>
      </c>
      <c r="D18" s="82">
        <v>4342.47</v>
      </c>
    </row>
    <row r="19" spans="2:7" ht="63" x14ac:dyDescent="0.25">
      <c r="B19" s="87" t="s">
        <v>21</v>
      </c>
      <c r="C19" s="41" t="s">
        <v>22</v>
      </c>
      <c r="D19" s="82">
        <v>13049.06</v>
      </c>
    </row>
    <row r="20" spans="2:7" ht="63" x14ac:dyDescent="0.25">
      <c r="B20" s="87" t="s">
        <v>23</v>
      </c>
      <c r="C20" s="41" t="s">
        <v>24</v>
      </c>
      <c r="D20" s="82"/>
    </row>
    <row r="21" spans="2:7" ht="94.5" x14ac:dyDescent="0.25">
      <c r="B21" s="87" t="s">
        <v>25</v>
      </c>
      <c r="C21" s="41" t="s">
        <v>26</v>
      </c>
      <c r="D21" s="82">
        <v>3149</v>
      </c>
    </row>
    <row r="22" spans="2:7" ht="63" x14ac:dyDescent="0.25">
      <c r="B22" s="95">
        <v>7</v>
      </c>
      <c r="C22" s="41" t="s">
        <v>27</v>
      </c>
      <c r="D22" s="87" t="s">
        <v>28</v>
      </c>
      <c r="G22" s="46"/>
    </row>
    <row r="23" spans="2:7" ht="409.5" x14ac:dyDescent="0.25">
      <c r="B23" s="95">
        <v>8</v>
      </c>
      <c r="C23" s="36" t="s">
        <v>29</v>
      </c>
      <c r="D23" s="82">
        <f>D17</f>
        <v>20540.53</v>
      </c>
    </row>
    <row r="24" spans="2:7" ht="204.75" x14ac:dyDescent="0.25">
      <c r="B24" s="95">
        <v>9</v>
      </c>
      <c r="C24" s="36" t="s">
        <v>30</v>
      </c>
      <c r="D24" s="82">
        <f>D23/D15</f>
        <v>1867.320909090909</v>
      </c>
      <c r="G24" s="46"/>
    </row>
    <row r="25" spans="2:7" ht="409.5" x14ac:dyDescent="0.25">
      <c r="B25" s="95">
        <v>10</v>
      </c>
      <c r="C25" s="41" t="s">
        <v>31</v>
      </c>
      <c r="D25" s="41" t="s">
        <v>32</v>
      </c>
    </row>
    <row r="26" spans="2:7" ht="15.75" x14ac:dyDescent="0.25">
      <c r="B26" s="42"/>
      <c r="C26" s="43"/>
      <c r="D26" s="43"/>
    </row>
    <row r="27" spans="2:7" x14ac:dyDescent="0.25">
      <c r="B27" s="78" t="s">
        <v>33</v>
      </c>
      <c r="C27" s="79"/>
    </row>
    <row r="28" spans="2:7" x14ac:dyDescent="0.25">
      <c r="B28" s="71" t="s">
        <v>34</v>
      </c>
      <c r="C28" s="79"/>
    </row>
    <row r="29" spans="2:7" x14ac:dyDescent="0.25">
      <c r="B29" s="71"/>
      <c r="C29" s="79"/>
    </row>
    <row r="30" spans="2:7" x14ac:dyDescent="0.25">
      <c r="B30" s="78" t="s">
        <v>35</v>
      </c>
      <c r="C30" s="79"/>
    </row>
    <row r="31" spans="2:7" x14ac:dyDescent="0.25">
      <c r="B31" s="71" t="s">
        <v>34</v>
      </c>
      <c r="C31" s="79"/>
    </row>
    <row r="32" spans="2:7" x14ac:dyDescent="0.25">
      <c r="B32" s="78"/>
      <c r="C32" s="79"/>
    </row>
    <row r="33" spans="2:4" x14ac:dyDescent="0.25">
      <c r="B33" s="78" t="s">
        <v>36</v>
      </c>
      <c r="C33" s="79"/>
    </row>
    <row r="34" spans="2:4" x14ac:dyDescent="0.25">
      <c r="B34" s="71" t="s">
        <v>37</v>
      </c>
      <c r="C34" s="79"/>
    </row>
    <row r="35" spans="2:4" ht="15.75" x14ac:dyDescent="0.25">
      <c r="B35" s="43"/>
      <c r="C35" s="43"/>
      <c r="D35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B3:K22"/>
  <sheetViews>
    <sheetView workbookViewId="0"/>
  </sheetViews>
  <sheetFormatPr defaultRowHeight="15" x14ac:dyDescent="0.25"/>
  <sheetData>
    <row r="3" spans="2:11" ht="15.75" x14ac:dyDescent="0.25">
      <c r="B3" s="91" t="s">
        <v>38</v>
      </c>
    </row>
    <row r="4" spans="2:11" ht="15.75" x14ac:dyDescent="0.25">
      <c r="B4" s="96" t="s">
        <v>39</v>
      </c>
    </row>
    <row r="5" spans="2:11" ht="15.75" x14ac:dyDescent="0.25"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2:11" ht="15.75" x14ac:dyDescent="0.25">
      <c r="B6" s="90" t="str">
        <f>'Прил.1 Сравнит табл'!B7</f>
        <v>Наименование разрабатываемого показателя УНЦ - Ячейка выключателя НУ 110кВ, ном.ток 2500А, ном.ток отключения 40кА</v>
      </c>
    </row>
    <row r="7" spans="2:11" ht="15.75" x14ac:dyDescent="0.25">
      <c r="B7" s="90" t="str">
        <f>'Прил.1 Сравнит табл'!B9</f>
        <v>Единица измерения  — 1 ячейка</v>
      </c>
    </row>
    <row r="8" spans="2:11" ht="18.75" x14ac:dyDescent="0.25">
      <c r="B8" s="35"/>
    </row>
    <row r="9" spans="2:11" ht="409.5" x14ac:dyDescent="0.25">
      <c r="B9" s="95" t="s">
        <v>6</v>
      </c>
      <c r="C9" s="95" t="s">
        <v>40</v>
      </c>
      <c r="D9" s="95" t="s">
        <v>41</v>
      </c>
      <c r="E9" s="119"/>
      <c r="F9" s="119"/>
      <c r="G9" s="119"/>
      <c r="H9" s="119"/>
      <c r="I9" s="119"/>
      <c r="J9" s="120"/>
    </row>
    <row r="10" spans="2:11" ht="141.75" x14ac:dyDescent="0.25">
      <c r="B10" s="121"/>
      <c r="C10" s="121"/>
      <c r="D10" s="95" t="s">
        <v>42</v>
      </c>
      <c r="E10" s="95" t="s">
        <v>43</v>
      </c>
      <c r="F10" s="95" t="s">
        <v>44</v>
      </c>
      <c r="G10" s="119"/>
      <c r="H10" s="119"/>
      <c r="I10" s="119"/>
      <c r="J10" s="120"/>
    </row>
    <row r="11" spans="2:11" ht="47.25" x14ac:dyDescent="0.25">
      <c r="B11" s="122"/>
      <c r="C11" s="122"/>
      <c r="D11" s="122"/>
      <c r="E11" s="122"/>
      <c r="F11" s="95" t="s">
        <v>45</v>
      </c>
      <c r="G11" s="95" t="s">
        <v>46</v>
      </c>
      <c r="H11" s="95" t="s">
        <v>47</v>
      </c>
      <c r="I11" s="95" t="s">
        <v>48</v>
      </c>
      <c r="J11" s="95" t="s">
        <v>49</v>
      </c>
    </row>
    <row r="12" spans="2:11" ht="346.5" x14ac:dyDescent="0.25">
      <c r="B12" s="83">
        <v>1</v>
      </c>
      <c r="C12" s="83" t="s">
        <v>17</v>
      </c>
      <c r="D12" s="83" t="s">
        <v>50</v>
      </c>
      <c r="E12" s="83" t="s">
        <v>51</v>
      </c>
      <c r="F12" s="84">
        <f>587615*7.39/1000</f>
        <v>4342.4748499999996</v>
      </c>
      <c r="G12" s="84"/>
      <c r="H12" s="84">
        <f>3229965*4.04/1000</f>
        <v>13049.0586</v>
      </c>
      <c r="I12" s="84">
        <f>397099*7.93/1000</f>
        <v>3148.9950699999999</v>
      </c>
      <c r="J12" s="84">
        <f>SUM(F12:I12)</f>
        <v>20540.52852</v>
      </c>
    </row>
    <row r="13" spans="2:11" ht="63" x14ac:dyDescent="0.25">
      <c r="B13" s="97" t="s">
        <v>52</v>
      </c>
      <c r="C13" s="123"/>
      <c r="D13" s="123"/>
      <c r="E13" s="124"/>
      <c r="F13" s="85">
        <f>SUM(F12)</f>
        <v>4342.4748499999996</v>
      </c>
      <c r="G13" s="85"/>
      <c r="H13" s="85">
        <f>SUM(H12)</f>
        <v>13049.0586</v>
      </c>
      <c r="I13" s="85">
        <f>SUM(I12)</f>
        <v>3148.9950699999999</v>
      </c>
      <c r="J13" s="85">
        <f>SUM(J12)</f>
        <v>20540.52852</v>
      </c>
    </row>
    <row r="14" spans="2:11" ht="157.5" x14ac:dyDescent="0.25">
      <c r="B14" s="94" t="s">
        <v>53</v>
      </c>
      <c r="C14" s="119"/>
      <c r="D14" s="119"/>
      <c r="E14" s="120"/>
      <c r="F14" s="86">
        <f>F13</f>
        <v>4342.4748499999996</v>
      </c>
      <c r="G14" s="86"/>
      <c r="H14" s="86">
        <f>H13</f>
        <v>13049.0586</v>
      </c>
      <c r="I14" s="86">
        <f>I13</f>
        <v>3148.9950699999999</v>
      </c>
      <c r="J14" s="86">
        <f>J13</f>
        <v>20540.52852</v>
      </c>
    </row>
    <row r="18" spans="3:4" x14ac:dyDescent="0.25">
      <c r="C18" s="78" t="s">
        <v>35</v>
      </c>
      <c r="D18" s="79"/>
    </row>
    <row r="19" spans="3:4" x14ac:dyDescent="0.25">
      <c r="C19" s="71" t="s">
        <v>34</v>
      </c>
      <c r="D19" s="79"/>
    </row>
    <row r="20" spans="3:4" x14ac:dyDescent="0.25">
      <c r="C20" s="78"/>
      <c r="D20" s="79"/>
    </row>
    <row r="21" spans="3:4" x14ac:dyDescent="0.25">
      <c r="C21" s="78" t="s">
        <v>36</v>
      </c>
      <c r="D21" s="79"/>
    </row>
    <row r="22" spans="3:4" x14ac:dyDescent="0.25">
      <c r="C22" s="71" t="s">
        <v>37</v>
      </c>
      <c r="D22" s="7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2:L184"/>
  <sheetViews>
    <sheetView workbookViewId="0"/>
  </sheetViews>
  <sheetFormatPr defaultRowHeight="15" x14ac:dyDescent="0.25"/>
  <sheetData>
    <row r="2" spans="1:11" ht="15.75" x14ac:dyDescent="0.25">
      <c r="A2" s="91" t="s">
        <v>54</v>
      </c>
    </row>
    <row r="3" spans="1:11" ht="18.75" x14ac:dyDescent="0.25">
      <c r="A3" s="92" t="s">
        <v>55</v>
      </c>
    </row>
    <row r="4" spans="1:11" x14ac:dyDescent="0.25">
      <c r="B4" s="45"/>
    </row>
    <row r="5" spans="1:11" ht="18.75" x14ac:dyDescent="0.25">
      <c r="A5" s="92"/>
      <c r="B5" s="92"/>
      <c r="C5" s="99"/>
    </row>
    <row r="6" spans="1:11" ht="18.75" x14ac:dyDescent="0.25">
      <c r="A6" s="35"/>
    </row>
    <row r="7" spans="1:11" ht="15.75" x14ac:dyDescent="0.25">
      <c r="A7" s="102" t="str">
        <f>'Прил.1 Сравнит табл'!B7</f>
        <v>Наименование разрабатываемого показателя УНЦ - Ячейка выключателя НУ 110кВ, ном.ток 2500А, ном.ток отключения 40кА</v>
      </c>
    </row>
    <row r="8" spans="1:11" ht="15.75" x14ac:dyDescent="0.25">
      <c r="A8" s="21"/>
      <c r="B8" s="21"/>
      <c r="C8" s="21"/>
      <c r="D8" s="21"/>
      <c r="E8" s="21"/>
      <c r="F8" s="21"/>
      <c r="G8" s="21"/>
      <c r="H8" s="33"/>
    </row>
    <row r="9" spans="1:11" ht="126" x14ac:dyDescent="0.25">
      <c r="A9" s="95" t="s">
        <v>56</v>
      </c>
      <c r="B9" s="95" t="s">
        <v>57</v>
      </c>
      <c r="C9" s="95" t="s">
        <v>58</v>
      </c>
      <c r="D9" s="95" t="s">
        <v>59</v>
      </c>
      <c r="E9" s="95" t="s">
        <v>60</v>
      </c>
      <c r="F9" s="95" t="s">
        <v>61</v>
      </c>
      <c r="G9" s="95" t="s">
        <v>62</v>
      </c>
      <c r="H9" s="120"/>
    </row>
    <row r="10" spans="1:11" ht="31.5" x14ac:dyDescent="0.25">
      <c r="A10" s="122"/>
      <c r="B10" s="122"/>
      <c r="C10" s="122"/>
      <c r="D10" s="122"/>
      <c r="E10" s="122"/>
      <c r="F10" s="122"/>
      <c r="G10" s="95" t="s">
        <v>63</v>
      </c>
      <c r="H10" s="95" t="s">
        <v>64</v>
      </c>
    </row>
    <row r="11" spans="1:11" ht="15.75" x14ac:dyDescent="0.25">
      <c r="A11" s="95">
        <v>1</v>
      </c>
      <c r="B11" s="83"/>
      <c r="C11" s="95">
        <v>2</v>
      </c>
      <c r="D11" s="95" t="s">
        <v>65</v>
      </c>
      <c r="E11" s="95">
        <v>4</v>
      </c>
      <c r="F11" s="95">
        <v>5</v>
      </c>
      <c r="G11" s="83">
        <v>6</v>
      </c>
      <c r="H11" s="83">
        <v>7</v>
      </c>
    </row>
    <row r="12" spans="1:11" ht="38.25" x14ac:dyDescent="0.25">
      <c r="A12" s="98" t="s">
        <v>66</v>
      </c>
      <c r="B12" s="119"/>
      <c r="C12" s="119"/>
      <c r="D12" s="119"/>
      <c r="E12" s="119"/>
      <c r="F12" s="26">
        <f>SUM(F13:F24)</f>
        <v>15558.313802367114</v>
      </c>
      <c r="G12" s="27"/>
      <c r="H12" s="81">
        <f>SUM(H13:H24)</f>
        <v>153847.41999999885</v>
      </c>
      <c r="J12" s="37"/>
      <c r="K12" s="48"/>
    </row>
    <row r="13" spans="1:11" ht="89.25" x14ac:dyDescent="0.25">
      <c r="A13" s="66">
        <v>1</v>
      </c>
      <c r="B13" s="7"/>
      <c r="C13" s="66" t="s">
        <v>67</v>
      </c>
      <c r="D13" s="106" t="s">
        <v>68</v>
      </c>
      <c r="E13" s="107" t="s">
        <v>69</v>
      </c>
      <c r="F13" s="74">
        <f t="shared" ref="F13:F24" si="0">H13/G13</f>
        <v>7854.8876678428287</v>
      </c>
      <c r="G13" s="56">
        <v>9.6199999999999992</v>
      </c>
      <c r="H13" s="56">
        <v>75564.019364648004</v>
      </c>
      <c r="J13" s="51"/>
    </row>
    <row r="14" spans="1:11" ht="89.25" x14ac:dyDescent="0.25">
      <c r="A14" s="75">
        <f t="shared" ref="A14:A24" si="1">A13+1</f>
        <v>2</v>
      </c>
      <c r="B14" s="7"/>
      <c r="C14" s="66" t="s">
        <v>70</v>
      </c>
      <c r="D14" s="106" t="s">
        <v>71</v>
      </c>
      <c r="E14" s="107" t="s">
        <v>69</v>
      </c>
      <c r="F14" s="74">
        <f t="shared" si="0"/>
        <v>2857.4284472358322</v>
      </c>
      <c r="G14" s="56">
        <v>10.94</v>
      </c>
      <c r="H14" s="56">
        <v>31260.267212760002</v>
      </c>
    </row>
    <row r="15" spans="1:11" ht="89.25" x14ac:dyDescent="0.25">
      <c r="A15" s="75">
        <f t="shared" si="1"/>
        <v>3</v>
      </c>
      <c r="B15" s="7"/>
      <c r="C15" s="66" t="s">
        <v>72</v>
      </c>
      <c r="D15" s="106" t="s">
        <v>73</v>
      </c>
      <c r="E15" s="107" t="s">
        <v>69</v>
      </c>
      <c r="F15" s="74">
        <f t="shared" si="0"/>
        <v>1512.8334190549701</v>
      </c>
      <c r="G15" s="56">
        <v>10.06</v>
      </c>
      <c r="H15" s="56">
        <v>15219.104195693</v>
      </c>
    </row>
    <row r="16" spans="1:11" ht="89.25" x14ac:dyDescent="0.25">
      <c r="A16" s="75">
        <f t="shared" si="1"/>
        <v>4</v>
      </c>
      <c r="B16" s="7"/>
      <c r="C16" s="66" t="s">
        <v>74</v>
      </c>
      <c r="D16" s="106" t="s">
        <v>75</v>
      </c>
      <c r="E16" s="107" t="s">
        <v>69</v>
      </c>
      <c r="F16" s="74">
        <f t="shared" si="0"/>
        <v>1388.0162505991589</v>
      </c>
      <c r="G16" s="56">
        <v>9.51</v>
      </c>
      <c r="H16" s="56">
        <v>13200.034543198</v>
      </c>
    </row>
    <row r="17" spans="1:12" ht="89.25" x14ac:dyDescent="0.25">
      <c r="A17" s="75">
        <f t="shared" si="1"/>
        <v>5</v>
      </c>
      <c r="B17" s="7"/>
      <c r="C17" s="66" t="s">
        <v>76</v>
      </c>
      <c r="D17" s="106" t="s">
        <v>77</v>
      </c>
      <c r="E17" s="107" t="s">
        <v>69</v>
      </c>
      <c r="F17" s="74">
        <f t="shared" si="0"/>
        <v>883.06502295949792</v>
      </c>
      <c r="G17" s="56">
        <v>9.76</v>
      </c>
      <c r="H17" s="56">
        <v>8618.7146240846996</v>
      </c>
    </row>
    <row r="18" spans="1:12" ht="89.25" x14ac:dyDescent="0.25">
      <c r="A18" s="75">
        <f t="shared" si="1"/>
        <v>6</v>
      </c>
      <c r="B18" s="7"/>
      <c r="C18" s="66" t="s">
        <v>78</v>
      </c>
      <c r="D18" s="106" t="s">
        <v>79</v>
      </c>
      <c r="E18" s="107" t="s">
        <v>69</v>
      </c>
      <c r="F18" s="74">
        <f t="shared" si="0"/>
        <v>410.25377662395744</v>
      </c>
      <c r="G18" s="56">
        <v>9.4</v>
      </c>
      <c r="H18" s="56">
        <v>3856.3855002651999</v>
      </c>
    </row>
    <row r="19" spans="1:12" ht="89.25" x14ac:dyDescent="0.25">
      <c r="A19" s="75">
        <f t="shared" si="1"/>
        <v>7</v>
      </c>
      <c r="B19" s="7"/>
      <c r="C19" s="66" t="s">
        <v>80</v>
      </c>
      <c r="D19" s="106" t="s">
        <v>81</v>
      </c>
      <c r="E19" s="107" t="s">
        <v>69</v>
      </c>
      <c r="F19" s="74">
        <f t="shared" si="0"/>
        <v>322.27887934692541</v>
      </c>
      <c r="G19" s="56">
        <v>9.92</v>
      </c>
      <c r="H19" s="56">
        <v>3197.0064831215</v>
      </c>
    </row>
    <row r="20" spans="1:12" ht="89.25" x14ac:dyDescent="0.25">
      <c r="A20" s="75">
        <f t="shared" si="1"/>
        <v>8</v>
      </c>
      <c r="B20" s="7"/>
      <c r="C20" s="66" t="s">
        <v>82</v>
      </c>
      <c r="D20" s="106" t="s">
        <v>83</v>
      </c>
      <c r="E20" s="107" t="s">
        <v>69</v>
      </c>
      <c r="F20" s="74">
        <f t="shared" si="0"/>
        <v>250.25667317328978</v>
      </c>
      <c r="G20" s="56">
        <v>9.18</v>
      </c>
      <c r="H20" s="56">
        <v>2297.3562597308</v>
      </c>
    </row>
    <row r="21" spans="1:12" ht="89.25" x14ac:dyDescent="0.25">
      <c r="A21" s="75">
        <f t="shared" si="1"/>
        <v>9</v>
      </c>
      <c r="B21" s="7"/>
      <c r="C21" s="66" t="s">
        <v>84</v>
      </c>
      <c r="D21" s="106" t="s">
        <v>85</v>
      </c>
      <c r="E21" s="107" t="s">
        <v>69</v>
      </c>
      <c r="F21" s="74">
        <f t="shared" si="0"/>
        <v>60.098401562545334</v>
      </c>
      <c r="G21" s="56">
        <v>7.5</v>
      </c>
      <c r="H21" s="56">
        <v>450.73801171909003</v>
      </c>
    </row>
    <row r="22" spans="1:12" ht="89.25" x14ac:dyDescent="0.25">
      <c r="A22" s="75">
        <f t="shared" si="1"/>
        <v>10</v>
      </c>
      <c r="B22" s="7"/>
      <c r="C22" s="66" t="s">
        <v>86</v>
      </c>
      <c r="D22" s="106" t="s">
        <v>87</v>
      </c>
      <c r="E22" s="107" t="s">
        <v>69</v>
      </c>
      <c r="F22" s="74">
        <f t="shared" si="0"/>
        <v>10.832112957689201</v>
      </c>
      <c r="G22" s="56">
        <v>10.65</v>
      </c>
      <c r="H22" s="56">
        <v>115.36200299939</v>
      </c>
    </row>
    <row r="23" spans="1:12" ht="89.25" x14ac:dyDescent="0.25">
      <c r="A23" s="75">
        <f t="shared" si="1"/>
        <v>11</v>
      </c>
      <c r="B23" s="7"/>
      <c r="C23" s="66" t="s">
        <v>88</v>
      </c>
      <c r="D23" s="106" t="s">
        <v>89</v>
      </c>
      <c r="E23" s="107" t="s">
        <v>69</v>
      </c>
      <c r="F23" s="74">
        <f t="shared" si="0"/>
        <v>5.8440770750216666</v>
      </c>
      <c r="G23" s="56">
        <v>7.8</v>
      </c>
      <c r="H23" s="56">
        <v>45.583801185169001</v>
      </c>
    </row>
    <row r="24" spans="1:12" ht="89.25" x14ac:dyDescent="0.25">
      <c r="A24" s="75">
        <f t="shared" si="1"/>
        <v>12</v>
      </c>
      <c r="B24" s="7"/>
      <c r="C24" s="66" t="s">
        <v>90</v>
      </c>
      <c r="D24" s="106" t="s">
        <v>91</v>
      </c>
      <c r="E24" s="107" t="s">
        <v>69</v>
      </c>
      <c r="F24" s="74">
        <f t="shared" si="0"/>
        <v>2.5190739353961411</v>
      </c>
      <c r="G24" s="56">
        <v>9.07</v>
      </c>
      <c r="H24" s="56">
        <v>22.848000594043</v>
      </c>
    </row>
    <row r="25" spans="1:12" ht="51" x14ac:dyDescent="0.25">
      <c r="A25" s="101" t="s">
        <v>92</v>
      </c>
      <c r="B25" s="119"/>
      <c r="C25" s="119"/>
      <c r="D25" s="119"/>
      <c r="E25" s="120"/>
      <c r="F25" s="27"/>
      <c r="G25" s="27"/>
      <c r="H25" s="81">
        <f>H26</f>
        <v>345.24959999999999</v>
      </c>
    </row>
    <row r="26" spans="1:12" ht="51" x14ac:dyDescent="0.25">
      <c r="A26" s="75">
        <f>A24+1</f>
        <v>13</v>
      </c>
      <c r="B26" s="7"/>
      <c r="C26" s="66">
        <v>2</v>
      </c>
      <c r="D26" s="106" t="s">
        <v>92</v>
      </c>
      <c r="E26" s="107" t="s">
        <v>69</v>
      </c>
      <c r="F26" s="57">
        <v>27.5502</v>
      </c>
      <c r="G26" s="56"/>
      <c r="H26" s="56">
        <v>345.24959999999999</v>
      </c>
      <c r="L26" s="22"/>
    </row>
    <row r="27" spans="1:12" ht="51" x14ac:dyDescent="0.25">
      <c r="A27" s="101" t="s">
        <v>93</v>
      </c>
      <c r="B27" s="119"/>
      <c r="C27" s="119"/>
      <c r="D27" s="119"/>
      <c r="E27" s="120"/>
      <c r="F27" s="27"/>
      <c r="G27" s="27"/>
      <c r="H27" s="81">
        <f>SUM(H28:H65)</f>
        <v>624691.2799999998</v>
      </c>
      <c r="K27" s="48"/>
    </row>
    <row r="28" spans="1:12" ht="89.25" x14ac:dyDescent="0.25">
      <c r="A28" s="66">
        <f>A26+1</f>
        <v>14</v>
      </c>
      <c r="B28" s="7"/>
      <c r="C28" s="66" t="s">
        <v>94</v>
      </c>
      <c r="D28" s="106" t="s">
        <v>95</v>
      </c>
      <c r="E28" s="107" t="s">
        <v>96</v>
      </c>
      <c r="F28" s="107">
        <v>1006.32</v>
      </c>
      <c r="G28" s="56">
        <v>111.99</v>
      </c>
      <c r="H28" s="56">
        <f t="shared" ref="H28:H65" si="2">ROUND(F28*G28,2)</f>
        <v>112697.78</v>
      </c>
    </row>
    <row r="29" spans="1:12" ht="140.25" x14ac:dyDescent="0.25">
      <c r="A29" s="66">
        <f t="shared" ref="A29:A65" si="3">A28+1</f>
        <v>15</v>
      </c>
      <c r="B29" s="7"/>
      <c r="C29" s="66" t="s">
        <v>97</v>
      </c>
      <c r="D29" s="106" t="s">
        <v>98</v>
      </c>
      <c r="E29" s="107" t="s">
        <v>96</v>
      </c>
      <c r="F29" s="107">
        <v>514.08000000000004</v>
      </c>
      <c r="G29" s="56">
        <v>200.67</v>
      </c>
      <c r="H29" s="56">
        <f t="shared" si="2"/>
        <v>103160.43</v>
      </c>
    </row>
    <row r="30" spans="1:12" ht="216.75" x14ac:dyDescent="0.25">
      <c r="A30" s="66">
        <f t="shared" si="3"/>
        <v>16</v>
      </c>
      <c r="B30" s="7"/>
      <c r="C30" s="66" t="s">
        <v>99</v>
      </c>
      <c r="D30" s="106" t="s">
        <v>100</v>
      </c>
      <c r="E30" s="107" t="s">
        <v>96</v>
      </c>
      <c r="F30" s="107">
        <v>991.63</v>
      </c>
      <c r="G30" s="56">
        <v>87.6</v>
      </c>
      <c r="H30" s="56">
        <f t="shared" si="2"/>
        <v>86866.79</v>
      </c>
    </row>
    <row r="31" spans="1:12" ht="63.75" x14ac:dyDescent="0.25">
      <c r="A31" s="66">
        <f t="shared" si="3"/>
        <v>17</v>
      </c>
      <c r="B31" s="7"/>
      <c r="C31" s="66" t="s">
        <v>101</v>
      </c>
      <c r="D31" s="106" t="s">
        <v>102</v>
      </c>
      <c r="E31" s="107" t="s">
        <v>96</v>
      </c>
      <c r="F31" s="107">
        <v>941.85</v>
      </c>
      <c r="G31" s="56">
        <v>74.239999999999995</v>
      </c>
      <c r="H31" s="56">
        <f t="shared" si="2"/>
        <v>69922.94</v>
      </c>
    </row>
    <row r="32" spans="1:12" ht="89.25" x14ac:dyDescent="0.25">
      <c r="A32" s="66">
        <f t="shared" si="3"/>
        <v>18</v>
      </c>
      <c r="B32" s="7"/>
      <c r="C32" s="66" t="s">
        <v>103</v>
      </c>
      <c r="D32" s="106" t="s">
        <v>104</v>
      </c>
      <c r="E32" s="107" t="s">
        <v>96</v>
      </c>
      <c r="F32" s="107">
        <v>748.23</v>
      </c>
      <c r="G32" s="56">
        <v>92.94</v>
      </c>
      <c r="H32" s="56">
        <f t="shared" si="2"/>
        <v>69540.5</v>
      </c>
    </row>
    <row r="33" spans="1:8" ht="38.25" x14ac:dyDescent="0.25">
      <c r="A33" s="66">
        <f t="shared" si="3"/>
        <v>19</v>
      </c>
      <c r="B33" s="7"/>
      <c r="C33" s="66" t="s">
        <v>105</v>
      </c>
      <c r="D33" s="106" t="s">
        <v>106</v>
      </c>
      <c r="E33" s="107" t="s">
        <v>96</v>
      </c>
      <c r="F33" s="107">
        <v>514.08000000000004</v>
      </c>
      <c r="G33" s="56">
        <v>70.67</v>
      </c>
      <c r="H33" s="56">
        <f t="shared" si="2"/>
        <v>36330.03</v>
      </c>
    </row>
    <row r="34" spans="1:8" ht="114.75" x14ac:dyDescent="0.25">
      <c r="A34" s="66">
        <f t="shared" si="3"/>
        <v>20</v>
      </c>
      <c r="B34" s="7"/>
      <c r="C34" s="66" t="s">
        <v>107</v>
      </c>
      <c r="D34" s="106" t="s">
        <v>108</v>
      </c>
      <c r="E34" s="107" t="s">
        <v>96</v>
      </c>
      <c r="F34" s="107">
        <v>136.08000000000001</v>
      </c>
      <c r="G34" s="56">
        <v>175.35</v>
      </c>
      <c r="H34" s="56">
        <f t="shared" si="2"/>
        <v>23861.63</v>
      </c>
    </row>
    <row r="35" spans="1:8" ht="102" x14ac:dyDescent="0.25">
      <c r="A35" s="66">
        <f t="shared" si="3"/>
        <v>21</v>
      </c>
      <c r="B35" s="7"/>
      <c r="C35" s="66" t="s">
        <v>109</v>
      </c>
      <c r="D35" s="106" t="s">
        <v>110</v>
      </c>
      <c r="E35" s="107" t="s">
        <v>96</v>
      </c>
      <c r="F35" s="107">
        <v>129.37</v>
      </c>
      <c r="G35" s="56">
        <v>147.43</v>
      </c>
      <c r="H35" s="56">
        <f t="shared" si="2"/>
        <v>19073.02</v>
      </c>
    </row>
    <row r="36" spans="1:8" ht="89.25" x14ac:dyDescent="0.25">
      <c r="A36" s="66">
        <f t="shared" si="3"/>
        <v>22</v>
      </c>
      <c r="B36" s="7"/>
      <c r="C36" s="66" t="s">
        <v>111</v>
      </c>
      <c r="D36" s="106" t="s">
        <v>112</v>
      </c>
      <c r="E36" s="107" t="s">
        <v>96</v>
      </c>
      <c r="F36" s="107">
        <v>588.89</v>
      </c>
      <c r="G36" s="56">
        <v>29.6</v>
      </c>
      <c r="H36" s="56">
        <f t="shared" si="2"/>
        <v>17431.14</v>
      </c>
    </row>
    <row r="37" spans="1:8" ht="76.5" x14ac:dyDescent="0.25">
      <c r="A37" s="66">
        <f t="shared" si="3"/>
        <v>23</v>
      </c>
      <c r="B37" s="7"/>
      <c r="C37" s="66" t="s">
        <v>113</v>
      </c>
      <c r="D37" s="106" t="s">
        <v>114</v>
      </c>
      <c r="E37" s="107" t="s">
        <v>96</v>
      </c>
      <c r="F37" s="107">
        <v>138.44999999999999</v>
      </c>
      <c r="G37" s="56">
        <v>120.04</v>
      </c>
      <c r="H37" s="56">
        <f t="shared" si="2"/>
        <v>16619.54</v>
      </c>
    </row>
    <row r="38" spans="1:8" ht="76.5" x14ac:dyDescent="0.25">
      <c r="A38" s="66">
        <f t="shared" si="3"/>
        <v>24</v>
      </c>
      <c r="B38" s="7"/>
      <c r="C38" s="66">
        <v>150102</v>
      </c>
      <c r="D38" s="106" t="s">
        <v>115</v>
      </c>
      <c r="E38" s="107" t="s">
        <v>116</v>
      </c>
      <c r="F38" s="107">
        <v>57.68</v>
      </c>
      <c r="G38" s="56">
        <v>287.99</v>
      </c>
      <c r="H38" s="56">
        <f t="shared" si="2"/>
        <v>16611.259999999998</v>
      </c>
    </row>
    <row r="39" spans="1:8" ht="89.25" x14ac:dyDescent="0.25">
      <c r="A39" s="66">
        <f t="shared" si="3"/>
        <v>25</v>
      </c>
      <c r="B39" s="7"/>
      <c r="C39" s="66">
        <v>400001</v>
      </c>
      <c r="D39" s="106" t="s">
        <v>117</v>
      </c>
      <c r="E39" s="107" t="s">
        <v>116</v>
      </c>
      <c r="F39" s="107">
        <v>158.44999999999999</v>
      </c>
      <c r="G39" s="56">
        <v>87.17</v>
      </c>
      <c r="H39" s="56">
        <f t="shared" si="2"/>
        <v>13812.09</v>
      </c>
    </row>
    <row r="40" spans="1:8" ht="76.5" x14ac:dyDescent="0.25">
      <c r="A40" s="66">
        <f t="shared" si="3"/>
        <v>26</v>
      </c>
      <c r="B40" s="7"/>
      <c r="C40" s="66">
        <v>31004</v>
      </c>
      <c r="D40" s="106" t="s">
        <v>118</v>
      </c>
      <c r="E40" s="107" t="s">
        <v>116</v>
      </c>
      <c r="F40" s="107">
        <v>40.71</v>
      </c>
      <c r="G40" s="56">
        <v>243.49</v>
      </c>
      <c r="H40" s="56">
        <f t="shared" si="2"/>
        <v>9912.48</v>
      </c>
    </row>
    <row r="41" spans="1:8" ht="89.25" x14ac:dyDescent="0.25">
      <c r="A41" s="66">
        <f t="shared" si="3"/>
        <v>27</v>
      </c>
      <c r="B41" s="7"/>
      <c r="C41" s="66">
        <v>30408</v>
      </c>
      <c r="D41" s="106" t="s">
        <v>119</v>
      </c>
      <c r="E41" s="107" t="s">
        <v>116</v>
      </c>
      <c r="F41" s="107">
        <v>57.68</v>
      </c>
      <c r="G41" s="56">
        <v>131.44</v>
      </c>
      <c r="H41" s="56">
        <f t="shared" si="2"/>
        <v>7581.46</v>
      </c>
    </row>
    <row r="42" spans="1:8" ht="89.25" x14ac:dyDescent="0.25">
      <c r="A42" s="66">
        <f t="shared" si="3"/>
        <v>28</v>
      </c>
      <c r="B42" s="7"/>
      <c r="C42" s="66" t="s">
        <v>120</v>
      </c>
      <c r="D42" s="106" t="s">
        <v>121</v>
      </c>
      <c r="E42" s="107" t="s">
        <v>116</v>
      </c>
      <c r="F42" s="107">
        <v>72.45</v>
      </c>
      <c r="G42" s="56">
        <v>65.709999999999994</v>
      </c>
      <c r="H42" s="56">
        <f t="shared" si="2"/>
        <v>4760.6899999999996</v>
      </c>
    </row>
    <row r="43" spans="1:8" ht="229.5" x14ac:dyDescent="0.25">
      <c r="A43" s="66">
        <f t="shared" si="3"/>
        <v>29</v>
      </c>
      <c r="B43" s="7"/>
      <c r="C43" s="66" t="s">
        <v>122</v>
      </c>
      <c r="D43" s="106" t="s">
        <v>123</v>
      </c>
      <c r="E43" s="107" t="s">
        <v>124</v>
      </c>
      <c r="F43" s="107">
        <v>214.5</v>
      </c>
      <c r="G43" s="56">
        <v>20.38</v>
      </c>
      <c r="H43" s="56">
        <f t="shared" si="2"/>
        <v>4371.51</v>
      </c>
    </row>
    <row r="44" spans="1:8" ht="191.25" x14ac:dyDescent="0.25">
      <c r="A44" s="66">
        <f t="shared" si="3"/>
        <v>30</v>
      </c>
      <c r="B44" s="7"/>
      <c r="C44" s="66">
        <v>40202</v>
      </c>
      <c r="D44" s="106" t="s">
        <v>125</v>
      </c>
      <c r="E44" s="107" t="s">
        <v>116</v>
      </c>
      <c r="F44" s="107">
        <v>229.39</v>
      </c>
      <c r="G44" s="56">
        <v>14</v>
      </c>
      <c r="H44" s="56">
        <f t="shared" si="2"/>
        <v>3211.46</v>
      </c>
    </row>
    <row r="45" spans="1:8" ht="63.75" x14ac:dyDescent="0.25">
      <c r="A45" s="66">
        <f t="shared" si="3"/>
        <v>31</v>
      </c>
      <c r="B45" s="7"/>
      <c r="C45" s="66" t="s">
        <v>126</v>
      </c>
      <c r="D45" s="106" t="s">
        <v>127</v>
      </c>
      <c r="E45" s="107" t="s">
        <v>116</v>
      </c>
      <c r="F45" s="107">
        <v>24.15</v>
      </c>
      <c r="G45" s="56">
        <v>89.99</v>
      </c>
      <c r="H45" s="56">
        <f t="shared" si="2"/>
        <v>2173.2600000000002</v>
      </c>
    </row>
    <row r="46" spans="1:8" ht="102" x14ac:dyDescent="0.25">
      <c r="A46" s="66">
        <f t="shared" si="3"/>
        <v>32</v>
      </c>
      <c r="B46" s="7"/>
      <c r="C46" s="66">
        <v>40502</v>
      </c>
      <c r="D46" s="106" t="s">
        <v>128</v>
      </c>
      <c r="E46" s="107" t="s">
        <v>116</v>
      </c>
      <c r="F46" s="107">
        <v>255.7</v>
      </c>
      <c r="G46" s="56">
        <v>8.1</v>
      </c>
      <c r="H46" s="56">
        <f t="shared" si="2"/>
        <v>2071.17</v>
      </c>
    </row>
    <row r="47" spans="1:8" ht="76.5" x14ac:dyDescent="0.25">
      <c r="A47" s="66">
        <f t="shared" si="3"/>
        <v>33</v>
      </c>
      <c r="B47" s="7"/>
      <c r="C47" s="66">
        <v>400101</v>
      </c>
      <c r="D47" s="106" t="s">
        <v>129</v>
      </c>
      <c r="E47" s="107" t="s">
        <v>116</v>
      </c>
      <c r="F47" s="107">
        <v>15.12</v>
      </c>
      <c r="G47" s="56">
        <v>127.82</v>
      </c>
      <c r="H47" s="56">
        <f t="shared" si="2"/>
        <v>1932.64</v>
      </c>
    </row>
    <row r="48" spans="1:8" ht="140.25" x14ac:dyDescent="0.25">
      <c r="A48" s="66">
        <f t="shared" si="3"/>
        <v>34</v>
      </c>
      <c r="B48" s="7"/>
      <c r="C48" s="66">
        <v>21243</v>
      </c>
      <c r="D48" s="106" t="s">
        <v>130</v>
      </c>
      <c r="E48" s="107" t="s">
        <v>116</v>
      </c>
      <c r="F48" s="107">
        <v>13.3</v>
      </c>
      <c r="G48" s="56">
        <v>96.89</v>
      </c>
      <c r="H48" s="56">
        <f t="shared" si="2"/>
        <v>1288.6400000000001</v>
      </c>
    </row>
    <row r="49" spans="1:8" ht="127.5" x14ac:dyDescent="0.25">
      <c r="A49" s="66">
        <f t="shared" si="3"/>
        <v>35</v>
      </c>
      <c r="B49" s="7"/>
      <c r="C49" s="66">
        <v>41000</v>
      </c>
      <c r="D49" s="106" t="s">
        <v>131</v>
      </c>
      <c r="E49" s="107" t="s">
        <v>116</v>
      </c>
      <c r="F49" s="107">
        <v>47.75</v>
      </c>
      <c r="G49" s="56">
        <v>12.31</v>
      </c>
      <c r="H49" s="56">
        <f t="shared" si="2"/>
        <v>587.79999999999995</v>
      </c>
    </row>
    <row r="50" spans="1:8" ht="102" x14ac:dyDescent="0.25">
      <c r="A50" s="66">
        <f t="shared" si="3"/>
        <v>36</v>
      </c>
      <c r="B50" s="7"/>
      <c r="C50" s="66">
        <v>30203</v>
      </c>
      <c r="D50" s="106" t="s">
        <v>132</v>
      </c>
      <c r="E50" s="107" t="s">
        <v>116</v>
      </c>
      <c r="F50" s="107">
        <v>257.88</v>
      </c>
      <c r="G50" s="56">
        <v>0.9</v>
      </c>
      <c r="H50" s="56">
        <f t="shared" si="2"/>
        <v>232.09</v>
      </c>
    </row>
    <row r="51" spans="1:8" ht="89.25" x14ac:dyDescent="0.25">
      <c r="A51" s="66">
        <f t="shared" si="3"/>
        <v>37</v>
      </c>
      <c r="B51" s="7"/>
      <c r="C51" s="66">
        <v>400002</v>
      </c>
      <c r="D51" s="106" t="s">
        <v>133</v>
      </c>
      <c r="E51" s="107" t="s">
        <v>116</v>
      </c>
      <c r="F51" s="107">
        <v>1.91</v>
      </c>
      <c r="G51" s="56">
        <v>107.3</v>
      </c>
      <c r="H51" s="56">
        <f t="shared" si="2"/>
        <v>204.94</v>
      </c>
    </row>
    <row r="52" spans="1:8" ht="102" x14ac:dyDescent="0.25">
      <c r="A52" s="66">
        <f t="shared" si="3"/>
        <v>38</v>
      </c>
      <c r="B52" s="7"/>
      <c r="C52" s="66">
        <v>400111</v>
      </c>
      <c r="D52" s="106" t="s">
        <v>134</v>
      </c>
      <c r="E52" s="107" t="s">
        <v>116</v>
      </c>
      <c r="F52" s="107">
        <v>15.12</v>
      </c>
      <c r="G52" s="56">
        <v>12</v>
      </c>
      <c r="H52" s="56">
        <f t="shared" si="2"/>
        <v>181.44</v>
      </c>
    </row>
    <row r="53" spans="1:8" ht="127.5" x14ac:dyDescent="0.25">
      <c r="A53" s="66">
        <f t="shared" si="3"/>
        <v>39</v>
      </c>
      <c r="B53" s="7"/>
      <c r="C53" s="66">
        <v>20403</v>
      </c>
      <c r="D53" s="106" t="s">
        <v>135</v>
      </c>
      <c r="E53" s="107" t="s">
        <v>116</v>
      </c>
      <c r="F53" s="107">
        <v>0.67</v>
      </c>
      <c r="G53" s="56">
        <v>120.52</v>
      </c>
      <c r="H53" s="56">
        <f t="shared" si="2"/>
        <v>80.75</v>
      </c>
    </row>
    <row r="54" spans="1:8" ht="114.75" x14ac:dyDescent="0.25">
      <c r="A54" s="66">
        <f t="shared" si="3"/>
        <v>40</v>
      </c>
      <c r="B54" s="7"/>
      <c r="C54" s="66">
        <v>20129</v>
      </c>
      <c r="D54" s="106" t="s">
        <v>136</v>
      </c>
      <c r="E54" s="107" t="s">
        <v>116</v>
      </c>
      <c r="F54" s="107">
        <v>0.54</v>
      </c>
      <c r="G54" s="56">
        <v>86.4</v>
      </c>
      <c r="H54" s="56">
        <f t="shared" si="2"/>
        <v>46.66</v>
      </c>
    </row>
    <row r="55" spans="1:8" ht="51" x14ac:dyDescent="0.25">
      <c r="A55" s="66">
        <f t="shared" si="3"/>
        <v>41</v>
      </c>
      <c r="B55" s="7"/>
      <c r="C55" s="66">
        <v>331451</v>
      </c>
      <c r="D55" s="106" t="s">
        <v>137</v>
      </c>
      <c r="E55" s="107" t="s">
        <v>116</v>
      </c>
      <c r="F55" s="107">
        <v>14.91</v>
      </c>
      <c r="G55" s="56">
        <v>2.08</v>
      </c>
      <c r="H55" s="56">
        <f t="shared" si="2"/>
        <v>31.01</v>
      </c>
    </row>
    <row r="56" spans="1:8" ht="127.5" x14ac:dyDescent="0.25">
      <c r="A56" s="66">
        <f t="shared" si="3"/>
        <v>42</v>
      </c>
      <c r="B56" s="7"/>
      <c r="C56" s="66">
        <v>70149</v>
      </c>
      <c r="D56" s="106" t="s">
        <v>138</v>
      </c>
      <c r="E56" s="107" t="s">
        <v>116</v>
      </c>
      <c r="F56" s="107">
        <v>0.36</v>
      </c>
      <c r="G56" s="56">
        <v>79.069999999999993</v>
      </c>
      <c r="H56" s="56">
        <f t="shared" si="2"/>
        <v>28.47</v>
      </c>
    </row>
    <row r="57" spans="1:8" ht="165.75" x14ac:dyDescent="0.25">
      <c r="A57" s="66">
        <f t="shared" si="3"/>
        <v>43</v>
      </c>
      <c r="B57" s="7"/>
      <c r="C57" s="66">
        <v>340101</v>
      </c>
      <c r="D57" s="106" t="s">
        <v>139</v>
      </c>
      <c r="E57" s="107" t="s">
        <v>116</v>
      </c>
      <c r="F57" s="107">
        <v>2.89</v>
      </c>
      <c r="G57" s="56">
        <v>6.82</v>
      </c>
      <c r="H57" s="56">
        <f t="shared" si="2"/>
        <v>19.71</v>
      </c>
    </row>
    <row r="58" spans="1:8" ht="204" x14ac:dyDescent="0.25">
      <c r="A58" s="66">
        <f t="shared" si="3"/>
        <v>44</v>
      </c>
      <c r="B58" s="7"/>
      <c r="C58" s="66">
        <v>41400</v>
      </c>
      <c r="D58" s="106" t="s">
        <v>140</v>
      </c>
      <c r="E58" s="107" t="s">
        <v>116</v>
      </c>
      <c r="F58" s="107">
        <v>2.36</v>
      </c>
      <c r="G58" s="56">
        <v>6.7</v>
      </c>
      <c r="H58" s="56">
        <f t="shared" si="2"/>
        <v>15.81</v>
      </c>
    </row>
    <row r="59" spans="1:8" ht="63.75" x14ac:dyDescent="0.25">
      <c r="A59" s="66">
        <f t="shared" si="3"/>
        <v>45</v>
      </c>
      <c r="B59" s="7"/>
      <c r="C59" s="66">
        <v>40504</v>
      </c>
      <c r="D59" s="106" t="s">
        <v>141</v>
      </c>
      <c r="E59" s="107" t="s">
        <v>116</v>
      </c>
      <c r="F59" s="107">
        <v>11.21</v>
      </c>
      <c r="G59" s="56">
        <v>1.2</v>
      </c>
      <c r="H59" s="56">
        <f t="shared" si="2"/>
        <v>13.45</v>
      </c>
    </row>
    <row r="60" spans="1:8" ht="63.75" x14ac:dyDescent="0.25">
      <c r="A60" s="66">
        <f t="shared" si="3"/>
        <v>46</v>
      </c>
      <c r="B60" s="7"/>
      <c r="C60" s="66">
        <v>330301</v>
      </c>
      <c r="D60" s="106" t="s">
        <v>142</v>
      </c>
      <c r="E60" s="107" t="s">
        <v>116</v>
      </c>
      <c r="F60" s="107">
        <v>1.99</v>
      </c>
      <c r="G60" s="56">
        <v>5.13</v>
      </c>
      <c r="H60" s="56">
        <f t="shared" si="2"/>
        <v>10.210000000000001</v>
      </c>
    </row>
    <row r="61" spans="1:8" ht="102" x14ac:dyDescent="0.25">
      <c r="A61" s="66">
        <f t="shared" si="3"/>
        <v>47</v>
      </c>
      <c r="B61" s="7"/>
      <c r="C61" s="66">
        <v>30402</v>
      </c>
      <c r="D61" s="106" t="s">
        <v>143</v>
      </c>
      <c r="E61" s="107" t="s">
        <v>116</v>
      </c>
      <c r="F61" s="107">
        <v>1.19</v>
      </c>
      <c r="G61" s="56">
        <v>3.28</v>
      </c>
      <c r="H61" s="56">
        <f t="shared" si="2"/>
        <v>3.9</v>
      </c>
    </row>
    <row r="62" spans="1:8" ht="38.25" x14ac:dyDescent="0.25">
      <c r="A62" s="66">
        <f t="shared" si="3"/>
        <v>48</v>
      </c>
      <c r="B62" s="7"/>
      <c r="C62" s="66">
        <v>30101</v>
      </c>
      <c r="D62" s="106" t="s">
        <v>144</v>
      </c>
      <c r="E62" s="107" t="s">
        <v>116</v>
      </c>
      <c r="F62" s="107">
        <v>0.03</v>
      </c>
      <c r="G62" s="56">
        <v>89.99</v>
      </c>
      <c r="H62" s="56">
        <f t="shared" si="2"/>
        <v>2.7</v>
      </c>
    </row>
    <row r="63" spans="1:8" ht="89.25" x14ac:dyDescent="0.25">
      <c r="A63" s="66">
        <f t="shared" si="3"/>
        <v>49</v>
      </c>
      <c r="B63" s="7"/>
      <c r="C63" s="66">
        <v>400051</v>
      </c>
      <c r="D63" s="106" t="s">
        <v>145</v>
      </c>
      <c r="E63" s="107" t="s">
        <v>116</v>
      </c>
      <c r="F63" s="107">
        <v>0.01</v>
      </c>
      <c r="G63" s="56">
        <v>111</v>
      </c>
      <c r="H63" s="56">
        <f t="shared" si="2"/>
        <v>1.1100000000000001</v>
      </c>
    </row>
    <row r="64" spans="1:8" ht="38.25" x14ac:dyDescent="0.25">
      <c r="A64" s="66">
        <f t="shared" si="3"/>
        <v>50</v>
      </c>
      <c r="B64" s="7"/>
      <c r="C64" s="66">
        <v>111301</v>
      </c>
      <c r="D64" s="106" t="s">
        <v>146</v>
      </c>
      <c r="E64" s="107" t="s">
        <v>116</v>
      </c>
      <c r="F64" s="107">
        <v>1.44</v>
      </c>
      <c r="G64" s="56">
        <v>0.5</v>
      </c>
      <c r="H64" s="56">
        <f t="shared" si="2"/>
        <v>0.72</v>
      </c>
    </row>
    <row r="65" spans="1:11" ht="102" x14ac:dyDescent="0.25">
      <c r="A65" s="66">
        <f t="shared" si="3"/>
        <v>51</v>
      </c>
      <c r="B65" s="7"/>
      <c r="C65" s="66">
        <v>30401</v>
      </c>
      <c r="D65" s="106" t="s">
        <v>147</v>
      </c>
      <c r="E65" s="107" t="s">
        <v>116</v>
      </c>
      <c r="F65" s="107">
        <v>0.03</v>
      </c>
      <c r="G65" s="56">
        <v>1.7</v>
      </c>
      <c r="H65" s="56">
        <f t="shared" si="2"/>
        <v>0.05</v>
      </c>
    </row>
    <row r="66" spans="1:11" ht="25.5" x14ac:dyDescent="0.25">
      <c r="A66" s="101" t="s">
        <v>47</v>
      </c>
      <c r="B66" s="119"/>
      <c r="C66" s="119"/>
      <c r="D66" s="119"/>
      <c r="E66" s="120"/>
      <c r="F66" s="27"/>
      <c r="G66" s="88"/>
      <c r="H66" s="89">
        <f>SUM(H67:H74)</f>
        <v>58872271.799999997</v>
      </c>
    </row>
    <row r="67" spans="1:11" ht="165.75" x14ac:dyDescent="0.25">
      <c r="A67" s="75">
        <f>A65+1</f>
        <v>52</v>
      </c>
      <c r="B67" s="101"/>
      <c r="C67" s="108" t="s">
        <v>148</v>
      </c>
      <c r="D67" s="106" t="s">
        <v>149</v>
      </c>
      <c r="E67" s="107" t="s">
        <v>150</v>
      </c>
      <c r="F67" s="107">
        <v>14</v>
      </c>
      <c r="G67" s="56">
        <v>1086945</v>
      </c>
      <c r="H67" s="56">
        <f t="shared" ref="H67:H74" si="4">ROUND(F67*G67,2)</f>
        <v>15217230</v>
      </c>
      <c r="J67" s="76"/>
    </row>
    <row r="68" spans="1:11" ht="140.25" x14ac:dyDescent="0.25">
      <c r="A68" s="75">
        <f t="shared" ref="A68:A74" si="5">A67+1</f>
        <v>53</v>
      </c>
      <c r="B68" s="101"/>
      <c r="C68" s="108" t="s">
        <v>148</v>
      </c>
      <c r="D68" s="106" t="s">
        <v>151</v>
      </c>
      <c r="E68" s="107" t="s">
        <v>150</v>
      </c>
      <c r="F68" s="107">
        <v>33</v>
      </c>
      <c r="G68" s="56">
        <v>419850</v>
      </c>
      <c r="H68" s="56">
        <f t="shared" si="4"/>
        <v>13855050</v>
      </c>
      <c r="J68" s="76"/>
    </row>
    <row r="69" spans="1:11" ht="191.25" x14ac:dyDescent="0.25">
      <c r="A69" s="75">
        <f t="shared" si="5"/>
        <v>54</v>
      </c>
      <c r="B69" s="101"/>
      <c r="C69" s="108" t="s">
        <v>148</v>
      </c>
      <c r="D69" s="106" t="s">
        <v>152</v>
      </c>
      <c r="E69" s="107" t="s">
        <v>153</v>
      </c>
      <c r="F69" s="107">
        <v>8</v>
      </c>
      <c r="G69" s="56">
        <v>1726050</v>
      </c>
      <c r="H69" s="56">
        <f t="shared" si="4"/>
        <v>13808400</v>
      </c>
      <c r="J69" s="76"/>
    </row>
    <row r="70" spans="1:11" ht="165.75" x14ac:dyDescent="0.25">
      <c r="A70" s="75">
        <f t="shared" si="5"/>
        <v>55</v>
      </c>
      <c r="B70" s="101"/>
      <c r="C70" s="108" t="s">
        <v>148</v>
      </c>
      <c r="D70" s="106" t="s">
        <v>154</v>
      </c>
      <c r="E70" s="107" t="s">
        <v>150</v>
      </c>
      <c r="F70" s="107">
        <v>8</v>
      </c>
      <c r="G70" s="56">
        <v>830370</v>
      </c>
      <c r="H70" s="56">
        <f t="shared" si="4"/>
        <v>6642960</v>
      </c>
      <c r="J70" s="76"/>
    </row>
    <row r="71" spans="1:11" ht="178.5" x14ac:dyDescent="0.25">
      <c r="A71" s="75">
        <f t="shared" si="5"/>
        <v>56</v>
      </c>
      <c r="B71" s="101"/>
      <c r="C71" s="108" t="s">
        <v>148</v>
      </c>
      <c r="D71" s="106" t="s">
        <v>155</v>
      </c>
      <c r="E71" s="107" t="s">
        <v>156</v>
      </c>
      <c r="F71" s="107">
        <v>3</v>
      </c>
      <c r="G71" s="56">
        <v>1726050</v>
      </c>
      <c r="H71" s="56">
        <f t="shared" si="4"/>
        <v>5178150</v>
      </c>
      <c r="J71" s="76"/>
    </row>
    <row r="72" spans="1:11" ht="63.75" x14ac:dyDescent="0.25">
      <c r="A72" s="75">
        <f t="shared" si="5"/>
        <v>57</v>
      </c>
      <c r="B72" s="101"/>
      <c r="C72" s="108" t="s">
        <v>148</v>
      </c>
      <c r="D72" s="106" t="s">
        <v>157</v>
      </c>
      <c r="E72" s="107" t="s">
        <v>150</v>
      </c>
      <c r="F72" s="107">
        <v>6</v>
      </c>
      <c r="G72" s="56">
        <v>545805</v>
      </c>
      <c r="H72" s="56">
        <f t="shared" si="4"/>
        <v>3274830</v>
      </c>
      <c r="J72" s="76"/>
    </row>
    <row r="73" spans="1:11" ht="63.75" x14ac:dyDescent="0.25">
      <c r="A73" s="75">
        <f t="shared" si="5"/>
        <v>58</v>
      </c>
      <c r="B73" s="101"/>
      <c r="C73" s="108" t="s">
        <v>148</v>
      </c>
      <c r="D73" s="106" t="s">
        <v>158</v>
      </c>
      <c r="E73" s="107" t="s">
        <v>159</v>
      </c>
      <c r="F73" s="107">
        <v>12</v>
      </c>
      <c r="G73" s="56">
        <v>71887.649999999994</v>
      </c>
      <c r="H73" s="56">
        <f t="shared" si="4"/>
        <v>862651.8</v>
      </c>
      <c r="J73" s="76"/>
    </row>
    <row r="74" spans="1:11" ht="114.75" x14ac:dyDescent="0.25">
      <c r="A74" s="75">
        <f t="shared" si="5"/>
        <v>59</v>
      </c>
      <c r="B74" s="101"/>
      <c r="C74" s="108" t="s">
        <v>148</v>
      </c>
      <c r="D74" s="106" t="s">
        <v>160</v>
      </c>
      <c r="E74" s="107" t="s">
        <v>150</v>
      </c>
      <c r="F74" s="107">
        <v>8</v>
      </c>
      <c r="G74" s="56">
        <v>4125</v>
      </c>
      <c r="H74" s="56">
        <f t="shared" si="4"/>
        <v>33000</v>
      </c>
      <c r="J74" s="76"/>
    </row>
    <row r="75" spans="1:11" ht="25.5" x14ac:dyDescent="0.25">
      <c r="A75" s="101" t="s">
        <v>161</v>
      </c>
      <c r="B75" s="119"/>
      <c r="C75" s="119"/>
      <c r="D75" s="119"/>
      <c r="E75" s="120"/>
      <c r="F75" s="27"/>
      <c r="G75" s="88"/>
      <c r="H75" s="89">
        <f>SUM(H76:H174)</f>
        <v>5434048.5700000022</v>
      </c>
      <c r="K75" s="48"/>
    </row>
    <row r="76" spans="1:11" ht="114.75" x14ac:dyDescent="0.25">
      <c r="A76" s="75">
        <f>A74+1</f>
        <v>60</v>
      </c>
      <c r="B76" s="7"/>
      <c r="C76" s="66" t="s">
        <v>162</v>
      </c>
      <c r="D76" s="106" t="s">
        <v>163</v>
      </c>
      <c r="E76" s="107" t="s">
        <v>164</v>
      </c>
      <c r="F76" s="107">
        <v>509</v>
      </c>
      <c r="G76" s="56">
        <v>5337.26</v>
      </c>
      <c r="H76" s="56">
        <f t="shared" ref="H76:H91" si="6">ROUND(F76*G76,2)</f>
        <v>2716665.34</v>
      </c>
    </row>
    <row r="77" spans="1:11" ht="63.75" x14ac:dyDescent="0.25">
      <c r="A77" s="75">
        <f t="shared" ref="A77:A108" si="7">A76+1</f>
        <v>61</v>
      </c>
      <c r="B77" s="7"/>
      <c r="C77" s="66" t="s">
        <v>165</v>
      </c>
      <c r="D77" s="106" t="s">
        <v>166</v>
      </c>
      <c r="E77" s="107" t="s">
        <v>167</v>
      </c>
      <c r="F77" s="107">
        <v>55.545299999999997</v>
      </c>
      <c r="G77" s="56">
        <v>12500</v>
      </c>
      <c r="H77" s="56">
        <f t="shared" si="6"/>
        <v>694316.25</v>
      </c>
    </row>
    <row r="78" spans="1:11" ht="165.75" x14ac:dyDescent="0.25">
      <c r="A78" s="75">
        <f t="shared" si="7"/>
        <v>62</v>
      </c>
      <c r="B78" s="7"/>
      <c r="C78" s="66" t="s">
        <v>168</v>
      </c>
      <c r="D78" s="106" t="s">
        <v>169</v>
      </c>
      <c r="E78" s="107" t="s">
        <v>164</v>
      </c>
      <c r="F78" s="107">
        <v>509</v>
      </c>
      <c r="G78" s="56">
        <v>700</v>
      </c>
      <c r="H78" s="56">
        <f t="shared" si="6"/>
        <v>356300</v>
      </c>
    </row>
    <row r="79" spans="1:11" ht="89.25" x14ac:dyDescent="0.25">
      <c r="A79" s="75">
        <f t="shared" si="7"/>
        <v>63</v>
      </c>
      <c r="B79" s="7"/>
      <c r="C79" s="66" t="s">
        <v>170</v>
      </c>
      <c r="D79" s="106" t="s">
        <v>171</v>
      </c>
      <c r="E79" s="107" t="s">
        <v>167</v>
      </c>
      <c r="F79" s="107">
        <v>23.92</v>
      </c>
      <c r="G79" s="56">
        <v>12500</v>
      </c>
      <c r="H79" s="56">
        <f t="shared" si="6"/>
        <v>299000</v>
      </c>
    </row>
    <row r="80" spans="1:11" ht="51" x14ac:dyDescent="0.25">
      <c r="A80" s="75">
        <f t="shared" si="7"/>
        <v>64</v>
      </c>
      <c r="B80" s="7"/>
      <c r="C80" s="66" t="s">
        <v>172</v>
      </c>
      <c r="D80" s="106" t="s">
        <v>173</v>
      </c>
      <c r="E80" s="107" t="s">
        <v>150</v>
      </c>
      <c r="F80" s="107">
        <v>36</v>
      </c>
      <c r="G80" s="56">
        <v>5240.6000000000004</v>
      </c>
      <c r="H80" s="56">
        <f t="shared" si="6"/>
        <v>188661.6</v>
      </c>
    </row>
    <row r="81" spans="1:8" ht="127.5" x14ac:dyDescent="0.25">
      <c r="A81" s="75">
        <f t="shared" si="7"/>
        <v>65</v>
      </c>
      <c r="B81" s="7"/>
      <c r="C81" s="66" t="s">
        <v>174</v>
      </c>
      <c r="D81" s="106" t="s">
        <v>175</v>
      </c>
      <c r="E81" s="107" t="s">
        <v>167</v>
      </c>
      <c r="F81" s="107">
        <v>4.9072199999999997</v>
      </c>
      <c r="G81" s="56">
        <v>32758.86</v>
      </c>
      <c r="H81" s="56">
        <f t="shared" si="6"/>
        <v>160754.93</v>
      </c>
    </row>
    <row r="82" spans="1:8" ht="38.25" x14ac:dyDescent="0.25">
      <c r="A82" s="75">
        <f t="shared" si="7"/>
        <v>66</v>
      </c>
      <c r="B82" s="7"/>
      <c r="C82" s="66" t="s">
        <v>176</v>
      </c>
      <c r="D82" s="106" t="s">
        <v>177</v>
      </c>
      <c r="E82" s="107" t="s">
        <v>150</v>
      </c>
      <c r="F82" s="107">
        <v>254.89</v>
      </c>
      <c r="G82" s="56">
        <v>597</v>
      </c>
      <c r="H82" s="56">
        <f t="shared" si="6"/>
        <v>152169.32999999999</v>
      </c>
    </row>
    <row r="83" spans="1:8" ht="63.75" x14ac:dyDescent="0.25">
      <c r="A83" s="75">
        <f t="shared" si="7"/>
        <v>67</v>
      </c>
      <c r="B83" s="7"/>
      <c r="C83" s="66" t="s">
        <v>178</v>
      </c>
      <c r="D83" s="106" t="s">
        <v>179</v>
      </c>
      <c r="E83" s="107" t="s">
        <v>167</v>
      </c>
      <c r="F83" s="107">
        <v>13</v>
      </c>
      <c r="G83" s="56">
        <v>8200</v>
      </c>
      <c r="H83" s="56">
        <f t="shared" si="6"/>
        <v>106600</v>
      </c>
    </row>
    <row r="84" spans="1:8" ht="102" x14ac:dyDescent="0.25">
      <c r="A84" s="75">
        <f t="shared" si="7"/>
        <v>68</v>
      </c>
      <c r="B84" s="7"/>
      <c r="C84" s="66" t="str">
        <f>'Прил.5 Расчет СМР и ОБ'!B83</f>
        <v>20.2.04.04-0052</v>
      </c>
      <c r="D84" s="106" t="str">
        <f>'Прил.5 Расчет СМР и ОБ'!C83</f>
        <v>Короб электротехнический стальной: КП-0,1/0,2-2У1</v>
      </c>
      <c r="E84" s="107" t="str">
        <f>'Прил.5 Расчет СМР и ОБ'!D83</f>
        <v>шт</v>
      </c>
      <c r="F84" s="107">
        <f>'Прил.5 Расчет СМР и ОБ'!E83</f>
        <v>330</v>
      </c>
      <c r="G84" s="56">
        <f>'Прил.5 Расчет СМР и ОБ'!F83</f>
        <v>317.02</v>
      </c>
      <c r="H84" s="56">
        <f t="shared" si="6"/>
        <v>104616.6</v>
      </c>
    </row>
    <row r="85" spans="1:8" ht="242.25" x14ac:dyDescent="0.25">
      <c r="A85" s="75">
        <f t="shared" si="7"/>
        <v>69</v>
      </c>
      <c r="B85" s="7"/>
      <c r="C85" s="66" t="s">
        <v>180</v>
      </c>
      <c r="D85" s="106" t="s">
        <v>181</v>
      </c>
      <c r="E85" s="107" t="s">
        <v>167</v>
      </c>
      <c r="F85" s="107">
        <v>6.5226810000000004</v>
      </c>
      <c r="G85" s="56">
        <v>11879.77</v>
      </c>
      <c r="H85" s="56">
        <f t="shared" si="6"/>
        <v>77487.95</v>
      </c>
    </row>
    <row r="86" spans="1:8" ht="204" x14ac:dyDescent="0.25">
      <c r="A86" s="75">
        <f t="shared" si="7"/>
        <v>70</v>
      </c>
      <c r="B86" s="7"/>
      <c r="C86" s="66" t="s">
        <v>182</v>
      </c>
      <c r="D86" s="106" t="s">
        <v>183</v>
      </c>
      <c r="E86" s="107" t="s">
        <v>159</v>
      </c>
      <c r="F86" s="107">
        <v>192</v>
      </c>
      <c r="G86" s="56">
        <v>389.85</v>
      </c>
      <c r="H86" s="56">
        <f t="shared" si="6"/>
        <v>74851.199999999997</v>
      </c>
    </row>
    <row r="87" spans="1:8" ht="25.5" x14ac:dyDescent="0.25">
      <c r="A87" s="75">
        <f t="shared" si="7"/>
        <v>71</v>
      </c>
      <c r="B87" s="7"/>
      <c r="C87" s="66" t="s">
        <v>184</v>
      </c>
      <c r="D87" s="106" t="s">
        <v>185</v>
      </c>
      <c r="E87" s="107" t="s">
        <v>159</v>
      </c>
      <c r="F87" s="107">
        <v>1325</v>
      </c>
      <c r="G87" s="56">
        <v>51.5</v>
      </c>
      <c r="H87" s="56">
        <f t="shared" si="6"/>
        <v>68237.5</v>
      </c>
    </row>
    <row r="88" spans="1:8" ht="102" x14ac:dyDescent="0.25">
      <c r="A88" s="75">
        <f t="shared" si="7"/>
        <v>72</v>
      </c>
      <c r="B88" s="7"/>
      <c r="C88" s="66" t="s">
        <v>186</v>
      </c>
      <c r="D88" s="106" t="s">
        <v>187</v>
      </c>
      <c r="E88" s="107" t="s">
        <v>167</v>
      </c>
      <c r="F88" s="107">
        <v>5.67</v>
      </c>
      <c r="G88" s="56">
        <v>9800</v>
      </c>
      <c r="H88" s="56">
        <f t="shared" si="6"/>
        <v>55566</v>
      </c>
    </row>
    <row r="89" spans="1:8" ht="51" x14ac:dyDescent="0.25">
      <c r="A89" s="75">
        <f t="shared" si="7"/>
        <v>73</v>
      </c>
      <c r="B89" s="7"/>
      <c r="C89" s="66" t="s">
        <v>188</v>
      </c>
      <c r="D89" s="106" t="s">
        <v>189</v>
      </c>
      <c r="E89" s="107" t="s">
        <v>159</v>
      </c>
      <c r="F89" s="107">
        <v>192</v>
      </c>
      <c r="G89" s="56">
        <v>248.78</v>
      </c>
      <c r="H89" s="56">
        <f t="shared" si="6"/>
        <v>47765.760000000002</v>
      </c>
    </row>
    <row r="90" spans="1:8" ht="102" x14ac:dyDescent="0.25">
      <c r="A90" s="75">
        <f t="shared" si="7"/>
        <v>74</v>
      </c>
      <c r="B90" s="7"/>
      <c r="C90" s="66" t="s">
        <v>190</v>
      </c>
      <c r="D90" s="106" t="s">
        <v>191</v>
      </c>
      <c r="E90" s="107" t="s">
        <v>167</v>
      </c>
      <c r="F90" s="107">
        <v>1.4730000000000001</v>
      </c>
      <c r="G90" s="56">
        <v>30090</v>
      </c>
      <c r="H90" s="56">
        <f t="shared" si="6"/>
        <v>44322.57</v>
      </c>
    </row>
    <row r="91" spans="1:8" ht="63.75" x14ac:dyDescent="0.25">
      <c r="A91" s="75">
        <f t="shared" si="7"/>
        <v>75</v>
      </c>
      <c r="B91" s="7"/>
      <c r="C91" s="66" t="s">
        <v>192</v>
      </c>
      <c r="D91" s="106" t="s">
        <v>193</v>
      </c>
      <c r="E91" s="107" t="s">
        <v>159</v>
      </c>
      <c r="F91" s="107">
        <v>476</v>
      </c>
      <c r="G91" s="56">
        <v>66.680000000000007</v>
      </c>
      <c r="H91" s="56">
        <f t="shared" si="6"/>
        <v>31739.68</v>
      </c>
    </row>
    <row r="92" spans="1:8" ht="89.25" x14ac:dyDescent="0.25">
      <c r="A92" s="75">
        <f t="shared" si="7"/>
        <v>76</v>
      </c>
      <c r="B92" s="7"/>
      <c r="C92" s="66" t="str">
        <f>'Прил.5 Расчет СМР и ОБ'!B93</f>
        <v>20.1.01.02-0066</v>
      </c>
      <c r="D92" s="106" t="str">
        <f>'Прил.5 Расчет СМР и ОБ'!C93</f>
        <v xml:space="preserve">	Зажим аппаратный прессуемый: А4А-300-2</v>
      </c>
      <c r="E92" s="107" t="str">
        <f>'Прил.5 Расчет СМР и ОБ'!D93</f>
        <v>100 шт.</v>
      </c>
      <c r="F92" s="107">
        <f>'Прил.5 Расчет СМР и ОБ'!E93</f>
        <v>3.96</v>
      </c>
      <c r="G92" s="56">
        <f>'Прил.5 Расчет СМР и ОБ'!F93</f>
        <v>6080</v>
      </c>
      <c r="H92" s="56">
        <f>'Прил.5 Расчет СМР и ОБ'!G93</f>
        <v>24076.799999999999</v>
      </c>
    </row>
    <row r="93" spans="1:8" ht="293.25" x14ac:dyDescent="0.25">
      <c r="A93" s="75">
        <f t="shared" si="7"/>
        <v>77</v>
      </c>
      <c r="B93" s="7"/>
      <c r="C93" s="66" t="s">
        <v>194</v>
      </c>
      <c r="D93" s="106" t="s">
        <v>195</v>
      </c>
      <c r="E93" s="107" t="s">
        <v>167</v>
      </c>
      <c r="F93" s="107">
        <v>0.31227300000000002</v>
      </c>
      <c r="G93" s="56">
        <v>67803.98</v>
      </c>
      <c r="H93" s="56">
        <f t="shared" ref="H93:H124" si="8">ROUND(F93*G93,2)</f>
        <v>21173.35</v>
      </c>
    </row>
    <row r="94" spans="1:8" ht="25.5" x14ac:dyDescent="0.25">
      <c r="A94" s="75">
        <f t="shared" si="7"/>
        <v>78</v>
      </c>
      <c r="B94" s="7"/>
      <c r="C94" s="66" t="s">
        <v>196</v>
      </c>
      <c r="D94" s="106" t="s">
        <v>197</v>
      </c>
      <c r="E94" s="107" t="s">
        <v>198</v>
      </c>
      <c r="F94" s="107">
        <v>82</v>
      </c>
      <c r="G94" s="56">
        <v>238.48</v>
      </c>
      <c r="H94" s="56">
        <f t="shared" si="8"/>
        <v>19555.36</v>
      </c>
    </row>
    <row r="95" spans="1:8" ht="51" x14ac:dyDescent="0.25">
      <c r="A95" s="75">
        <f t="shared" si="7"/>
        <v>79</v>
      </c>
      <c r="B95" s="7"/>
      <c r="C95" s="66" t="s">
        <v>199</v>
      </c>
      <c r="D95" s="106" t="s">
        <v>200</v>
      </c>
      <c r="E95" s="107" t="s">
        <v>159</v>
      </c>
      <c r="F95" s="107">
        <v>87</v>
      </c>
      <c r="G95" s="56">
        <v>194.37</v>
      </c>
      <c r="H95" s="56">
        <f t="shared" si="8"/>
        <v>16910.189999999999</v>
      </c>
    </row>
    <row r="96" spans="1:8" ht="306" x14ac:dyDescent="0.25">
      <c r="A96" s="75">
        <f t="shared" si="7"/>
        <v>80</v>
      </c>
      <c r="B96" s="7"/>
      <c r="C96" s="66" t="s">
        <v>201</v>
      </c>
      <c r="D96" s="106" t="s">
        <v>202</v>
      </c>
      <c r="E96" s="107" t="s">
        <v>167</v>
      </c>
      <c r="F96" s="107">
        <v>1.5449999999999999</v>
      </c>
      <c r="G96" s="56">
        <v>10508</v>
      </c>
      <c r="H96" s="56">
        <f t="shared" si="8"/>
        <v>16234.86</v>
      </c>
    </row>
    <row r="97" spans="1:8" ht="38.25" x14ac:dyDescent="0.25">
      <c r="A97" s="75">
        <f t="shared" si="7"/>
        <v>81</v>
      </c>
      <c r="B97" s="7"/>
      <c r="C97" s="66" t="s">
        <v>203</v>
      </c>
      <c r="D97" s="106" t="s">
        <v>204</v>
      </c>
      <c r="E97" s="107" t="s">
        <v>159</v>
      </c>
      <c r="F97" s="107">
        <v>221</v>
      </c>
      <c r="G97" s="56">
        <v>66.819999999999993</v>
      </c>
      <c r="H97" s="56">
        <f t="shared" si="8"/>
        <v>14767.22</v>
      </c>
    </row>
    <row r="98" spans="1:8" ht="25.5" x14ac:dyDescent="0.25">
      <c r="A98" s="75">
        <f t="shared" si="7"/>
        <v>82</v>
      </c>
      <c r="B98" s="7"/>
      <c r="C98" s="66" t="s">
        <v>205</v>
      </c>
      <c r="D98" s="106" t="s">
        <v>206</v>
      </c>
      <c r="E98" s="107" t="s">
        <v>159</v>
      </c>
      <c r="F98" s="107">
        <v>320</v>
      </c>
      <c r="G98" s="56">
        <v>36.61</v>
      </c>
      <c r="H98" s="56">
        <f t="shared" si="8"/>
        <v>11715.2</v>
      </c>
    </row>
    <row r="99" spans="1:8" ht="127.5" x14ac:dyDescent="0.25">
      <c r="A99" s="75">
        <f t="shared" si="7"/>
        <v>83</v>
      </c>
      <c r="B99" s="7"/>
      <c r="C99" s="66" t="s">
        <v>207</v>
      </c>
      <c r="D99" s="106" t="s">
        <v>208</v>
      </c>
      <c r="E99" s="107" t="s">
        <v>167</v>
      </c>
      <c r="F99" s="107">
        <v>0.93700000000000006</v>
      </c>
      <c r="G99" s="56">
        <v>11500</v>
      </c>
      <c r="H99" s="56">
        <f t="shared" si="8"/>
        <v>10775.5</v>
      </c>
    </row>
    <row r="100" spans="1:8" ht="76.5" x14ac:dyDescent="0.25">
      <c r="A100" s="75">
        <f t="shared" si="7"/>
        <v>84</v>
      </c>
      <c r="B100" s="7"/>
      <c r="C100" s="66" t="s">
        <v>209</v>
      </c>
      <c r="D100" s="106" t="s">
        <v>210</v>
      </c>
      <c r="E100" s="107" t="s">
        <v>167</v>
      </c>
      <c r="F100" s="107">
        <v>1.37788</v>
      </c>
      <c r="G100" s="56">
        <v>7396.23</v>
      </c>
      <c r="H100" s="56">
        <f t="shared" si="8"/>
        <v>10191.120000000001</v>
      </c>
    </row>
    <row r="101" spans="1:8" ht="280.5" x14ac:dyDescent="0.25">
      <c r="A101" s="75">
        <f t="shared" si="7"/>
        <v>85</v>
      </c>
      <c r="B101" s="7"/>
      <c r="C101" s="66" t="s">
        <v>211</v>
      </c>
      <c r="D101" s="106" t="s">
        <v>212</v>
      </c>
      <c r="E101" s="107" t="s">
        <v>167</v>
      </c>
      <c r="F101" s="107">
        <v>1.298</v>
      </c>
      <c r="G101" s="56">
        <v>7712</v>
      </c>
      <c r="H101" s="56">
        <f t="shared" si="8"/>
        <v>10010.18</v>
      </c>
    </row>
    <row r="102" spans="1:8" ht="76.5" x14ac:dyDescent="0.25">
      <c r="A102" s="75">
        <f t="shared" si="7"/>
        <v>86</v>
      </c>
      <c r="B102" s="7"/>
      <c r="C102" s="66" t="s">
        <v>213</v>
      </c>
      <c r="D102" s="106" t="s">
        <v>214</v>
      </c>
      <c r="E102" s="107" t="s">
        <v>164</v>
      </c>
      <c r="F102" s="107">
        <v>509</v>
      </c>
      <c r="G102" s="56">
        <v>18.53</v>
      </c>
      <c r="H102" s="56">
        <f t="shared" si="8"/>
        <v>9431.77</v>
      </c>
    </row>
    <row r="103" spans="1:8" ht="89.25" x14ac:dyDescent="0.25">
      <c r="A103" s="75">
        <f t="shared" si="7"/>
        <v>87</v>
      </c>
      <c r="B103" s="7"/>
      <c r="C103" s="66" t="s">
        <v>215</v>
      </c>
      <c r="D103" s="106" t="s">
        <v>216</v>
      </c>
      <c r="E103" s="107" t="s">
        <v>159</v>
      </c>
      <c r="F103" s="107">
        <v>127</v>
      </c>
      <c r="G103" s="56">
        <v>56.95</v>
      </c>
      <c r="H103" s="56">
        <f t="shared" si="8"/>
        <v>7232.65</v>
      </c>
    </row>
    <row r="104" spans="1:8" ht="127.5" x14ac:dyDescent="0.25">
      <c r="A104" s="75">
        <f t="shared" si="7"/>
        <v>88</v>
      </c>
      <c r="B104" s="7"/>
      <c r="C104" s="66" t="s">
        <v>217</v>
      </c>
      <c r="D104" s="106" t="s">
        <v>218</v>
      </c>
      <c r="E104" s="107" t="s">
        <v>159</v>
      </c>
      <c r="F104" s="107">
        <v>87</v>
      </c>
      <c r="G104" s="56">
        <v>81</v>
      </c>
      <c r="H104" s="56">
        <f t="shared" si="8"/>
        <v>7047</v>
      </c>
    </row>
    <row r="105" spans="1:8" ht="63.75" x14ac:dyDescent="0.25">
      <c r="A105" s="75">
        <f t="shared" si="7"/>
        <v>89</v>
      </c>
      <c r="B105" s="7"/>
      <c r="C105" s="66" t="s">
        <v>219</v>
      </c>
      <c r="D105" s="106" t="s">
        <v>220</v>
      </c>
      <c r="E105" s="107" t="s">
        <v>167</v>
      </c>
      <c r="F105" s="107">
        <v>0.6714</v>
      </c>
      <c r="G105" s="56">
        <v>10315</v>
      </c>
      <c r="H105" s="56">
        <f t="shared" si="8"/>
        <v>6925.49</v>
      </c>
    </row>
    <row r="106" spans="1:8" ht="76.5" x14ac:dyDescent="0.25">
      <c r="A106" s="75">
        <f t="shared" si="7"/>
        <v>90</v>
      </c>
      <c r="B106" s="7"/>
      <c r="C106" s="66" t="s">
        <v>221</v>
      </c>
      <c r="D106" s="106" t="s">
        <v>222</v>
      </c>
      <c r="E106" s="107" t="s">
        <v>223</v>
      </c>
      <c r="F106" s="107">
        <v>420</v>
      </c>
      <c r="G106" s="56">
        <v>13.56</v>
      </c>
      <c r="H106" s="56">
        <f t="shared" si="8"/>
        <v>5695.2</v>
      </c>
    </row>
    <row r="107" spans="1:8" ht="76.5" x14ac:dyDescent="0.25">
      <c r="A107" s="75">
        <f t="shared" si="7"/>
        <v>91</v>
      </c>
      <c r="B107" s="7"/>
      <c r="C107" s="66" t="s">
        <v>224</v>
      </c>
      <c r="D107" s="106" t="s">
        <v>225</v>
      </c>
      <c r="E107" s="107" t="s">
        <v>198</v>
      </c>
      <c r="F107" s="107">
        <v>553.07899999999995</v>
      </c>
      <c r="G107" s="56">
        <v>9.0399999999999991</v>
      </c>
      <c r="H107" s="56">
        <f t="shared" si="8"/>
        <v>4999.83</v>
      </c>
    </row>
    <row r="108" spans="1:8" ht="38.25" x14ac:dyDescent="0.25">
      <c r="A108" s="75">
        <f t="shared" si="7"/>
        <v>92</v>
      </c>
      <c r="B108" s="7"/>
      <c r="C108" s="66" t="s">
        <v>226</v>
      </c>
      <c r="D108" s="106" t="s">
        <v>227</v>
      </c>
      <c r="E108" s="107" t="s">
        <v>198</v>
      </c>
      <c r="F108" s="107">
        <v>96</v>
      </c>
      <c r="G108" s="56">
        <v>50</v>
      </c>
      <c r="H108" s="56">
        <f t="shared" si="8"/>
        <v>4800</v>
      </c>
    </row>
    <row r="109" spans="1:8" ht="140.25" x14ac:dyDescent="0.25">
      <c r="A109" s="75">
        <f t="shared" ref="A109:A140" si="9">A108+1</f>
        <v>93</v>
      </c>
      <c r="B109" s="7"/>
      <c r="C109" s="66" t="s">
        <v>228</v>
      </c>
      <c r="D109" s="106" t="s">
        <v>229</v>
      </c>
      <c r="E109" s="107" t="s">
        <v>167</v>
      </c>
      <c r="F109" s="107">
        <v>0.61377700000000002</v>
      </c>
      <c r="G109" s="56">
        <v>7571</v>
      </c>
      <c r="H109" s="56">
        <f t="shared" si="8"/>
        <v>4646.91</v>
      </c>
    </row>
    <row r="110" spans="1:8" ht="127.5" x14ac:dyDescent="0.25">
      <c r="A110" s="75">
        <f t="shared" si="9"/>
        <v>94</v>
      </c>
      <c r="B110" s="7"/>
      <c r="C110" s="66" t="s">
        <v>230</v>
      </c>
      <c r="D110" s="106" t="s">
        <v>231</v>
      </c>
      <c r="E110" s="107" t="s">
        <v>167</v>
      </c>
      <c r="F110" s="107">
        <v>0.9073</v>
      </c>
      <c r="G110" s="56">
        <v>5000</v>
      </c>
      <c r="H110" s="56">
        <f t="shared" si="8"/>
        <v>4536.5</v>
      </c>
    </row>
    <row r="111" spans="1:8" ht="102" x14ac:dyDescent="0.25">
      <c r="A111" s="66">
        <f t="shared" si="9"/>
        <v>95</v>
      </c>
      <c r="B111" s="7"/>
      <c r="C111" s="66" t="s">
        <v>232</v>
      </c>
      <c r="D111" s="106" t="s">
        <v>233</v>
      </c>
      <c r="E111" s="107" t="s">
        <v>198</v>
      </c>
      <c r="F111" s="107">
        <v>150</v>
      </c>
      <c r="G111" s="56">
        <v>24.79</v>
      </c>
      <c r="H111" s="56">
        <f t="shared" si="8"/>
        <v>3718.5</v>
      </c>
    </row>
    <row r="112" spans="1:8" ht="204" x14ac:dyDescent="0.25">
      <c r="A112" s="66">
        <f t="shared" si="9"/>
        <v>96</v>
      </c>
      <c r="B112" s="7"/>
      <c r="C112" s="66" t="s">
        <v>234</v>
      </c>
      <c r="D112" s="106" t="s">
        <v>235</v>
      </c>
      <c r="E112" s="107" t="s">
        <v>236</v>
      </c>
      <c r="F112" s="107">
        <v>0.18360000000000001</v>
      </c>
      <c r="G112" s="56">
        <v>19363.45</v>
      </c>
      <c r="H112" s="56">
        <f t="shared" si="8"/>
        <v>3555.13</v>
      </c>
    </row>
    <row r="113" spans="1:8" x14ac:dyDescent="0.25">
      <c r="A113" s="66">
        <f t="shared" si="9"/>
        <v>97</v>
      </c>
      <c r="B113" s="7"/>
      <c r="C113" s="66" t="s">
        <v>237</v>
      </c>
      <c r="D113" s="106" t="s">
        <v>238</v>
      </c>
      <c r="E113" s="107" t="s">
        <v>198</v>
      </c>
      <c r="F113" s="107">
        <v>117.27</v>
      </c>
      <c r="G113" s="56">
        <v>28.6</v>
      </c>
      <c r="H113" s="56">
        <f t="shared" si="8"/>
        <v>3353.92</v>
      </c>
    </row>
    <row r="114" spans="1:8" ht="25.5" x14ac:dyDescent="0.25">
      <c r="A114" s="66">
        <f t="shared" si="9"/>
        <v>98</v>
      </c>
      <c r="B114" s="7"/>
      <c r="C114" s="66" t="s">
        <v>239</v>
      </c>
      <c r="D114" s="106" t="s">
        <v>240</v>
      </c>
      <c r="E114" s="107" t="s">
        <v>167</v>
      </c>
      <c r="F114" s="107">
        <v>0.48299999999999998</v>
      </c>
      <c r="G114" s="56">
        <v>6667</v>
      </c>
      <c r="H114" s="56">
        <f t="shared" si="8"/>
        <v>3220.16</v>
      </c>
    </row>
    <row r="115" spans="1:8" ht="63.75" x14ac:dyDescent="0.25">
      <c r="A115" s="66">
        <f t="shared" si="9"/>
        <v>99</v>
      </c>
      <c r="B115" s="7"/>
      <c r="C115" s="66" t="s">
        <v>241</v>
      </c>
      <c r="D115" s="106" t="s">
        <v>242</v>
      </c>
      <c r="E115" s="107" t="s">
        <v>159</v>
      </c>
      <c r="F115" s="107">
        <v>30</v>
      </c>
      <c r="G115" s="56">
        <v>92.25</v>
      </c>
      <c r="H115" s="56">
        <f t="shared" si="8"/>
        <v>2767.5</v>
      </c>
    </row>
    <row r="116" spans="1:8" ht="114.75" x14ac:dyDescent="0.25">
      <c r="A116" s="66">
        <f t="shared" si="9"/>
        <v>100</v>
      </c>
      <c r="B116" s="7"/>
      <c r="C116" s="66" t="s">
        <v>243</v>
      </c>
      <c r="D116" s="106" t="s">
        <v>244</v>
      </c>
      <c r="E116" s="107" t="s">
        <v>198</v>
      </c>
      <c r="F116" s="107">
        <v>39</v>
      </c>
      <c r="G116" s="56">
        <v>54.99</v>
      </c>
      <c r="H116" s="56">
        <f t="shared" si="8"/>
        <v>2144.61</v>
      </c>
    </row>
    <row r="117" spans="1:8" ht="38.25" x14ac:dyDescent="0.25">
      <c r="A117" s="66">
        <f t="shared" si="9"/>
        <v>101</v>
      </c>
      <c r="B117" s="7"/>
      <c r="C117" s="66" t="s">
        <v>245</v>
      </c>
      <c r="D117" s="106" t="s">
        <v>246</v>
      </c>
      <c r="E117" s="107" t="s">
        <v>164</v>
      </c>
      <c r="F117" s="107">
        <v>1.512</v>
      </c>
      <c r="G117" s="56">
        <v>1410</v>
      </c>
      <c r="H117" s="56">
        <f t="shared" si="8"/>
        <v>2131.92</v>
      </c>
    </row>
    <row r="118" spans="1:8" ht="63.75" x14ac:dyDescent="0.25">
      <c r="A118" s="66">
        <f t="shared" si="9"/>
        <v>102</v>
      </c>
      <c r="B118" s="7"/>
      <c r="C118" s="66" t="s">
        <v>247</v>
      </c>
      <c r="D118" s="106" t="s">
        <v>248</v>
      </c>
      <c r="E118" s="107" t="s">
        <v>198</v>
      </c>
      <c r="F118" s="107">
        <v>198.5164</v>
      </c>
      <c r="G118" s="56">
        <v>10.57</v>
      </c>
      <c r="H118" s="56">
        <f t="shared" si="8"/>
        <v>2098.3200000000002</v>
      </c>
    </row>
    <row r="119" spans="1:8" ht="127.5" x14ac:dyDescent="0.25">
      <c r="A119" s="66">
        <f t="shared" si="9"/>
        <v>103</v>
      </c>
      <c r="B119" s="7"/>
      <c r="C119" s="66" t="s">
        <v>249</v>
      </c>
      <c r="D119" s="106" t="s">
        <v>250</v>
      </c>
      <c r="E119" s="107" t="s">
        <v>164</v>
      </c>
      <c r="F119" s="107">
        <v>3.06</v>
      </c>
      <c r="G119" s="56">
        <v>542.24</v>
      </c>
      <c r="H119" s="56">
        <f t="shared" si="8"/>
        <v>1659.25</v>
      </c>
    </row>
    <row r="120" spans="1:8" ht="127.5" x14ac:dyDescent="0.25">
      <c r="A120" s="66">
        <f t="shared" si="9"/>
        <v>104</v>
      </c>
      <c r="B120" s="7"/>
      <c r="C120" s="66" t="s">
        <v>251</v>
      </c>
      <c r="D120" s="106" t="s">
        <v>252</v>
      </c>
      <c r="E120" s="107" t="s">
        <v>164</v>
      </c>
      <c r="F120" s="107">
        <v>3.06</v>
      </c>
      <c r="G120" s="56">
        <v>520</v>
      </c>
      <c r="H120" s="56">
        <f t="shared" si="8"/>
        <v>1591.2</v>
      </c>
    </row>
    <row r="121" spans="1:8" ht="38.25" x14ac:dyDescent="0.25">
      <c r="A121" s="66">
        <f t="shared" si="9"/>
        <v>105</v>
      </c>
      <c r="B121" s="7"/>
      <c r="C121" s="66" t="s">
        <v>253</v>
      </c>
      <c r="D121" s="106" t="s">
        <v>254</v>
      </c>
      <c r="E121" s="107" t="s">
        <v>159</v>
      </c>
      <c r="F121" s="107">
        <v>127</v>
      </c>
      <c r="G121" s="56">
        <v>11.39</v>
      </c>
      <c r="H121" s="56">
        <f t="shared" si="8"/>
        <v>1446.53</v>
      </c>
    </row>
    <row r="122" spans="1:8" ht="38.25" x14ac:dyDescent="0.25">
      <c r="A122" s="66">
        <f t="shared" si="9"/>
        <v>106</v>
      </c>
      <c r="B122" s="7"/>
      <c r="C122" s="66" t="s">
        <v>255</v>
      </c>
      <c r="D122" s="106" t="s">
        <v>256</v>
      </c>
      <c r="E122" s="107" t="s">
        <v>257</v>
      </c>
      <c r="F122" s="107">
        <v>17.399999999999999</v>
      </c>
      <c r="G122" s="56">
        <v>79.099999999999994</v>
      </c>
      <c r="H122" s="56">
        <f t="shared" si="8"/>
        <v>1376.34</v>
      </c>
    </row>
    <row r="123" spans="1:8" ht="51" x14ac:dyDescent="0.25">
      <c r="A123" s="66">
        <f t="shared" si="9"/>
        <v>107</v>
      </c>
      <c r="B123" s="7"/>
      <c r="C123" s="66" t="s">
        <v>258</v>
      </c>
      <c r="D123" s="106" t="s">
        <v>259</v>
      </c>
      <c r="E123" s="107" t="s">
        <v>159</v>
      </c>
      <c r="F123" s="107">
        <v>7.4260000000000002</v>
      </c>
      <c r="G123" s="56">
        <v>176.51</v>
      </c>
      <c r="H123" s="56">
        <f t="shared" si="8"/>
        <v>1310.76</v>
      </c>
    </row>
    <row r="124" spans="1:8" ht="89.25" x14ac:dyDescent="0.25">
      <c r="A124" s="66">
        <f t="shared" si="9"/>
        <v>108</v>
      </c>
      <c r="B124" s="7"/>
      <c r="C124" s="66" t="s">
        <v>260</v>
      </c>
      <c r="D124" s="106" t="s">
        <v>261</v>
      </c>
      <c r="E124" s="107" t="s">
        <v>167</v>
      </c>
      <c r="F124" s="107">
        <v>3.3399999999999999E-2</v>
      </c>
      <c r="G124" s="56">
        <v>38890</v>
      </c>
      <c r="H124" s="56">
        <f t="shared" si="8"/>
        <v>1298.93</v>
      </c>
    </row>
    <row r="125" spans="1:8" ht="102" x14ac:dyDescent="0.25">
      <c r="A125" s="66">
        <f t="shared" si="9"/>
        <v>109</v>
      </c>
      <c r="B125" s="7"/>
      <c r="C125" s="66" t="s">
        <v>262</v>
      </c>
      <c r="D125" s="106" t="s">
        <v>263</v>
      </c>
      <c r="E125" s="107" t="s">
        <v>167</v>
      </c>
      <c r="F125" s="107">
        <v>7.0999999999999994E-2</v>
      </c>
      <c r="G125" s="56">
        <v>17500</v>
      </c>
      <c r="H125" s="56">
        <f t="shared" ref="H125:H156" si="10">ROUND(F125*G125,2)</f>
        <v>1242.5</v>
      </c>
    </row>
    <row r="126" spans="1:8" ht="267.75" x14ac:dyDescent="0.25">
      <c r="A126" s="66">
        <f t="shared" si="9"/>
        <v>110</v>
      </c>
      <c r="B126" s="7"/>
      <c r="C126" s="66" t="s">
        <v>264</v>
      </c>
      <c r="D126" s="106" t="s">
        <v>265</v>
      </c>
      <c r="E126" s="107" t="s">
        <v>167</v>
      </c>
      <c r="F126" s="107">
        <v>0.14940000000000001</v>
      </c>
      <c r="G126" s="56">
        <v>8060</v>
      </c>
      <c r="H126" s="56">
        <f t="shared" si="10"/>
        <v>1204.1600000000001</v>
      </c>
    </row>
    <row r="127" spans="1:8" ht="140.25" x14ac:dyDescent="0.25">
      <c r="A127" s="66">
        <f t="shared" si="9"/>
        <v>111</v>
      </c>
      <c r="B127" s="7"/>
      <c r="C127" s="66" t="s">
        <v>266</v>
      </c>
      <c r="D127" s="106" t="s">
        <v>267</v>
      </c>
      <c r="E127" s="107" t="s">
        <v>268</v>
      </c>
      <c r="F127" s="107">
        <v>1199.9356</v>
      </c>
      <c r="G127" s="56">
        <v>1</v>
      </c>
      <c r="H127" s="56">
        <f t="shared" si="10"/>
        <v>1199.94</v>
      </c>
    </row>
    <row r="128" spans="1:8" ht="76.5" x14ac:dyDescent="0.25">
      <c r="A128" s="66">
        <f t="shared" si="9"/>
        <v>112</v>
      </c>
      <c r="B128" s="7"/>
      <c r="C128" s="66" t="s">
        <v>269</v>
      </c>
      <c r="D128" s="106" t="s">
        <v>225</v>
      </c>
      <c r="E128" s="107" t="s">
        <v>167</v>
      </c>
      <c r="F128" s="107">
        <v>0.13100000000000001</v>
      </c>
      <c r="G128" s="56">
        <v>9040</v>
      </c>
      <c r="H128" s="56">
        <f t="shared" si="10"/>
        <v>1184.24</v>
      </c>
    </row>
    <row r="129" spans="1:8" x14ac:dyDescent="0.25">
      <c r="A129" s="66">
        <f t="shared" si="9"/>
        <v>113</v>
      </c>
      <c r="B129" s="7"/>
      <c r="C129" s="66" t="s">
        <v>270</v>
      </c>
      <c r="D129" s="106" t="s">
        <v>271</v>
      </c>
      <c r="E129" s="107" t="s">
        <v>272</v>
      </c>
      <c r="F129" s="107">
        <v>4.2</v>
      </c>
      <c r="G129" s="56">
        <v>277.5</v>
      </c>
      <c r="H129" s="56">
        <f t="shared" si="10"/>
        <v>1165.5</v>
      </c>
    </row>
    <row r="130" spans="1:8" ht="63.75" x14ac:dyDescent="0.25">
      <c r="A130" s="66">
        <f t="shared" si="9"/>
        <v>114</v>
      </c>
      <c r="B130" s="7"/>
      <c r="C130" s="66" t="s">
        <v>273</v>
      </c>
      <c r="D130" s="106" t="s">
        <v>274</v>
      </c>
      <c r="E130" s="107" t="s">
        <v>159</v>
      </c>
      <c r="F130" s="107">
        <v>11</v>
      </c>
      <c r="G130" s="56">
        <v>85.46</v>
      </c>
      <c r="H130" s="56">
        <f t="shared" si="10"/>
        <v>940.06</v>
      </c>
    </row>
    <row r="131" spans="1:8" ht="127.5" x14ac:dyDescent="0.25">
      <c r="A131" s="66">
        <f t="shared" si="9"/>
        <v>115</v>
      </c>
      <c r="B131" s="7"/>
      <c r="C131" s="66" t="s">
        <v>230</v>
      </c>
      <c r="D131" s="106" t="s">
        <v>231</v>
      </c>
      <c r="E131" s="107" t="s">
        <v>167</v>
      </c>
      <c r="F131" s="107">
        <v>0.157</v>
      </c>
      <c r="G131" s="56">
        <v>5000</v>
      </c>
      <c r="H131" s="56">
        <f t="shared" si="10"/>
        <v>785</v>
      </c>
    </row>
    <row r="132" spans="1:8" ht="38.25" x14ac:dyDescent="0.25">
      <c r="A132" s="66">
        <f t="shared" si="9"/>
        <v>116</v>
      </c>
      <c r="B132" s="7"/>
      <c r="C132" s="66" t="s">
        <v>275</v>
      </c>
      <c r="D132" s="106" t="s">
        <v>276</v>
      </c>
      <c r="E132" s="107" t="s">
        <v>159</v>
      </c>
      <c r="F132" s="107">
        <v>18</v>
      </c>
      <c r="G132" s="56">
        <v>38.79</v>
      </c>
      <c r="H132" s="56">
        <f t="shared" si="10"/>
        <v>698.22</v>
      </c>
    </row>
    <row r="133" spans="1:8" x14ac:dyDescent="0.25">
      <c r="A133" s="66">
        <f t="shared" si="9"/>
        <v>117</v>
      </c>
      <c r="B133" s="7"/>
      <c r="C133" s="66" t="s">
        <v>277</v>
      </c>
      <c r="D133" s="106" t="s">
        <v>278</v>
      </c>
      <c r="E133" s="107" t="s">
        <v>272</v>
      </c>
      <c r="F133" s="107">
        <v>8.4</v>
      </c>
      <c r="G133" s="56">
        <v>64.8</v>
      </c>
      <c r="H133" s="56">
        <f t="shared" si="10"/>
        <v>544.32000000000005</v>
      </c>
    </row>
    <row r="134" spans="1:8" ht="38.25" x14ac:dyDescent="0.25">
      <c r="A134" s="66">
        <f t="shared" si="9"/>
        <v>118</v>
      </c>
      <c r="B134" s="7"/>
      <c r="C134" s="66" t="s">
        <v>279</v>
      </c>
      <c r="D134" s="106" t="s">
        <v>280</v>
      </c>
      <c r="E134" s="107" t="s">
        <v>167</v>
      </c>
      <c r="F134" s="107">
        <v>1.9E-2</v>
      </c>
      <c r="G134" s="56">
        <v>22050</v>
      </c>
      <c r="H134" s="56">
        <f t="shared" si="10"/>
        <v>418.95</v>
      </c>
    </row>
    <row r="135" spans="1:8" ht="63.75" x14ac:dyDescent="0.25">
      <c r="A135" s="66">
        <f t="shared" si="9"/>
        <v>119</v>
      </c>
      <c r="B135" s="7"/>
      <c r="C135" s="66" t="s">
        <v>281</v>
      </c>
      <c r="D135" s="106" t="s">
        <v>282</v>
      </c>
      <c r="E135" s="107" t="s">
        <v>167</v>
      </c>
      <c r="F135" s="107">
        <v>2.6100000000000002E-2</v>
      </c>
      <c r="G135" s="56">
        <v>15620</v>
      </c>
      <c r="H135" s="56">
        <f t="shared" si="10"/>
        <v>407.68</v>
      </c>
    </row>
    <row r="136" spans="1:8" ht="382.5" x14ac:dyDescent="0.25">
      <c r="A136" s="66">
        <f t="shared" si="9"/>
        <v>120</v>
      </c>
      <c r="B136" s="7"/>
      <c r="C136" s="66" t="s">
        <v>283</v>
      </c>
      <c r="D136" s="106" t="s">
        <v>284</v>
      </c>
      <c r="E136" s="107" t="s">
        <v>167</v>
      </c>
      <c r="F136" s="107">
        <v>3.0200000000000001E-2</v>
      </c>
      <c r="G136" s="56">
        <v>11255</v>
      </c>
      <c r="H136" s="56">
        <f t="shared" si="10"/>
        <v>339.9</v>
      </c>
    </row>
    <row r="137" spans="1:8" ht="63.75" x14ac:dyDescent="0.25">
      <c r="A137" s="66">
        <f t="shared" si="9"/>
        <v>121</v>
      </c>
      <c r="B137" s="7"/>
      <c r="C137" s="66" t="s">
        <v>285</v>
      </c>
      <c r="D137" s="106" t="s">
        <v>286</v>
      </c>
      <c r="E137" s="107" t="s">
        <v>167</v>
      </c>
      <c r="F137" s="107">
        <v>2.75E-2</v>
      </c>
      <c r="G137" s="56">
        <v>10749</v>
      </c>
      <c r="H137" s="56">
        <f t="shared" si="10"/>
        <v>295.60000000000002</v>
      </c>
    </row>
    <row r="138" spans="1:8" x14ac:dyDescent="0.25">
      <c r="A138" s="66">
        <f t="shared" si="9"/>
        <v>122</v>
      </c>
      <c r="B138" s="7"/>
      <c r="C138" s="66" t="s">
        <v>287</v>
      </c>
      <c r="D138" s="106" t="s">
        <v>288</v>
      </c>
      <c r="E138" s="107" t="s">
        <v>159</v>
      </c>
      <c r="F138" s="107">
        <v>58</v>
      </c>
      <c r="G138" s="56">
        <v>5</v>
      </c>
      <c r="H138" s="56">
        <f t="shared" si="10"/>
        <v>290</v>
      </c>
    </row>
    <row r="139" spans="1:8" ht="165.75" x14ac:dyDescent="0.25">
      <c r="A139" s="66">
        <f t="shared" si="9"/>
        <v>123</v>
      </c>
      <c r="B139" s="7"/>
      <c r="C139" s="66" t="s">
        <v>289</v>
      </c>
      <c r="D139" s="106" t="s">
        <v>290</v>
      </c>
      <c r="E139" s="107" t="s">
        <v>167</v>
      </c>
      <c r="F139" s="107">
        <v>3.3E-3</v>
      </c>
      <c r="G139" s="56">
        <v>62000</v>
      </c>
      <c r="H139" s="56">
        <f t="shared" si="10"/>
        <v>204.6</v>
      </c>
    </row>
    <row r="140" spans="1:8" ht="140.25" x14ac:dyDescent="0.25">
      <c r="A140" s="66">
        <f t="shared" si="9"/>
        <v>124</v>
      </c>
      <c r="B140" s="7"/>
      <c r="C140" s="66" t="s">
        <v>291</v>
      </c>
      <c r="D140" s="106" t="s">
        <v>292</v>
      </c>
      <c r="E140" s="107" t="s">
        <v>167</v>
      </c>
      <c r="F140" s="107">
        <v>2.81E-2</v>
      </c>
      <c r="G140" s="56">
        <v>5763</v>
      </c>
      <c r="H140" s="56">
        <f t="shared" si="10"/>
        <v>161.94</v>
      </c>
    </row>
    <row r="141" spans="1:8" ht="153" x14ac:dyDescent="0.25">
      <c r="A141" s="66">
        <f t="shared" ref="A141:A174" si="11">A140+1</f>
        <v>125</v>
      </c>
      <c r="B141" s="7"/>
      <c r="C141" s="66" t="s">
        <v>293</v>
      </c>
      <c r="D141" s="106" t="s">
        <v>294</v>
      </c>
      <c r="E141" s="107" t="s">
        <v>164</v>
      </c>
      <c r="F141" s="107">
        <v>8.7999999999999995E-2</v>
      </c>
      <c r="G141" s="56">
        <v>1784</v>
      </c>
      <c r="H141" s="56">
        <f t="shared" si="10"/>
        <v>156.99</v>
      </c>
    </row>
    <row r="142" spans="1:8" ht="127.5" x14ac:dyDescent="0.25">
      <c r="A142" s="66">
        <f t="shared" si="11"/>
        <v>126</v>
      </c>
      <c r="B142" s="7"/>
      <c r="C142" s="66" t="s">
        <v>295</v>
      </c>
      <c r="D142" s="106" t="s">
        <v>296</v>
      </c>
      <c r="E142" s="107" t="s">
        <v>167</v>
      </c>
      <c r="F142" s="107">
        <v>1.01E-2</v>
      </c>
      <c r="G142" s="56">
        <v>15119</v>
      </c>
      <c r="H142" s="56">
        <f t="shared" si="10"/>
        <v>152.69999999999999</v>
      </c>
    </row>
    <row r="143" spans="1:8" ht="76.5" x14ac:dyDescent="0.25">
      <c r="A143" s="66">
        <f t="shared" si="11"/>
        <v>127</v>
      </c>
      <c r="B143" s="7"/>
      <c r="C143" s="66" t="s">
        <v>297</v>
      </c>
      <c r="D143" s="106" t="s">
        <v>298</v>
      </c>
      <c r="E143" s="107" t="s">
        <v>299</v>
      </c>
      <c r="F143" s="107">
        <v>1.768</v>
      </c>
      <c r="G143" s="56">
        <v>86</v>
      </c>
      <c r="H143" s="56">
        <f t="shared" si="10"/>
        <v>152.05000000000001</v>
      </c>
    </row>
    <row r="144" spans="1:8" ht="38.25" x14ac:dyDescent="0.25">
      <c r="A144" s="66">
        <f t="shared" si="11"/>
        <v>128</v>
      </c>
      <c r="B144" s="7"/>
      <c r="C144" s="66" t="s">
        <v>300</v>
      </c>
      <c r="D144" s="106" t="s">
        <v>301</v>
      </c>
      <c r="E144" s="107" t="s">
        <v>167</v>
      </c>
      <c r="F144" s="107">
        <v>1.0200000000000001E-2</v>
      </c>
      <c r="G144" s="56">
        <v>11978</v>
      </c>
      <c r="H144" s="56">
        <f t="shared" si="10"/>
        <v>122.18</v>
      </c>
    </row>
    <row r="145" spans="1:8" ht="51" x14ac:dyDescent="0.25">
      <c r="A145" s="66">
        <f t="shared" si="11"/>
        <v>129</v>
      </c>
      <c r="B145" s="7"/>
      <c r="C145" s="66" t="s">
        <v>302</v>
      </c>
      <c r="D145" s="106" t="s">
        <v>303</v>
      </c>
      <c r="E145" s="107" t="s">
        <v>167</v>
      </c>
      <c r="F145" s="107">
        <v>1.2200000000000001E-2</v>
      </c>
      <c r="G145" s="56">
        <v>9420</v>
      </c>
      <c r="H145" s="56">
        <f t="shared" si="10"/>
        <v>114.92</v>
      </c>
    </row>
    <row r="146" spans="1:8" ht="76.5" x14ac:dyDescent="0.25">
      <c r="A146" s="66">
        <f t="shared" si="11"/>
        <v>130</v>
      </c>
      <c r="B146" s="7"/>
      <c r="C146" s="66" t="s">
        <v>304</v>
      </c>
      <c r="D146" s="106" t="s">
        <v>305</v>
      </c>
      <c r="E146" s="107" t="s">
        <v>167</v>
      </c>
      <c r="F146" s="107">
        <v>9.1999999999999998E-3</v>
      </c>
      <c r="G146" s="56">
        <v>12430</v>
      </c>
      <c r="H146" s="56">
        <f t="shared" si="10"/>
        <v>114.36</v>
      </c>
    </row>
    <row r="147" spans="1:8" ht="63.75" x14ac:dyDescent="0.25">
      <c r="A147" s="66">
        <f t="shared" si="11"/>
        <v>131</v>
      </c>
      <c r="B147" s="7"/>
      <c r="C147" s="66" t="s">
        <v>306</v>
      </c>
      <c r="D147" s="106" t="s">
        <v>307</v>
      </c>
      <c r="E147" s="107" t="s">
        <v>198</v>
      </c>
      <c r="F147" s="107">
        <v>13.812900000000001</v>
      </c>
      <c r="G147" s="56">
        <v>6.09</v>
      </c>
      <c r="H147" s="56">
        <f t="shared" si="10"/>
        <v>84.12</v>
      </c>
    </row>
    <row r="148" spans="1:8" ht="63.75" x14ac:dyDescent="0.25">
      <c r="A148" s="66">
        <f t="shared" si="11"/>
        <v>132</v>
      </c>
      <c r="B148" s="7"/>
      <c r="C148" s="66" t="s">
        <v>308</v>
      </c>
      <c r="D148" s="106" t="s">
        <v>309</v>
      </c>
      <c r="E148" s="107" t="s">
        <v>159</v>
      </c>
      <c r="F148" s="107">
        <v>21</v>
      </c>
      <c r="G148" s="56">
        <v>3.9</v>
      </c>
      <c r="H148" s="56">
        <f t="shared" si="10"/>
        <v>81.900000000000006</v>
      </c>
    </row>
    <row r="149" spans="1:8" x14ac:dyDescent="0.25">
      <c r="A149" s="66">
        <f t="shared" si="11"/>
        <v>133</v>
      </c>
      <c r="B149" s="7"/>
      <c r="C149" s="66" t="s">
        <v>310</v>
      </c>
      <c r="D149" s="106" t="s">
        <v>311</v>
      </c>
      <c r="E149" s="107" t="s">
        <v>312</v>
      </c>
      <c r="F149" s="107">
        <v>7.5</v>
      </c>
      <c r="G149" s="56">
        <v>10.199999999999999</v>
      </c>
      <c r="H149" s="56">
        <f t="shared" si="10"/>
        <v>76.5</v>
      </c>
    </row>
    <row r="150" spans="1:8" ht="76.5" x14ac:dyDescent="0.25">
      <c r="A150" s="66">
        <f t="shared" si="11"/>
        <v>134</v>
      </c>
      <c r="B150" s="7"/>
      <c r="C150" s="66" t="s">
        <v>313</v>
      </c>
      <c r="D150" s="106" t="s">
        <v>314</v>
      </c>
      <c r="E150" s="107" t="s">
        <v>164</v>
      </c>
      <c r="F150" s="107">
        <v>12.0383</v>
      </c>
      <c r="G150" s="56">
        <v>6.22</v>
      </c>
      <c r="H150" s="56">
        <f t="shared" si="10"/>
        <v>74.88</v>
      </c>
    </row>
    <row r="151" spans="1:8" ht="63.75" x14ac:dyDescent="0.25">
      <c r="A151" s="66">
        <f t="shared" si="11"/>
        <v>135</v>
      </c>
      <c r="B151" s="7"/>
      <c r="C151" s="66" t="s">
        <v>315</v>
      </c>
      <c r="D151" s="106" t="s">
        <v>316</v>
      </c>
      <c r="E151" s="107" t="s">
        <v>167</v>
      </c>
      <c r="F151" s="107">
        <v>1.3299999999999999E-2</v>
      </c>
      <c r="G151" s="56">
        <v>4920</v>
      </c>
      <c r="H151" s="56">
        <f t="shared" si="10"/>
        <v>65.44</v>
      </c>
    </row>
    <row r="152" spans="1:8" x14ac:dyDescent="0.25">
      <c r="A152" s="66">
        <f t="shared" si="11"/>
        <v>136</v>
      </c>
      <c r="B152" s="7"/>
      <c r="C152" s="66" t="s">
        <v>317</v>
      </c>
      <c r="D152" s="106" t="s">
        <v>318</v>
      </c>
      <c r="E152" s="107" t="s">
        <v>299</v>
      </c>
      <c r="F152" s="107">
        <v>0.03</v>
      </c>
      <c r="G152" s="56">
        <v>1776</v>
      </c>
      <c r="H152" s="56">
        <f t="shared" si="10"/>
        <v>53.28</v>
      </c>
    </row>
    <row r="153" spans="1:8" ht="280.5" x14ac:dyDescent="0.25">
      <c r="A153" s="66">
        <f t="shared" si="11"/>
        <v>137</v>
      </c>
      <c r="B153" s="7"/>
      <c r="C153" s="66" t="s">
        <v>211</v>
      </c>
      <c r="D153" s="106" t="s">
        <v>212</v>
      </c>
      <c r="E153" s="107" t="s">
        <v>167</v>
      </c>
      <c r="F153" s="107">
        <v>6.8999999999999999E-3</v>
      </c>
      <c r="G153" s="56">
        <v>7712</v>
      </c>
      <c r="H153" s="56">
        <f t="shared" si="10"/>
        <v>53.21</v>
      </c>
    </row>
    <row r="154" spans="1:8" ht="89.25" x14ac:dyDescent="0.25">
      <c r="A154" s="66">
        <f t="shared" si="11"/>
        <v>138</v>
      </c>
      <c r="B154" s="7"/>
      <c r="C154" s="66" t="s">
        <v>319</v>
      </c>
      <c r="D154" s="106" t="s">
        <v>320</v>
      </c>
      <c r="E154" s="107" t="s">
        <v>167</v>
      </c>
      <c r="F154" s="107">
        <v>4.4000000000000003E-3</v>
      </c>
      <c r="G154" s="56">
        <v>8475</v>
      </c>
      <c r="H154" s="56">
        <f t="shared" si="10"/>
        <v>37.29</v>
      </c>
    </row>
    <row r="155" spans="1:8" ht="38.25" x14ac:dyDescent="0.25">
      <c r="A155" s="66">
        <f t="shared" si="11"/>
        <v>139</v>
      </c>
      <c r="B155" s="7"/>
      <c r="C155" s="66" t="s">
        <v>321</v>
      </c>
      <c r="D155" s="106" t="s">
        <v>322</v>
      </c>
      <c r="E155" s="107" t="s">
        <v>167</v>
      </c>
      <c r="F155" s="107">
        <v>4.0000000000000001E-3</v>
      </c>
      <c r="G155" s="56">
        <v>7640</v>
      </c>
      <c r="H155" s="56">
        <f t="shared" si="10"/>
        <v>30.56</v>
      </c>
    </row>
    <row r="156" spans="1:8" ht="38.25" x14ac:dyDescent="0.25">
      <c r="A156" s="66">
        <f t="shared" si="11"/>
        <v>140</v>
      </c>
      <c r="B156" s="7"/>
      <c r="C156" s="66" t="s">
        <v>323</v>
      </c>
      <c r="D156" s="106" t="s">
        <v>324</v>
      </c>
      <c r="E156" s="107" t="s">
        <v>159</v>
      </c>
      <c r="F156" s="107">
        <v>42</v>
      </c>
      <c r="G156" s="56">
        <v>0.71</v>
      </c>
      <c r="H156" s="56">
        <f t="shared" si="10"/>
        <v>29.82</v>
      </c>
    </row>
    <row r="157" spans="1:8" ht="63.75" x14ac:dyDescent="0.25">
      <c r="A157" s="66">
        <f t="shared" si="11"/>
        <v>141</v>
      </c>
      <c r="B157" s="7"/>
      <c r="C157" s="66" t="s">
        <v>325</v>
      </c>
      <c r="D157" s="106" t="s">
        <v>326</v>
      </c>
      <c r="E157" s="107" t="s">
        <v>167</v>
      </c>
      <c r="F157" s="107">
        <v>6.9999999999999999E-4</v>
      </c>
      <c r="G157" s="56">
        <v>37900</v>
      </c>
      <c r="H157" s="56">
        <f t="shared" ref="H157:H188" si="12">ROUND(F157*G157,2)</f>
        <v>26.53</v>
      </c>
    </row>
    <row r="158" spans="1:8" ht="51" x14ac:dyDescent="0.25">
      <c r="A158" s="66">
        <f t="shared" si="11"/>
        <v>142</v>
      </c>
      <c r="B158" s="7"/>
      <c r="C158" s="66" t="s">
        <v>327</v>
      </c>
      <c r="D158" s="106" t="s">
        <v>328</v>
      </c>
      <c r="E158" s="107" t="s">
        <v>299</v>
      </c>
      <c r="F158" s="107">
        <v>0.12559999999999999</v>
      </c>
      <c r="G158" s="56">
        <v>110</v>
      </c>
      <c r="H158" s="56">
        <f t="shared" si="12"/>
        <v>13.82</v>
      </c>
    </row>
    <row r="159" spans="1:8" ht="140.25" x14ac:dyDescent="0.25">
      <c r="A159" s="66">
        <f t="shared" si="11"/>
        <v>143</v>
      </c>
      <c r="B159" s="7"/>
      <c r="C159" s="66" t="s">
        <v>329</v>
      </c>
      <c r="D159" s="106" t="s">
        <v>330</v>
      </c>
      <c r="E159" s="107" t="s">
        <v>167</v>
      </c>
      <c r="F159" s="107">
        <v>2.8299999999999999E-2</v>
      </c>
      <c r="G159" s="56">
        <v>480</v>
      </c>
      <c r="H159" s="56">
        <f t="shared" si="12"/>
        <v>13.58</v>
      </c>
    </row>
    <row r="160" spans="1:8" ht="165.75" x14ac:dyDescent="0.25">
      <c r="A160" s="66">
        <f t="shared" si="11"/>
        <v>144</v>
      </c>
      <c r="B160" s="7"/>
      <c r="C160" s="66" t="s">
        <v>331</v>
      </c>
      <c r="D160" s="106" t="s">
        <v>332</v>
      </c>
      <c r="E160" s="107" t="s">
        <v>164</v>
      </c>
      <c r="F160" s="107">
        <v>7.1000000000000004E-3</v>
      </c>
      <c r="G160" s="56">
        <v>1700</v>
      </c>
      <c r="H160" s="56">
        <f t="shared" si="12"/>
        <v>12.07</v>
      </c>
    </row>
    <row r="161" spans="1:11" ht="38.25" x14ac:dyDescent="0.25">
      <c r="A161" s="66">
        <f t="shared" si="11"/>
        <v>145</v>
      </c>
      <c r="B161" s="7"/>
      <c r="C161" s="66" t="s">
        <v>333</v>
      </c>
      <c r="D161" s="106" t="s">
        <v>334</v>
      </c>
      <c r="E161" s="107" t="s">
        <v>159</v>
      </c>
      <c r="F161" s="107">
        <v>42</v>
      </c>
      <c r="G161" s="56">
        <v>0.27</v>
      </c>
      <c r="H161" s="56">
        <f t="shared" si="12"/>
        <v>11.34</v>
      </c>
    </row>
    <row r="162" spans="1:11" ht="102" x14ac:dyDescent="0.25">
      <c r="A162" s="66">
        <f t="shared" si="11"/>
        <v>146</v>
      </c>
      <c r="B162" s="7"/>
      <c r="C162" s="66" t="s">
        <v>335</v>
      </c>
      <c r="D162" s="106" t="s">
        <v>336</v>
      </c>
      <c r="E162" s="107" t="s">
        <v>198</v>
      </c>
      <c r="F162" s="107">
        <v>0.1404</v>
      </c>
      <c r="G162" s="56">
        <v>68.05</v>
      </c>
      <c r="H162" s="56">
        <f t="shared" si="12"/>
        <v>9.5500000000000007</v>
      </c>
    </row>
    <row r="163" spans="1:11" ht="255" x14ac:dyDescent="0.25">
      <c r="A163" s="66">
        <f t="shared" si="11"/>
        <v>147</v>
      </c>
      <c r="B163" s="7"/>
      <c r="C163" s="66" t="s">
        <v>337</v>
      </c>
      <c r="D163" s="106" t="s">
        <v>338</v>
      </c>
      <c r="E163" s="107" t="s">
        <v>339</v>
      </c>
      <c r="F163" s="107">
        <v>0.12820000000000001</v>
      </c>
      <c r="G163" s="56">
        <v>50.23</v>
      </c>
      <c r="H163" s="56">
        <f t="shared" si="12"/>
        <v>6.44</v>
      </c>
    </row>
    <row r="164" spans="1:11" ht="76.5" x14ac:dyDescent="0.25">
      <c r="A164" s="66">
        <f t="shared" si="11"/>
        <v>148</v>
      </c>
      <c r="B164" s="7"/>
      <c r="C164" s="66" t="s">
        <v>340</v>
      </c>
      <c r="D164" s="106" t="s">
        <v>341</v>
      </c>
      <c r="E164" s="107" t="s">
        <v>167</v>
      </c>
      <c r="F164" s="107">
        <v>2.0000000000000001E-4</v>
      </c>
      <c r="G164" s="56">
        <v>23500</v>
      </c>
      <c r="H164" s="56">
        <f t="shared" si="12"/>
        <v>4.7</v>
      </c>
    </row>
    <row r="165" spans="1:11" ht="76.5" x14ac:dyDescent="0.25">
      <c r="A165" s="66">
        <f t="shared" si="11"/>
        <v>149</v>
      </c>
      <c r="B165" s="7"/>
      <c r="C165" s="66" t="s">
        <v>342</v>
      </c>
      <c r="D165" s="106" t="s">
        <v>343</v>
      </c>
      <c r="E165" s="107" t="s">
        <v>159</v>
      </c>
      <c r="F165" s="107">
        <v>176.8</v>
      </c>
      <c r="G165" s="56">
        <v>0.02</v>
      </c>
      <c r="H165" s="56">
        <f t="shared" si="12"/>
        <v>3.54</v>
      </c>
    </row>
    <row r="166" spans="1:11" ht="38.25" x14ac:dyDescent="0.25">
      <c r="A166" s="66">
        <f t="shared" si="11"/>
        <v>150</v>
      </c>
      <c r="B166" s="7"/>
      <c r="C166" s="66" t="s">
        <v>344</v>
      </c>
      <c r="D166" s="106" t="s">
        <v>345</v>
      </c>
      <c r="E166" s="107" t="s">
        <v>167</v>
      </c>
      <c r="F166" s="107">
        <v>4.0000000000000002E-4</v>
      </c>
      <c r="G166" s="56">
        <v>7826.9</v>
      </c>
      <c r="H166" s="56">
        <f t="shared" si="12"/>
        <v>3.13</v>
      </c>
    </row>
    <row r="167" spans="1:11" ht="25.5" x14ac:dyDescent="0.25">
      <c r="A167" s="66">
        <f t="shared" si="11"/>
        <v>151</v>
      </c>
      <c r="B167" s="7"/>
      <c r="C167" s="66" t="s">
        <v>346</v>
      </c>
      <c r="D167" s="106" t="s">
        <v>347</v>
      </c>
      <c r="E167" s="107" t="s">
        <v>348</v>
      </c>
      <c r="F167" s="107">
        <v>1.32E-2</v>
      </c>
      <c r="G167" s="56">
        <v>120</v>
      </c>
      <c r="H167" s="56">
        <f t="shared" si="12"/>
        <v>1.58</v>
      </c>
    </row>
    <row r="168" spans="1:11" ht="38.25" x14ac:dyDescent="0.25">
      <c r="A168" s="66">
        <f t="shared" si="11"/>
        <v>152</v>
      </c>
      <c r="B168" s="7"/>
      <c r="C168" s="66" t="s">
        <v>349</v>
      </c>
      <c r="D168" s="106" t="s">
        <v>227</v>
      </c>
      <c r="E168" s="107" t="s">
        <v>350</v>
      </c>
      <c r="F168" s="107">
        <v>0.4</v>
      </c>
      <c r="G168" s="56">
        <v>3.75</v>
      </c>
      <c r="H168" s="56">
        <f t="shared" si="12"/>
        <v>1.5</v>
      </c>
    </row>
    <row r="169" spans="1:11" ht="102" x14ac:dyDescent="0.25">
      <c r="A169" s="66">
        <f t="shared" si="11"/>
        <v>153</v>
      </c>
      <c r="B169" s="7"/>
      <c r="C169" s="66" t="s">
        <v>351</v>
      </c>
      <c r="D169" s="106" t="s">
        <v>352</v>
      </c>
      <c r="E169" s="107" t="s">
        <v>164</v>
      </c>
      <c r="F169" s="107">
        <v>2.3599999999999999E-2</v>
      </c>
      <c r="G169" s="56">
        <v>59.99</v>
      </c>
      <c r="H169" s="56">
        <f t="shared" si="12"/>
        <v>1.42</v>
      </c>
    </row>
    <row r="170" spans="1:11" ht="38.25" x14ac:dyDescent="0.25">
      <c r="A170" s="66">
        <f t="shared" si="11"/>
        <v>154</v>
      </c>
      <c r="B170" s="7"/>
      <c r="C170" s="66" t="s">
        <v>353</v>
      </c>
      <c r="D170" s="106" t="s">
        <v>354</v>
      </c>
      <c r="E170" s="107" t="s">
        <v>198</v>
      </c>
      <c r="F170" s="107">
        <v>0.11</v>
      </c>
      <c r="G170" s="56">
        <v>11.5</v>
      </c>
      <c r="H170" s="56">
        <f t="shared" si="12"/>
        <v>1.27</v>
      </c>
    </row>
    <row r="171" spans="1:11" ht="76.5" x14ac:dyDescent="0.25">
      <c r="A171" s="66">
        <f t="shared" si="11"/>
        <v>155</v>
      </c>
      <c r="B171" s="7"/>
      <c r="C171" s="66" t="s">
        <v>355</v>
      </c>
      <c r="D171" s="106" t="s">
        <v>356</v>
      </c>
      <c r="E171" s="107" t="s">
        <v>167</v>
      </c>
      <c r="F171" s="107">
        <v>1E-4</v>
      </c>
      <c r="G171" s="56">
        <v>12430</v>
      </c>
      <c r="H171" s="56">
        <f t="shared" si="12"/>
        <v>1.24</v>
      </c>
    </row>
    <row r="172" spans="1:11" ht="102" x14ac:dyDescent="0.25">
      <c r="A172" s="66">
        <f t="shared" si="11"/>
        <v>156</v>
      </c>
      <c r="B172" s="7"/>
      <c r="C172" s="66" t="s">
        <v>357</v>
      </c>
      <c r="D172" s="106" t="s">
        <v>358</v>
      </c>
      <c r="E172" s="107" t="s">
        <v>167</v>
      </c>
      <c r="F172" s="107">
        <v>2.0000000000000001E-4</v>
      </c>
      <c r="G172" s="56">
        <v>4455.2</v>
      </c>
      <c r="H172" s="56">
        <f t="shared" si="12"/>
        <v>0.89</v>
      </c>
    </row>
    <row r="173" spans="1:11" ht="153" x14ac:dyDescent="0.25">
      <c r="A173" s="66">
        <f t="shared" si="11"/>
        <v>157</v>
      </c>
      <c r="B173" s="7"/>
      <c r="C173" s="66" t="s">
        <v>359</v>
      </c>
      <c r="D173" s="106" t="s">
        <v>360</v>
      </c>
      <c r="E173" s="107" t="s">
        <v>164</v>
      </c>
      <c r="F173" s="107">
        <v>2.2000000000000001E-3</v>
      </c>
      <c r="G173" s="56">
        <v>108.4</v>
      </c>
      <c r="H173" s="56">
        <f t="shared" si="12"/>
        <v>0.24</v>
      </c>
    </row>
    <row r="174" spans="1:11" x14ac:dyDescent="0.25">
      <c r="A174" s="66">
        <f t="shared" si="11"/>
        <v>158</v>
      </c>
      <c r="B174" s="7"/>
      <c r="C174" s="66" t="s">
        <v>361</v>
      </c>
      <c r="D174" s="106" t="s">
        <v>362</v>
      </c>
      <c r="E174" s="107" t="s">
        <v>164</v>
      </c>
      <c r="F174" s="107">
        <v>6.0000000000000001E-3</v>
      </c>
      <c r="G174" s="56">
        <v>2.44</v>
      </c>
      <c r="H174" s="56">
        <f t="shared" si="12"/>
        <v>0.01</v>
      </c>
    </row>
    <row r="175" spans="1:11" x14ac:dyDescent="0.25">
      <c r="K175" s="44"/>
    </row>
    <row r="176" spans="1:11" ht="242.25" x14ac:dyDescent="0.25">
      <c r="B176" s="45" t="s">
        <v>363</v>
      </c>
      <c r="C176" s="100" t="s">
        <v>364</v>
      </c>
    </row>
    <row r="180" spans="2:3" x14ac:dyDescent="0.25">
      <c r="B180" s="78" t="s">
        <v>365</v>
      </c>
      <c r="C180" s="79"/>
    </row>
    <row r="181" spans="2:3" x14ac:dyDescent="0.25">
      <c r="B181" s="71" t="s">
        <v>34</v>
      </c>
      <c r="C181" s="79"/>
    </row>
    <row r="182" spans="2:3" x14ac:dyDescent="0.25">
      <c r="B182" s="78"/>
      <c r="C182" s="79"/>
    </row>
    <row r="183" spans="2:3" x14ac:dyDescent="0.25">
      <c r="B183" s="78" t="s">
        <v>36</v>
      </c>
      <c r="C183" s="79"/>
    </row>
    <row r="184" spans="2:3" x14ac:dyDescent="0.25">
      <c r="B184" s="71" t="s">
        <v>37</v>
      </c>
      <c r="C184" s="7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B1:L50"/>
  <sheetViews>
    <sheetView workbookViewId="0"/>
  </sheetViews>
  <sheetFormatPr defaultRowHeight="15" x14ac:dyDescent="0.25"/>
  <sheetData>
    <row r="1" spans="2:5" x14ac:dyDescent="0.25">
      <c r="B1" s="78"/>
      <c r="C1" s="78"/>
      <c r="D1" s="78"/>
      <c r="E1" s="78"/>
    </row>
    <row r="2" spans="2:5" x14ac:dyDescent="0.25">
      <c r="B2" s="78"/>
      <c r="C2" s="78"/>
      <c r="D2" s="78"/>
      <c r="E2" s="116" t="s">
        <v>366</v>
      </c>
    </row>
    <row r="3" spans="2:5" x14ac:dyDescent="0.25">
      <c r="B3" s="78"/>
      <c r="C3" s="78"/>
      <c r="D3" s="78"/>
      <c r="E3" s="78"/>
    </row>
    <row r="4" spans="2:5" x14ac:dyDescent="0.25">
      <c r="B4" s="78"/>
      <c r="C4" s="78"/>
      <c r="D4" s="78"/>
      <c r="E4" s="78"/>
    </row>
    <row r="5" spans="2:5" x14ac:dyDescent="0.25">
      <c r="B5" s="103" t="s">
        <v>367</v>
      </c>
    </row>
    <row r="6" spans="2:5" x14ac:dyDescent="0.25">
      <c r="B6" s="4"/>
      <c r="C6" s="78"/>
      <c r="D6" s="78"/>
      <c r="E6" s="78"/>
    </row>
    <row r="7" spans="2:5" x14ac:dyDescent="0.25">
      <c r="B7" s="104" t="str">
        <f>'Прил.1 Сравнит табл'!B7</f>
        <v>Наименование разрабатываемого показателя УНЦ - Ячейка выключателя НУ 110кВ, ном.ток 2500А, ном.ток отключения 40кА</v>
      </c>
    </row>
    <row r="8" spans="2:5" x14ac:dyDescent="0.25">
      <c r="B8" s="105" t="str">
        <f>'Прил.1 Сравнит табл'!B9</f>
        <v>Единица измерения  — 1 ячейка</v>
      </c>
    </row>
    <row r="9" spans="2:5" x14ac:dyDescent="0.25">
      <c r="B9" s="4"/>
      <c r="C9" s="78"/>
      <c r="D9" s="78"/>
      <c r="E9" s="78"/>
    </row>
    <row r="10" spans="2:5" ht="89.25" x14ac:dyDescent="0.25">
      <c r="B10" s="107" t="s">
        <v>368</v>
      </c>
      <c r="C10" s="107" t="s">
        <v>369</v>
      </c>
      <c r="D10" s="107" t="s">
        <v>370</v>
      </c>
      <c r="E10" s="107" t="s">
        <v>371</v>
      </c>
    </row>
    <row r="11" spans="2:5" ht="38.25" x14ac:dyDescent="0.25">
      <c r="B11" s="64" t="s">
        <v>372</v>
      </c>
      <c r="C11" s="73">
        <f>'Прил.5 Расчет СМР и ОБ'!J14</f>
        <v>7097830.3700000001</v>
      </c>
      <c r="D11" s="28">
        <f t="shared" ref="D11:D18" si="0">C11/$C$24</f>
        <v>9.1269989263554799E-2</v>
      </c>
      <c r="E11" s="28">
        <f t="shared" ref="E11:E18" si="1">C11/$C$40</f>
        <v>2.6988366912244755E-2</v>
      </c>
    </row>
    <row r="12" spans="2:5" ht="63.75" x14ac:dyDescent="0.25">
      <c r="B12" s="64" t="s">
        <v>373</v>
      </c>
      <c r="C12" s="73">
        <f>'Прил.5 Расчет СМР и ОБ'!J28</f>
        <v>7258762.6900000004</v>
      </c>
      <c r="D12" s="28">
        <f t="shared" si="0"/>
        <v>9.3339395033047556E-2</v>
      </c>
      <c r="E12" s="28">
        <f t="shared" si="1"/>
        <v>2.7600286368443142E-2</v>
      </c>
    </row>
    <row r="13" spans="2:5" ht="51" x14ac:dyDescent="0.25">
      <c r="B13" s="64" t="s">
        <v>374</v>
      </c>
      <c r="C13" s="73">
        <f>'Прил.5 Расчет СМР и ОБ'!J58</f>
        <v>1155821.5899999996</v>
      </c>
      <c r="D13" s="28">
        <f t="shared" si="0"/>
        <v>1.4862545117415195E-2</v>
      </c>
      <c r="E13" s="28">
        <f t="shared" si="1"/>
        <v>4.3948270851694241E-3</v>
      </c>
    </row>
    <row r="14" spans="2:5" ht="51" x14ac:dyDescent="0.25">
      <c r="B14" s="64" t="s">
        <v>375</v>
      </c>
      <c r="C14" s="73">
        <f>C13+C12</f>
        <v>8414584.2799999993</v>
      </c>
      <c r="D14" s="28">
        <f t="shared" si="0"/>
        <v>0.10820194015046275</v>
      </c>
      <c r="E14" s="28">
        <f t="shared" si="1"/>
        <v>3.1995113453612563E-2</v>
      </c>
    </row>
    <row r="15" spans="2:5" ht="63.75" x14ac:dyDescent="0.25">
      <c r="B15" s="64" t="s">
        <v>376</v>
      </c>
      <c r="C15" s="73">
        <f>'Прил.5 Расчет СМР и ОБ'!J16</f>
        <v>15291.19</v>
      </c>
      <c r="D15" s="28">
        <f t="shared" si="0"/>
        <v>1.9662723316491099E-4</v>
      </c>
      <c r="E15" s="28">
        <f t="shared" si="1"/>
        <v>5.8142308949663995E-5</v>
      </c>
    </row>
    <row r="16" spans="2:5" ht="51" x14ac:dyDescent="0.25">
      <c r="B16" s="64" t="s">
        <v>377</v>
      </c>
      <c r="C16" s="73">
        <f>'Прил.5 Расчет СМР и ОБ'!J84</f>
        <v>37566771.149999999</v>
      </c>
      <c r="D16" s="28">
        <f t="shared" si="0"/>
        <v>0.48306575682886033</v>
      </c>
      <c r="E16" s="28">
        <f t="shared" si="1"/>
        <v>0.14284165028651297</v>
      </c>
    </row>
    <row r="17" spans="2:7" ht="38.25" x14ac:dyDescent="0.25">
      <c r="B17" s="64" t="s">
        <v>378</v>
      </c>
      <c r="C17" s="73">
        <f>'Прил.5 Расчет СМР и ОБ'!J176</f>
        <v>6122973.5800000001</v>
      </c>
      <c r="D17" s="28">
        <f t="shared" si="0"/>
        <v>7.8734444721257776E-2</v>
      </c>
      <c r="E17" s="28">
        <f t="shared" si="1"/>
        <v>2.3281629590567524E-2</v>
      </c>
      <c r="G17" s="5"/>
    </row>
    <row r="18" spans="2:7" ht="38.25" x14ac:dyDescent="0.25">
      <c r="B18" s="64" t="s">
        <v>379</v>
      </c>
      <c r="C18" s="73">
        <f>C17+C16</f>
        <v>43689744.729999997</v>
      </c>
      <c r="D18" s="28">
        <f t="shared" si="0"/>
        <v>0.56180020155011812</v>
      </c>
      <c r="E18" s="28">
        <f t="shared" si="1"/>
        <v>0.16612327987708048</v>
      </c>
    </row>
    <row r="19" spans="2:7" x14ac:dyDescent="0.25">
      <c r="B19" s="64" t="s">
        <v>380</v>
      </c>
      <c r="C19" s="73">
        <f>C18+C14+C11</f>
        <v>59202159.379999995</v>
      </c>
      <c r="D19" s="28"/>
      <c r="E19" s="64"/>
    </row>
    <row r="20" spans="2:7" ht="38.25" x14ac:dyDescent="0.25">
      <c r="B20" s="64" t="s">
        <v>381</v>
      </c>
      <c r="C20" s="73">
        <f>ROUND(C21*(C11+C15),2)</f>
        <v>7041990.3399999999</v>
      </c>
      <c r="D20" s="28">
        <f>C20/$C$24</f>
        <v>9.0551950275173529E-2</v>
      </c>
      <c r="E20" s="28">
        <f>C20/$C$40</f>
        <v>2.6776044112252179E-2</v>
      </c>
    </row>
    <row r="21" spans="2:7" ht="38.25" x14ac:dyDescent="0.25">
      <c r="B21" s="64" t="s">
        <v>382</v>
      </c>
      <c r="C21" s="29">
        <f>'Прил.5 Расчет СМР и ОБ'!E180</f>
        <v>0.99</v>
      </c>
      <c r="D21" s="28"/>
      <c r="E21" s="64"/>
    </row>
    <row r="22" spans="2:7" ht="51" x14ac:dyDescent="0.25">
      <c r="B22" s="64" t="s">
        <v>383</v>
      </c>
      <c r="C22" s="73">
        <f>ROUND(C23*(C11+C15),2)</f>
        <v>11523256.93</v>
      </c>
      <c r="D22" s="28">
        <f>C22/$C$24</f>
        <v>0.14817591876069072</v>
      </c>
      <c r="E22" s="28">
        <f>C22/$C$40</f>
        <v>4.3815344948981511E-2</v>
      </c>
    </row>
    <row r="23" spans="2:7" ht="51" x14ac:dyDescent="0.25">
      <c r="B23" s="64" t="s">
        <v>384</v>
      </c>
      <c r="C23" s="29">
        <f>'Прил.5 Расчет СМР и ОБ'!E179</f>
        <v>1.62</v>
      </c>
      <c r="D23" s="28"/>
      <c r="E23" s="64"/>
    </row>
    <row r="24" spans="2:7" ht="38.25" x14ac:dyDescent="0.25">
      <c r="B24" s="64" t="s">
        <v>385</v>
      </c>
      <c r="C24" s="73">
        <f>C19+C20+C22</f>
        <v>77767406.650000006</v>
      </c>
      <c r="D24" s="28">
        <f>C24/$C$24</f>
        <v>1</v>
      </c>
      <c r="E24" s="28">
        <f>C24/$C$40</f>
        <v>0.29569814930417154</v>
      </c>
    </row>
    <row r="25" spans="2:7" ht="89.25" x14ac:dyDescent="0.25">
      <c r="B25" s="64" t="s">
        <v>386</v>
      </c>
      <c r="C25" s="73">
        <f>'Прил.5 Расчет СМР и ОБ'!J73</f>
        <v>155638958.16</v>
      </c>
      <c r="D25" s="28"/>
      <c r="E25" s="28">
        <f>C25/$C$40</f>
        <v>0.59179229281321777</v>
      </c>
    </row>
    <row r="26" spans="2:7" ht="76.5" x14ac:dyDescent="0.25">
      <c r="B26" s="64" t="s">
        <v>387</v>
      </c>
      <c r="C26" s="73">
        <f>C25</f>
        <v>155638958.16</v>
      </c>
      <c r="D26" s="28"/>
      <c r="E26" s="28">
        <f>C26/$C$40</f>
        <v>0.59179229281321777</v>
      </c>
    </row>
    <row r="27" spans="2:7" ht="63.75" x14ac:dyDescent="0.25">
      <c r="B27" s="64" t="s">
        <v>388</v>
      </c>
      <c r="C27" s="72">
        <f>C24+C25</f>
        <v>233406364.81</v>
      </c>
      <c r="D27" s="28"/>
      <c r="E27" s="28">
        <f>C27/$C$40</f>
        <v>0.88749044211738926</v>
      </c>
    </row>
    <row r="28" spans="2:7" ht="102" x14ac:dyDescent="0.25">
      <c r="B28" s="64" t="s">
        <v>389</v>
      </c>
      <c r="C28" s="64"/>
      <c r="D28" s="64"/>
      <c r="E28" s="64"/>
    </row>
    <row r="29" spans="2:7" ht="76.5" x14ac:dyDescent="0.25">
      <c r="B29" s="64" t="s">
        <v>390</v>
      </c>
      <c r="C29" s="72">
        <f>ROUND(C24*3.9%,2)</f>
        <v>3032928.86</v>
      </c>
      <c r="D29" s="64"/>
      <c r="E29" s="28">
        <f t="shared" ref="E29:E38" si="2">C29/$C$40</f>
        <v>1.153222782533421E-2</v>
      </c>
    </row>
    <row r="30" spans="2:7" ht="165.75" x14ac:dyDescent="0.25">
      <c r="B30" s="64" t="s">
        <v>391</v>
      </c>
      <c r="C30" s="72">
        <f>ROUND((C24+C29)*2.1%,2)</f>
        <v>1696807.05</v>
      </c>
      <c r="D30" s="64"/>
      <c r="E30" s="28">
        <f t="shared" si="2"/>
        <v>6.4518379360316604E-3</v>
      </c>
    </row>
    <row r="31" spans="2:7" ht="38.25" x14ac:dyDescent="0.25">
      <c r="B31" s="64" t="s">
        <v>392</v>
      </c>
      <c r="C31" s="72">
        <v>11361499.539999999</v>
      </c>
      <c r="D31" s="64"/>
      <c r="E31" s="28">
        <f t="shared" si="2"/>
        <v>4.3200288295819046E-2</v>
      </c>
    </row>
    <row r="32" spans="2:7" ht="114.75" x14ac:dyDescent="0.25">
      <c r="B32" s="64" t="s">
        <v>393</v>
      </c>
      <c r="C32" s="72">
        <f>ROUND($C$27*0%,2)</f>
        <v>0</v>
      </c>
      <c r="D32" s="64"/>
      <c r="E32" s="28">
        <f t="shared" si="2"/>
        <v>0</v>
      </c>
    </row>
    <row r="33" spans="2:12" ht="114.75" x14ac:dyDescent="0.25">
      <c r="B33" s="64" t="s">
        <v>394</v>
      </c>
      <c r="C33" s="72">
        <f>ROUND($C$27*0%,2)</f>
        <v>0</v>
      </c>
      <c r="D33" s="64"/>
      <c r="E33" s="28">
        <f t="shared" si="2"/>
        <v>0</v>
      </c>
    </row>
    <row r="34" spans="2:12" ht="216.75" x14ac:dyDescent="0.25">
      <c r="B34" s="64" t="s">
        <v>395</v>
      </c>
      <c r="C34" s="72">
        <f>ROUND($C$27*0%,2)</f>
        <v>0</v>
      </c>
      <c r="D34" s="64"/>
      <c r="E34" s="28">
        <f t="shared" si="2"/>
        <v>0</v>
      </c>
    </row>
    <row r="35" spans="2:12" ht="344.25" x14ac:dyDescent="0.25">
      <c r="B35" s="64" t="s">
        <v>396</v>
      </c>
      <c r="C35" s="72">
        <f>ROUND($C$27*0%,2)</f>
        <v>0</v>
      </c>
      <c r="D35" s="64"/>
      <c r="E35" s="28">
        <f t="shared" si="2"/>
        <v>0</v>
      </c>
    </row>
    <row r="36" spans="2:12" ht="114.75" x14ac:dyDescent="0.25">
      <c r="B36" s="64" t="s">
        <v>397</v>
      </c>
      <c r="C36" s="72">
        <f>ROUND((C27+C32+C33+C34+C35+C29+C31+C30)*2.14%,2)</f>
        <v>5339248.6500000004</v>
      </c>
      <c r="D36" s="64"/>
      <c r="E36" s="28">
        <f t="shared" si="2"/>
        <v>2.0301640655003072E-2</v>
      </c>
      <c r="G36" s="34"/>
      <c r="L36" s="48"/>
    </row>
    <row r="37" spans="2:12" ht="38.25" x14ac:dyDescent="0.25">
      <c r="B37" s="64" t="s">
        <v>398</v>
      </c>
      <c r="C37" s="72">
        <f>ROUND((C27+C32+C33+C34+C35+C29+C31+C30)*0.2%,2)</f>
        <v>498995.20000000001</v>
      </c>
      <c r="D37" s="64"/>
      <c r="E37" s="28">
        <f t="shared" si="2"/>
        <v>1.8973495903719315E-3</v>
      </c>
      <c r="G37" s="34"/>
      <c r="L37" s="48"/>
    </row>
    <row r="38" spans="2:12" ht="127.5" x14ac:dyDescent="0.25">
      <c r="B38" s="64" t="s">
        <v>399</v>
      </c>
      <c r="C38" s="73">
        <f>C27+C32+C33+C34+C35+C29+C31+C30+C36+C37</f>
        <v>255335844.11000001</v>
      </c>
      <c r="D38" s="64"/>
      <c r="E38" s="28">
        <f t="shared" si="2"/>
        <v>0.97087378641994926</v>
      </c>
    </row>
    <row r="39" spans="2:12" ht="38.25" x14ac:dyDescent="0.25">
      <c r="B39" s="64" t="s">
        <v>400</v>
      </c>
      <c r="C39" s="73">
        <f>ROUND(C38*3%,2)</f>
        <v>7660075.3200000003</v>
      </c>
      <c r="D39" s="64"/>
      <c r="E39" s="28">
        <f>C39/$C$38</f>
        <v>2.9999999987075844E-2</v>
      </c>
    </row>
    <row r="40" spans="2:12" x14ac:dyDescent="0.25">
      <c r="B40" s="64" t="s">
        <v>401</v>
      </c>
      <c r="C40" s="73">
        <f>C39+C38</f>
        <v>262995919.43000001</v>
      </c>
      <c r="D40" s="64"/>
      <c r="E40" s="28">
        <f>C40/$C$40</f>
        <v>1</v>
      </c>
    </row>
    <row r="41" spans="2:12" ht="63.75" x14ac:dyDescent="0.25">
      <c r="B41" s="64" t="s">
        <v>402</v>
      </c>
      <c r="C41" s="73">
        <f>C40/'Прил.5 Расчет СМР и ОБ'!E183</f>
        <v>23908719.948181819</v>
      </c>
      <c r="D41" s="64"/>
      <c r="E41" s="64"/>
    </row>
    <row r="42" spans="2:12" x14ac:dyDescent="0.25">
      <c r="B42" s="68"/>
      <c r="C42" s="78"/>
      <c r="D42" s="78"/>
      <c r="E42" s="78"/>
    </row>
    <row r="43" spans="2:12" x14ac:dyDescent="0.25">
      <c r="B43" s="78" t="s">
        <v>365</v>
      </c>
      <c r="C43" s="79"/>
      <c r="E43" s="78"/>
    </row>
    <row r="44" spans="2:12" x14ac:dyDescent="0.25">
      <c r="B44" s="71" t="s">
        <v>34</v>
      </c>
      <c r="C44" s="79"/>
      <c r="E44" s="78"/>
    </row>
    <row r="45" spans="2:12" x14ac:dyDescent="0.25">
      <c r="B45" s="78"/>
      <c r="C45" s="79"/>
      <c r="D45" s="78"/>
      <c r="E45" s="78"/>
    </row>
    <row r="46" spans="2:12" x14ac:dyDescent="0.25">
      <c r="B46" s="78" t="s">
        <v>36</v>
      </c>
      <c r="C46" s="79"/>
      <c r="D46" s="78"/>
      <c r="E46" s="78"/>
    </row>
    <row r="47" spans="2:12" x14ac:dyDescent="0.25">
      <c r="B47" s="71" t="s">
        <v>37</v>
      </c>
      <c r="C47" s="79"/>
      <c r="D47" s="78"/>
      <c r="E47" s="78"/>
    </row>
    <row r="49" spans="2:5" x14ac:dyDescent="0.25">
      <c r="B49" s="78"/>
      <c r="C49" s="78"/>
      <c r="D49" s="78"/>
      <c r="E49" s="78"/>
    </row>
    <row r="50" spans="2:5" x14ac:dyDescent="0.25">
      <c r="B50" s="78"/>
      <c r="C50" s="78"/>
      <c r="D50" s="78"/>
      <c r="E50" s="7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2:N190"/>
  <sheetViews>
    <sheetView tabSelected="1" topLeftCell="A129" workbookViewId="0">
      <selection activeCell="I139" sqref="I139"/>
    </sheetView>
  </sheetViews>
  <sheetFormatPr defaultRowHeight="15" x14ac:dyDescent="0.25"/>
  <cols>
    <col min="2" max="2" width="26.5703125" customWidth="1"/>
    <col min="3" max="3" width="43.85546875" customWidth="1"/>
    <col min="4" max="4" width="13.5703125" customWidth="1"/>
    <col min="5" max="10" width="20.28515625" customWidth="1"/>
  </cols>
  <sheetData>
    <row r="2" spans="1:12" ht="15.75" x14ac:dyDescent="0.25">
      <c r="I2" s="39"/>
      <c r="J2" s="38" t="s">
        <v>403</v>
      </c>
    </row>
    <row r="4" spans="1:12" x14ac:dyDescent="0.25">
      <c r="A4" s="103" t="s">
        <v>404</v>
      </c>
      <c r="I4" s="103"/>
      <c r="J4" s="103"/>
    </row>
    <row r="5" spans="1:12" x14ac:dyDescent="0.25">
      <c r="A5" s="103"/>
      <c r="B5" s="103"/>
      <c r="C5" s="103"/>
      <c r="D5" s="103"/>
      <c r="E5" s="103"/>
      <c r="F5" s="103"/>
      <c r="G5" s="103"/>
      <c r="H5" s="103"/>
      <c r="I5" s="103"/>
      <c r="J5" s="103"/>
    </row>
    <row r="6" spans="1:12" ht="89.25" x14ac:dyDescent="0.25">
      <c r="A6" s="113" t="s">
        <v>405</v>
      </c>
      <c r="D6" s="53" t="s">
        <v>406</v>
      </c>
      <c r="E6" s="52"/>
      <c r="F6" s="52"/>
      <c r="G6" s="52"/>
      <c r="H6" s="52"/>
      <c r="I6" s="52"/>
      <c r="J6" s="52"/>
    </row>
    <row r="7" spans="1:12" ht="51" x14ac:dyDescent="0.25">
      <c r="A7" s="113" t="s">
        <v>5</v>
      </c>
      <c r="I7" s="104"/>
      <c r="J7" s="104"/>
    </row>
    <row r="9" spans="1:12" ht="25.5" x14ac:dyDescent="0.25">
      <c r="A9" s="107" t="s">
        <v>407</v>
      </c>
      <c r="B9" s="107" t="s">
        <v>58</v>
      </c>
      <c r="C9" s="107" t="s">
        <v>368</v>
      </c>
      <c r="D9" s="107" t="s">
        <v>60</v>
      </c>
      <c r="E9" s="107" t="s">
        <v>408</v>
      </c>
      <c r="F9" s="107" t="s">
        <v>62</v>
      </c>
      <c r="G9" s="120"/>
      <c r="H9" s="107" t="s">
        <v>409</v>
      </c>
      <c r="I9" s="107" t="s">
        <v>410</v>
      </c>
      <c r="J9" s="120"/>
    </row>
    <row r="10" spans="1:12" x14ac:dyDescent="0.25">
      <c r="A10" s="122"/>
      <c r="B10" s="122"/>
      <c r="C10" s="122"/>
      <c r="D10" s="122"/>
      <c r="E10" s="122"/>
      <c r="F10" s="107" t="s">
        <v>411</v>
      </c>
      <c r="G10" s="107" t="s">
        <v>64</v>
      </c>
      <c r="H10" s="122"/>
      <c r="I10" s="107" t="s">
        <v>411</v>
      </c>
      <c r="J10" s="107" t="s">
        <v>64</v>
      </c>
    </row>
    <row r="11" spans="1:12" x14ac:dyDescent="0.25">
      <c r="A11" s="107">
        <v>1</v>
      </c>
      <c r="B11" s="107">
        <v>2</v>
      </c>
      <c r="C11" s="107">
        <v>3</v>
      </c>
      <c r="D11" s="107">
        <v>4</v>
      </c>
      <c r="E11" s="107">
        <v>5</v>
      </c>
      <c r="F11" s="107">
        <v>6</v>
      </c>
      <c r="G11" s="107">
        <v>7</v>
      </c>
      <c r="H11" s="107">
        <v>8</v>
      </c>
      <c r="I11" s="107">
        <v>9</v>
      </c>
      <c r="J11" s="107">
        <v>10</v>
      </c>
    </row>
    <row r="12" spans="1:12" ht="25.5" x14ac:dyDescent="0.25">
      <c r="A12" s="107"/>
      <c r="B12" s="101" t="s">
        <v>412</v>
      </c>
      <c r="C12" s="119"/>
      <c r="D12" s="119"/>
      <c r="E12" s="119"/>
      <c r="F12" s="119"/>
      <c r="G12" s="119"/>
      <c r="H12" s="120"/>
      <c r="I12" s="54"/>
      <c r="J12" s="54"/>
    </row>
    <row r="13" spans="1:12" ht="25.5" x14ac:dyDescent="0.25">
      <c r="A13" s="107">
        <v>1</v>
      </c>
      <c r="B13" s="66" t="s">
        <v>80</v>
      </c>
      <c r="C13" s="55" t="s">
        <v>81</v>
      </c>
      <c r="D13" s="66" t="str">
        <f>Прил.3!E19</f>
        <v>чел.-ч</v>
      </c>
      <c r="E13" s="80">
        <v>15508.8125</v>
      </c>
      <c r="F13" s="56">
        <f>G13/E13</f>
        <v>9.9200000000000017</v>
      </c>
      <c r="G13" s="50">
        <v>153847.42000000001</v>
      </c>
      <c r="H13" s="110">
        <f>G13/G14</f>
        <v>1</v>
      </c>
      <c r="I13" s="56">
        <f>ФОТр.тек.!E13</f>
        <v>457.66433583862141</v>
      </c>
      <c r="J13" s="56">
        <f>ROUND(I13*E13,2)</f>
        <v>7097830.3700000001</v>
      </c>
    </row>
    <row r="14" spans="1:12" ht="25.5" x14ac:dyDescent="0.25">
      <c r="A14" s="107"/>
      <c r="B14" s="107"/>
      <c r="C14" s="101" t="s">
        <v>413</v>
      </c>
      <c r="D14" s="107" t="s">
        <v>414</v>
      </c>
      <c r="E14" s="80">
        <f>SUM(E13:E13)</f>
        <v>15508.8125</v>
      </c>
      <c r="F14" s="56"/>
      <c r="G14" s="56">
        <f>SUM(G13:G13)</f>
        <v>153847.42000000001</v>
      </c>
      <c r="H14" s="110">
        <v>1</v>
      </c>
      <c r="I14" s="56"/>
      <c r="J14" s="56">
        <f>SUM(J13:J13)</f>
        <v>7097830.3700000001</v>
      </c>
      <c r="K14" s="30"/>
      <c r="L14" s="47"/>
    </row>
    <row r="15" spans="1:12" x14ac:dyDescent="0.25">
      <c r="A15" s="107"/>
      <c r="B15" s="106" t="s">
        <v>92</v>
      </c>
      <c r="C15" s="119"/>
      <c r="D15" s="119"/>
      <c r="E15" s="119"/>
      <c r="F15" s="119"/>
      <c r="G15" s="119"/>
      <c r="H15" s="120"/>
      <c r="I15" s="54"/>
      <c r="J15" s="54"/>
    </row>
    <row r="16" spans="1:12" x14ac:dyDescent="0.25">
      <c r="A16" s="107">
        <v>2</v>
      </c>
      <c r="B16" s="107">
        <v>2</v>
      </c>
      <c r="C16" s="106" t="s">
        <v>92</v>
      </c>
      <c r="D16" s="107" t="s">
        <v>414</v>
      </c>
      <c r="E16" s="57">
        <v>27.5502</v>
      </c>
      <c r="F16" s="56">
        <f>G16/E16</f>
        <v>12.531654942613846</v>
      </c>
      <c r="G16" s="56">
        <v>345.24959999999999</v>
      </c>
      <c r="H16" s="110">
        <v>1</v>
      </c>
      <c r="I16" s="56">
        <f>ROUND(F16*Прил.10!D10,2)</f>
        <v>555.03</v>
      </c>
      <c r="J16" s="56">
        <f>ROUND(I16*E16,2)</f>
        <v>15291.19</v>
      </c>
      <c r="L16" s="32"/>
    </row>
    <row r="17" spans="1:12" x14ac:dyDescent="0.25">
      <c r="A17" s="107"/>
      <c r="B17" s="101" t="s">
        <v>93</v>
      </c>
      <c r="C17" s="119"/>
      <c r="D17" s="119"/>
      <c r="E17" s="119"/>
      <c r="F17" s="119"/>
      <c r="G17" s="119"/>
      <c r="H17" s="120"/>
      <c r="I17" s="110"/>
      <c r="J17" s="110"/>
    </row>
    <row r="18" spans="1:12" ht="25.5" x14ac:dyDescent="0.25">
      <c r="A18" s="107"/>
      <c r="B18" s="106" t="s">
        <v>415</v>
      </c>
      <c r="C18" s="119"/>
      <c r="D18" s="119"/>
      <c r="E18" s="119"/>
      <c r="F18" s="119"/>
      <c r="G18" s="119"/>
      <c r="H18" s="120"/>
      <c r="I18" s="54"/>
      <c r="J18" s="54"/>
    </row>
    <row r="19" spans="1:12" ht="25.5" x14ac:dyDescent="0.25">
      <c r="A19" s="107">
        <v>3</v>
      </c>
      <c r="B19" s="66" t="s">
        <v>94</v>
      </c>
      <c r="C19" s="55" t="s">
        <v>95</v>
      </c>
      <c r="D19" s="66" t="s">
        <v>96</v>
      </c>
      <c r="E19" s="80">
        <v>1006.32</v>
      </c>
      <c r="F19" s="50">
        <v>111.99</v>
      </c>
      <c r="G19" s="50">
        <f t="shared" ref="G19:G27" si="0">E19*F19</f>
        <v>112697.77680000001</v>
      </c>
      <c r="H19" s="110">
        <f t="shared" ref="H19:H27" si="1">G19/$G$59</f>
        <v>0.18040555519982959</v>
      </c>
      <c r="I19" s="56">
        <f>ROUND(F19*Прил.10!$D$11,2)</f>
        <v>1508.51</v>
      </c>
      <c r="J19" s="56">
        <f t="shared" ref="J19:J27" si="2">ROUND(I19*E19,2)</f>
        <v>1518043.78</v>
      </c>
    </row>
    <row r="20" spans="1:12" ht="25.5" x14ac:dyDescent="0.25">
      <c r="A20" s="107">
        <v>4</v>
      </c>
      <c r="B20" s="66" t="s">
        <v>97</v>
      </c>
      <c r="C20" s="55" t="s">
        <v>98</v>
      </c>
      <c r="D20" s="66" t="s">
        <v>96</v>
      </c>
      <c r="E20" s="107">
        <v>514.08000000000004</v>
      </c>
      <c r="F20" s="50">
        <v>200.67</v>
      </c>
      <c r="G20" s="50">
        <f t="shared" si="0"/>
        <v>103160.4336</v>
      </c>
      <c r="H20" s="110">
        <f t="shared" si="1"/>
        <v>0.16513826471742035</v>
      </c>
      <c r="I20" s="56">
        <f>ROUND(F20*Прил.10!$D$11,2)</f>
        <v>2703.02</v>
      </c>
      <c r="J20" s="56">
        <f t="shared" si="2"/>
        <v>1389568.52</v>
      </c>
    </row>
    <row r="21" spans="1:12" ht="38.25" x14ac:dyDescent="0.25">
      <c r="A21" s="107">
        <v>5</v>
      </c>
      <c r="B21" s="66" t="s">
        <v>99</v>
      </c>
      <c r="C21" s="55" t="s">
        <v>100</v>
      </c>
      <c r="D21" s="66" t="s">
        <v>96</v>
      </c>
      <c r="E21" s="107">
        <v>991.63</v>
      </c>
      <c r="F21" s="50">
        <v>87.6</v>
      </c>
      <c r="G21" s="50">
        <f t="shared" si="0"/>
        <v>86866.788</v>
      </c>
      <c r="H21" s="110">
        <f t="shared" si="1"/>
        <v>0.13905554805554862</v>
      </c>
      <c r="I21" s="56">
        <f>ROUND(F21*Прил.10!$D$11,2)</f>
        <v>1179.97</v>
      </c>
      <c r="J21" s="56">
        <f t="shared" si="2"/>
        <v>1170093.6499999999</v>
      </c>
    </row>
    <row r="22" spans="1:12" x14ac:dyDescent="0.25">
      <c r="A22" s="107">
        <v>6</v>
      </c>
      <c r="B22" s="66" t="s">
        <v>101</v>
      </c>
      <c r="C22" s="55" t="s">
        <v>102</v>
      </c>
      <c r="D22" s="66" t="s">
        <v>96</v>
      </c>
      <c r="E22" s="107">
        <v>941.85</v>
      </c>
      <c r="F22" s="50">
        <v>74.239999999999995</v>
      </c>
      <c r="G22" s="50">
        <f>E22*F22</f>
        <v>69922.944000000003</v>
      </c>
      <c r="H22" s="110">
        <f t="shared" si="1"/>
        <v>0.11193199982918024</v>
      </c>
      <c r="I22" s="56">
        <f>ROUND(F22*Прил.10!$D$11,2)</f>
        <v>1000.01</v>
      </c>
      <c r="J22" s="56">
        <f t="shared" si="2"/>
        <v>941859.42</v>
      </c>
    </row>
    <row r="23" spans="1:12" ht="25.5" x14ac:dyDescent="0.25">
      <c r="A23" s="107">
        <v>7</v>
      </c>
      <c r="B23" s="66" t="s">
        <v>103</v>
      </c>
      <c r="C23" s="55" t="s">
        <v>104</v>
      </c>
      <c r="D23" s="66" t="s">
        <v>96</v>
      </c>
      <c r="E23" s="107">
        <v>748.23</v>
      </c>
      <c r="F23" s="50">
        <v>92.94</v>
      </c>
      <c r="G23" s="50">
        <f t="shared" si="0"/>
        <v>69540.496199999994</v>
      </c>
      <c r="H23" s="110">
        <f t="shared" si="1"/>
        <v>0.11131978094028061</v>
      </c>
      <c r="I23" s="56">
        <f>ROUND(F23*Прил.10!$D$11,2)</f>
        <v>1251.9000000000001</v>
      </c>
      <c r="J23" s="56">
        <f t="shared" si="2"/>
        <v>936709.14</v>
      </c>
    </row>
    <row r="24" spans="1:12" x14ac:dyDescent="0.25">
      <c r="A24" s="107">
        <v>8</v>
      </c>
      <c r="B24" s="66" t="s">
        <v>105</v>
      </c>
      <c r="C24" s="55" t="s">
        <v>106</v>
      </c>
      <c r="D24" s="66" t="s">
        <v>96</v>
      </c>
      <c r="E24" s="107">
        <v>514.08000000000004</v>
      </c>
      <c r="F24" s="50">
        <v>70.67</v>
      </c>
      <c r="G24" s="50">
        <f t="shared" si="0"/>
        <v>36330.033600000002</v>
      </c>
      <c r="H24" s="110">
        <f t="shared" si="1"/>
        <v>5.8156780622814055E-2</v>
      </c>
      <c r="I24" s="56">
        <f>ROUND(F24*Прил.10!$D$11,2)</f>
        <v>951.92</v>
      </c>
      <c r="J24" s="56">
        <f t="shared" si="2"/>
        <v>489363.03</v>
      </c>
    </row>
    <row r="25" spans="1:12" ht="25.5" x14ac:dyDescent="0.25">
      <c r="A25" s="107">
        <v>9</v>
      </c>
      <c r="B25" s="66" t="s">
        <v>107</v>
      </c>
      <c r="C25" s="55" t="s">
        <v>108</v>
      </c>
      <c r="D25" s="66" t="s">
        <v>96</v>
      </c>
      <c r="E25" s="107">
        <v>136.08000000000001</v>
      </c>
      <c r="F25" s="50">
        <v>175.35</v>
      </c>
      <c r="G25" s="50">
        <f>E25*F25</f>
        <v>23861.628000000001</v>
      </c>
      <c r="H25" s="110">
        <f t="shared" si="1"/>
        <v>3.819747265246673E-2</v>
      </c>
      <c r="I25" s="56">
        <f>ROUND(F25*Прил.10!$D$11,2)</f>
        <v>2361.96</v>
      </c>
      <c r="J25" s="56">
        <f t="shared" si="2"/>
        <v>321415.52</v>
      </c>
    </row>
    <row r="26" spans="1:12" ht="25.5" x14ac:dyDescent="0.25">
      <c r="A26" s="107">
        <v>10</v>
      </c>
      <c r="B26" s="66" t="s">
        <v>109</v>
      </c>
      <c r="C26" s="55" t="s">
        <v>110</v>
      </c>
      <c r="D26" s="66" t="s">
        <v>96</v>
      </c>
      <c r="E26" s="107">
        <v>129.37</v>
      </c>
      <c r="F26" s="50">
        <v>147.43</v>
      </c>
      <c r="G26" s="50">
        <f t="shared" si="0"/>
        <v>19073.019100000001</v>
      </c>
      <c r="H26" s="110">
        <f t="shared" si="1"/>
        <v>3.0531911966451976E-2</v>
      </c>
      <c r="I26" s="56">
        <f>ROUND(F26*Прил.10!$D$11,2)</f>
        <v>1985.88</v>
      </c>
      <c r="J26" s="56">
        <f t="shared" si="2"/>
        <v>256913.3</v>
      </c>
    </row>
    <row r="27" spans="1:12" ht="25.5" x14ac:dyDescent="0.25">
      <c r="A27" s="107">
        <v>11</v>
      </c>
      <c r="B27" s="66" t="s">
        <v>111</v>
      </c>
      <c r="C27" s="55" t="s">
        <v>112</v>
      </c>
      <c r="D27" s="66" t="s">
        <v>96</v>
      </c>
      <c r="E27" s="107">
        <v>588.89</v>
      </c>
      <c r="F27" s="50">
        <v>29.6</v>
      </c>
      <c r="G27" s="50">
        <f t="shared" si="0"/>
        <v>17431.144</v>
      </c>
      <c r="H27" s="110">
        <f t="shared" si="1"/>
        <v>2.7903613543937968E-2</v>
      </c>
      <c r="I27" s="56">
        <f>ROUND(F27*Прил.10!$D$11,2)</f>
        <v>398.71</v>
      </c>
      <c r="J27" s="56">
        <f t="shared" si="2"/>
        <v>234796.33</v>
      </c>
    </row>
    <row r="28" spans="1:12" x14ac:dyDescent="0.25">
      <c r="A28" s="107"/>
      <c r="B28" s="107"/>
      <c r="C28" s="106" t="s">
        <v>416</v>
      </c>
      <c r="D28" s="107"/>
      <c r="E28" s="58"/>
      <c r="F28" s="56"/>
      <c r="G28" s="56">
        <f>SUM(G19:G27)</f>
        <v>538884.26330000011</v>
      </c>
      <c r="H28" s="110">
        <f>G28/G59</f>
        <v>0.86264092752793031</v>
      </c>
      <c r="I28" s="56"/>
      <c r="J28" s="56">
        <f>SUM(J19:J27)</f>
        <v>7258762.6900000004</v>
      </c>
      <c r="L28" s="30"/>
    </row>
    <row r="29" spans="1:12" ht="25.5" x14ac:dyDescent="0.25">
      <c r="A29" s="107">
        <v>12</v>
      </c>
      <c r="B29" s="66" t="s">
        <v>113</v>
      </c>
      <c r="C29" s="55" t="s">
        <v>114</v>
      </c>
      <c r="D29" s="66" t="s">
        <v>96</v>
      </c>
      <c r="E29" s="107">
        <v>138.44999999999999</v>
      </c>
      <c r="F29" s="59">
        <v>120.04</v>
      </c>
      <c r="G29" s="50">
        <f t="shared" ref="G29:G57" si="3">E29*F29</f>
        <v>16619.538</v>
      </c>
      <c r="H29" s="110">
        <f t="shared" ref="H29:H57" si="4">G29/$G$59</f>
        <v>2.6604402191318696E-2</v>
      </c>
      <c r="I29" s="56">
        <f>ROUND(F29*Прил.10!$D$11,2)</f>
        <v>1616.94</v>
      </c>
      <c r="J29" s="56">
        <f t="shared" ref="J29:J57" si="5">ROUND(I29*E29,2)</f>
        <v>223865.34</v>
      </c>
      <c r="L29" s="30"/>
    </row>
    <row r="30" spans="1:12" ht="25.5" x14ac:dyDescent="0.25">
      <c r="A30" s="107">
        <v>13</v>
      </c>
      <c r="B30" s="66">
        <v>150102</v>
      </c>
      <c r="C30" s="55" t="s">
        <v>115</v>
      </c>
      <c r="D30" s="66" t="s">
        <v>116</v>
      </c>
      <c r="E30" s="66">
        <v>57.68</v>
      </c>
      <c r="F30" s="59">
        <v>287.99</v>
      </c>
      <c r="G30" s="50">
        <f t="shared" si="3"/>
        <v>16611.263200000001</v>
      </c>
      <c r="H30" s="110">
        <f t="shared" si="4"/>
        <v>2.6591155968273706E-2</v>
      </c>
      <c r="I30" s="56">
        <f>ROUND(F30*Прил.10!$D$11,2)</f>
        <v>3879.23</v>
      </c>
      <c r="J30" s="56">
        <f t="shared" si="5"/>
        <v>223753.99</v>
      </c>
      <c r="L30" s="30"/>
    </row>
    <row r="31" spans="1:12" x14ac:dyDescent="0.25">
      <c r="A31" s="107">
        <v>14</v>
      </c>
      <c r="B31" s="66">
        <v>400001</v>
      </c>
      <c r="C31" s="55" t="s">
        <v>117</v>
      </c>
      <c r="D31" s="66" t="s">
        <v>116</v>
      </c>
      <c r="E31" s="66">
        <v>158.44999999999999</v>
      </c>
      <c r="F31" s="59">
        <v>87.17</v>
      </c>
      <c r="G31" s="50">
        <f t="shared" si="3"/>
        <v>13812.086499999999</v>
      </c>
      <c r="H31" s="110">
        <f t="shared" si="4"/>
        <v>2.2110259884918784E-2</v>
      </c>
      <c r="I31" s="56">
        <f>ROUND(F31*Прил.10!$D$11,2)</f>
        <v>1174.18</v>
      </c>
      <c r="J31" s="56">
        <f t="shared" si="5"/>
        <v>186048.82</v>
      </c>
      <c r="L31" s="30"/>
    </row>
    <row r="32" spans="1:12" x14ac:dyDescent="0.25">
      <c r="A32" s="107">
        <v>15</v>
      </c>
      <c r="B32" s="66">
        <v>31004</v>
      </c>
      <c r="C32" s="55" t="s">
        <v>118</v>
      </c>
      <c r="D32" s="66" t="s">
        <v>116</v>
      </c>
      <c r="E32" s="66">
        <v>40.71</v>
      </c>
      <c r="F32" s="59">
        <v>243.49</v>
      </c>
      <c r="G32" s="50">
        <f t="shared" si="3"/>
        <v>9912.4778999999999</v>
      </c>
      <c r="H32" s="110">
        <f t="shared" si="4"/>
        <v>1.5867802628698711E-2</v>
      </c>
      <c r="I32" s="56">
        <f>ROUND(F32*Прил.10!$D$11,2)</f>
        <v>3279.81</v>
      </c>
      <c r="J32" s="56">
        <f t="shared" si="5"/>
        <v>133521.07</v>
      </c>
      <c r="L32" s="30"/>
    </row>
    <row r="33" spans="1:12" ht="25.5" x14ac:dyDescent="0.25">
      <c r="A33" s="107">
        <v>16</v>
      </c>
      <c r="B33" s="66">
        <v>30408</v>
      </c>
      <c r="C33" s="55" t="s">
        <v>119</v>
      </c>
      <c r="D33" s="66" t="s">
        <v>116</v>
      </c>
      <c r="E33" s="66">
        <v>57.68</v>
      </c>
      <c r="F33" s="59">
        <v>131.44</v>
      </c>
      <c r="G33" s="50">
        <f t="shared" si="3"/>
        <v>7581.4592000000002</v>
      </c>
      <c r="H33" s="110">
        <f t="shared" si="4"/>
        <v>1.213632952696238E-2</v>
      </c>
      <c r="I33" s="56">
        <f>ROUND(F33*Прил.10!$D$11,2)</f>
        <v>1770.5</v>
      </c>
      <c r="J33" s="56">
        <f t="shared" si="5"/>
        <v>102122.44</v>
      </c>
      <c r="L33" s="30"/>
    </row>
    <row r="34" spans="1:12" ht="25.5" x14ac:dyDescent="0.25">
      <c r="A34" s="107">
        <v>17</v>
      </c>
      <c r="B34" s="66" t="s">
        <v>120</v>
      </c>
      <c r="C34" s="55" t="s">
        <v>121</v>
      </c>
      <c r="D34" s="66" t="s">
        <v>116</v>
      </c>
      <c r="E34" s="66">
        <v>72.45</v>
      </c>
      <c r="F34" s="59">
        <v>65.709999999999994</v>
      </c>
      <c r="G34" s="50">
        <f t="shared" si="3"/>
        <v>4760.6894999999995</v>
      </c>
      <c r="H34" s="110">
        <f t="shared" si="4"/>
        <v>7.6208675696031918E-3</v>
      </c>
      <c r="I34" s="56">
        <f>ROUND(F34*Прил.10!$D$11,2)</f>
        <v>885.11</v>
      </c>
      <c r="J34" s="56">
        <f t="shared" si="5"/>
        <v>64126.22</v>
      </c>
      <c r="L34" s="30"/>
    </row>
    <row r="35" spans="1:12" ht="38.25" x14ac:dyDescent="0.25">
      <c r="A35" s="107">
        <v>18</v>
      </c>
      <c r="B35" s="66" t="s">
        <v>122</v>
      </c>
      <c r="C35" s="55" t="s">
        <v>123</v>
      </c>
      <c r="D35" s="66" t="s">
        <v>124</v>
      </c>
      <c r="E35" s="66">
        <v>214.5</v>
      </c>
      <c r="F35" s="59">
        <v>20.38</v>
      </c>
      <c r="G35" s="50">
        <f t="shared" si="3"/>
        <v>4371.51</v>
      </c>
      <c r="H35" s="110">
        <f t="shared" si="4"/>
        <v>6.9978726378177054E-3</v>
      </c>
      <c r="I35" s="56">
        <f>ROUND(F35*Прил.10!$D$11,2)</f>
        <v>274.52</v>
      </c>
      <c r="J35" s="56">
        <f t="shared" si="5"/>
        <v>58884.54</v>
      </c>
      <c r="L35" s="30"/>
    </row>
    <row r="36" spans="1:12" ht="38.25" x14ac:dyDescent="0.25">
      <c r="A36" s="107">
        <v>19</v>
      </c>
      <c r="B36" s="66">
        <v>40202</v>
      </c>
      <c r="C36" s="55" t="s">
        <v>125</v>
      </c>
      <c r="D36" s="66" t="s">
        <v>116</v>
      </c>
      <c r="E36" s="66">
        <v>229.39</v>
      </c>
      <c r="F36" s="59">
        <v>14</v>
      </c>
      <c r="G36" s="50">
        <f t="shared" si="3"/>
        <v>3211.46</v>
      </c>
      <c r="H36" s="110">
        <f t="shared" si="4"/>
        <v>5.1408753637635614E-3</v>
      </c>
      <c r="I36" s="56">
        <f>ROUND(F36*Прил.10!$D$11,2)</f>
        <v>188.58</v>
      </c>
      <c r="J36" s="56">
        <f t="shared" si="5"/>
        <v>43258.37</v>
      </c>
      <c r="L36" s="30"/>
    </row>
    <row r="37" spans="1:12" x14ac:dyDescent="0.25">
      <c r="A37" s="107">
        <v>20</v>
      </c>
      <c r="B37" s="66" t="s">
        <v>126</v>
      </c>
      <c r="C37" s="55" t="s">
        <v>127</v>
      </c>
      <c r="D37" s="66" t="s">
        <v>116</v>
      </c>
      <c r="E37" s="66">
        <v>24.15</v>
      </c>
      <c r="F37" s="59">
        <v>89.99</v>
      </c>
      <c r="G37" s="50">
        <f t="shared" si="3"/>
        <v>2173.2584999999999</v>
      </c>
      <c r="H37" s="110">
        <f t="shared" si="4"/>
        <v>3.4789320376837178E-3</v>
      </c>
      <c r="I37" s="56">
        <f>ROUND(F37*Прил.10!$D$11,2)</f>
        <v>1212.17</v>
      </c>
      <c r="J37" s="56">
        <f t="shared" si="5"/>
        <v>29273.91</v>
      </c>
      <c r="L37" s="30"/>
    </row>
    <row r="38" spans="1:12" ht="25.5" x14ac:dyDescent="0.25">
      <c r="A38" s="107">
        <v>21</v>
      </c>
      <c r="B38" s="66">
        <v>40502</v>
      </c>
      <c r="C38" s="55" t="s">
        <v>128</v>
      </c>
      <c r="D38" s="66" t="s">
        <v>116</v>
      </c>
      <c r="E38" s="66">
        <v>255.7</v>
      </c>
      <c r="F38" s="59">
        <v>8.1</v>
      </c>
      <c r="G38" s="50">
        <f t="shared" si="3"/>
        <v>2071.1699999999996</v>
      </c>
      <c r="H38" s="110">
        <f t="shared" si="4"/>
        <v>3.3155097143250031E-3</v>
      </c>
      <c r="I38" s="56">
        <f>ROUND(F38*Прил.10!$D$11,2)</f>
        <v>109.11</v>
      </c>
      <c r="J38" s="56">
        <f t="shared" si="5"/>
        <v>27899.43</v>
      </c>
      <c r="L38" s="30"/>
    </row>
    <row r="39" spans="1:12" x14ac:dyDescent="0.25">
      <c r="A39" s="107">
        <v>22</v>
      </c>
      <c r="B39" s="66">
        <v>400101</v>
      </c>
      <c r="C39" s="55" t="s">
        <v>129</v>
      </c>
      <c r="D39" s="66" t="s">
        <v>116</v>
      </c>
      <c r="E39" s="66">
        <v>15.12</v>
      </c>
      <c r="F39" s="59">
        <v>127.82</v>
      </c>
      <c r="G39" s="50">
        <f t="shared" si="3"/>
        <v>1932.6383999999998</v>
      </c>
      <c r="H39" s="110">
        <f t="shared" si="4"/>
        <v>3.0937496146996777E-3</v>
      </c>
      <c r="I39" s="56">
        <f>ROUND(F39*Прил.10!$D$11,2)</f>
        <v>1721.74</v>
      </c>
      <c r="J39" s="56">
        <f t="shared" si="5"/>
        <v>26032.71</v>
      </c>
      <c r="L39" s="30"/>
    </row>
    <row r="40" spans="1:12" ht="25.5" x14ac:dyDescent="0.25">
      <c r="A40" s="107">
        <v>23</v>
      </c>
      <c r="B40" s="66">
        <v>21243</v>
      </c>
      <c r="C40" s="55" t="s">
        <v>130</v>
      </c>
      <c r="D40" s="66" t="s">
        <v>116</v>
      </c>
      <c r="E40" s="66">
        <v>13.3</v>
      </c>
      <c r="F40" s="59">
        <v>96.89</v>
      </c>
      <c r="G40" s="50">
        <f t="shared" si="3"/>
        <v>1288.6370000000002</v>
      </c>
      <c r="H40" s="110">
        <f t="shared" si="4"/>
        <v>2.0628381502912027E-3</v>
      </c>
      <c r="I40" s="56">
        <f>ROUND(F40*Прил.10!$D$11,2)</f>
        <v>1305.1099999999999</v>
      </c>
      <c r="J40" s="56">
        <f t="shared" si="5"/>
        <v>17357.96</v>
      </c>
      <c r="L40" s="30"/>
    </row>
    <row r="41" spans="1:12" ht="25.5" x14ac:dyDescent="0.25">
      <c r="A41" s="107">
        <v>24</v>
      </c>
      <c r="B41" s="66">
        <v>41000</v>
      </c>
      <c r="C41" s="55" t="s">
        <v>131</v>
      </c>
      <c r="D41" s="66" t="s">
        <v>116</v>
      </c>
      <c r="E41" s="66">
        <v>47.75</v>
      </c>
      <c r="F41" s="59">
        <v>12.31</v>
      </c>
      <c r="G41" s="50">
        <f t="shared" si="3"/>
        <v>587.80250000000001</v>
      </c>
      <c r="H41" s="110">
        <f t="shared" si="4"/>
        <v>9.4094878684730036E-4</v>
      </c>
      <c r="I41" s="56">
        <f>ROUND(F41*Прил.10!$D$11,2)</f>
        <v>165.82</v>
      </c>
      <c r="J41" s="56">
        <f t="shared" si="5"/>
        <v>7917.91</v>
      </c>
      <c r="L41" s="30"/>
    </row>
    <row r="42" spans="1:12" ht="25.5" x14ac:dyDescent="0.25">
      <c r="A42" s="107">
        <v>25</v>
      </c>
      <c r="B42" s="66">
        <v>30203</v>
      </c>
      <c r="C42" s="55" t="s">
        <v>132</v>
      </c>
      <c r="D42" s="66" t="s">
        <v>116</v>
      </c>
      <c r="E42" s="66">
        <v>257.88</v>
      </c>
      <c r="F42" s="59">
        <v>0.9</v>
      </c>
      <c r="G42" s="50">
        <f t="shared" si="3"/>
        <v>232.09200000000001</v>
      </c>
      <c r="H42" s="110">
        <f t="shared" si="4"/>
        <v>3.7153071964982055E-4</v>
      </c>
      <c r="I42" s="56">
        <f>ROUND(F42*Прил.10!$D$11,2)</f>
        <v>12.12</v>
      </c>
      <c r="J42" s="56">
        <f t="shared" si="5"/>
        <v>3125.51</v>
      </c>
      <c r="L42" s="30"/>
    </row>
    <row r="43" spans="1:12" x14ac:dyDescent="0.25">
      <c r="A43" s="107">
        <v>26</v>
      </c>
      <c r="B43" s="66">
        <v>400002</v>
      </c>
      <c r="C43" s="55" t="s">
        <v>133</v>
      </c>
      <c r="D43" s="66" t="s">
        <v>116</v>
      </c>
      <c r="E43" s="66">
        <v>1.91</v>
      </c>
      <c r="F43" s="59">
        <v>107.3</v>
      </c>
      <c r="G43" s="50">
        <f t="shared" si="3"/>
        <v>204.94299999999998</v>
      </c>
      <c r="H43" s="110">
        <f t="shared" si="4"/>
        <v>3.2807085240849819E-4</v>
      </c>
      <c r="I43" s="56">
        <f>ROUND(F43*Прил.10!$D$11,2)</f>
        <v>1445.33</v>
      </c>
      <c r="J43" s="56">
        <f t="shared" si="5"/>
        <v>2760.58</v>
      </c>
      <c r="L43" s="30"/>
    </row>
    <row r="44" spans="1:12" ht="25.5" x14ac:dyDescent="0.25">
      <c r="A44" s="107">
        <v>27</v>
      </c>
      <c r="B44" s="66">
        <v>400111</v>
      </c>
      <c r="C44" s="55" t="s">
        <v>134</v>
      </c>
      <c r="D44" s="66" t="s">
        <v>116</v>
      </c>
      <c r="E44" s="66">
        <v>15.12</v>
      </c>
      <c r="F44" s="59">
        <v>12</v>
      </c>
      <c r="G44" s="50">
        <f t="shared" si="3"/>
        <v>181.44</v>
      </c>
      <c r="H44" s="110">
        <f t="shared" si="4"/>
        <v>2.9044746813015285E-4</v>
      </c>
      <c r="I44" s="56">
        <f>ROUND(F44*Прил.10!$D$11,2)</f>
        <v>161.63999999999999</v>
      </c>
      <c r="J44" s="56">
        <f t="shared" si="5"/>
        <v>2444</v>
      </c>
      <c r="L44" s="30"/>
    </row>
    <row r="45" spans="1:12" ht="25.5" x14ac:dyDescent="0.25">
      <c r="A45" s="107">
        <v>28</v>
      </c>
      <c r="B45" s="66">
        <v>20403</v>
      </c>
      <c r="C45" s="55" t="s">
        <v>135</v>
      </c>
      <c r="D45" s="66" t="s">
        <v>116</v>
      </c>
      <c r="E45" s="66">
        <v>0.67</v>
      </c>
      <c r="F45" s="59">
        <v>120.52</v>
      </c>
      <c r="G45" s="50">
        <f t="shared" si="3"/>
        <v>80.748400000000004</v>
      </c>
      <c r="H45" s="110">
        <f t="shared" si="4"/>
        <v>1.2926128932738554E-4</v>
      </c>
      <c r="I45" s="56">
        <f>ROUND(F45*Прил.10!$D$11,2)</f>
        <v>1623.4</v>
      </c>
      <c r="J45" s="56">
        <f t="shared" si="5"/>
        <v>1087.68</v>
      </c>
      <c r="L45" s="30"/>
    </row>
    <row r="46" spans="1:12" ht="25.5" x14ac:dyDescent="0.25">
      <c r="A46" s="107">
        <v>29</v>
      </c>
      <c r="B46" s="66">
        <v>20129</v>
      </c>
      <c r="C46" s="55" t="s">
        <v>136</v>
      </c>
      <c r="D46" s="66" t="s">
        <v>116</v>
      </c>
      <c r="E46" s="66">
        <v>0.54</v>
      </c>
      <c r="F46" s="59">
        <v>86.4</v>
      </c>
      <c r="G46" s="50">
        <f t="shared" si="3"/>
        <v>46.656000000000006</v>
      </c>
      <c r="H46" s="110">
        <f t="shared" si="4"/>
        <v>7.4686491804896459E-5</v>
      </c>
      <c r="I46" s="56">
        <f>ROUND(F46*Прил.10!$D$11,2)</f>
        <v>1163.81</v>
      </c>
      <c r="J46" s="56">
        <f t="shared" si="5"/>
        <v>628.46</v>
      </c>
      <c r="L46" s="30"/>
    </row>
    <row r="47" spans="1:12" x14ac:dyDescent="0.25">
      <c r="A47" s="107">
        <v>30</v>
      </c>
      <c r="B47" s="66">
        <v>331451</v>
      </c>
      <c r="C47" s="55" t="s">
        <v>137</v>
      </c>
      <c r="D47" s="66" t="s">
        <v>116</v>
      </c>
      <c r="E47" s="66">
        <v>14.91</v>
      </c>
      <c r="F47" s="59">
        <v>2.08</v>
      </c>
      <c r="G47" s="50">
        <f t="shared" si="3"/>
        <v>31.012800000000002</v>
      </c>
      <c r="H47" s="110">
        <f t="shared" si="4"/>
        <v>4.9645002422987236E-5</v>
      </c>
      <c r="I47" s="56">
        <f>ROUND(F47*Прил.10!$D$11,2)</f>
        <v>28.02</v>
      </c>
      <c r="J47" s="56">
        <f t="shared" si="5"/>
        <v>417.78</v>
      </c>
      <c r="L47" s="30"/>
    </row>
    <row r="48" spans="1:12" ht="25.5" x14ac:dyDescent="0.25">
      <c r="A48" s="107">
        <v>31</v>
      </c>
      <c r="B48" s="66">
        <v>70149</v>
      </c>
      <c r="C48" s="55" t="s">
        <v>138</v>
      </c>
      <c r="D48" s="66" t="s">
        <v>116</v>
      </c>
      <c r="E48" s="66">
        <v>0.36</v>
      </c>
      <c r="F48" s="59">
        <v>79.069999999999993</v>
      </c>
      <c r="G48" s="50">
        <f t="shared" si="3"/>
        <v>28.465199999999996</v>
      </c>
      <c r="H48" s="110">
        <f t="shared" si="4"/>
        <v>4.5566827986212664E-5</v>
      </c>
      <c r="I48" s="56">
        <f>ROUND(F48*Прил.10!$D$11,2)</f>
        <v>1065.07</v>
      </c>
      <c r="J48" s="56">
        <f t="shared" si="5"/>
        <v>383.43</v>
      </c>
      <c r="L48" s="30"/>
    </row>
    <row r="49" spans="1:14" ht="38.25" x14ac:dyDescent="0.25">
      <c r="A49" s="107">
        <v>32</v>
      </c>
      <c r="B49" s="66">
        <v>340101</v>
      </c>
      <c r="C49" s="55" t="s">
        <v>139</v>
      </c>
      <c r="D49" s="66" t="s">
        <v>116</v>
      </c>
      <c r="E49" s="66">
        <v>2.89</v>
      </c>
      <c r="F49" s="59">
        <v>6.82</v>
      </c>
      <c r="G49" s="50">
        <f t="shared" si="3"/>
        <v>19.709800000000001</v>
      </c>
      <c r="H49" s="110">
        <f t="shared" si="4"/>
        <v>3.155126492147094E-5</v>
      </c>
      <c r="I49" s="56">
        <f>ROUND(F49*Прил.10!$D$11,2)</f>
        <v>91.87</v>
      </c>
      <c r="J49" s="56">
        <f t="shared" si="5"/>
        <v>265.5</v>
      </c>
      <c r="L49" s="30"/>
    </row>
    <row r="50" spans="1:14" ht="38.25" x14ac:dyDescent="0.25">
      <c r="A50" s="107">
        <v>33</v>
      </c>
      <c r="B50" s="66">
        <v>41400</v>
      </c>
      <c r="C50" s="55" t="s">
        <v>140</v>
      </c>
      <c r="D50" s="66" t="s">
        <v>116</v>
      </c>
      <c r="E50" s="66">
        <v>2.36</v>
      </c>
      <c r="F50" s="59">
        <v>6.7</v>
      </c>
      <c r="G50" s="50">
        <f t="shared" si="3"/>
        <v>15.811999999999999</v>
      </c>
      <c r="H50" s="110">
        <f t="shared" si="4"/>
        <v>2.5311702855345992E-5</v>
      </c>
      <c r="I50" s="56">
        <f>ROUND(F50*Прил.10!$D$11,2)</f>
        <v>90.25</v>
      </c>
      <c r="J50" s="56">
        <f t="shared" si="5"/>
        <v>212.99</v>
      </c>
      <c r="L50" s="30"/>
    </row>
    <row r="51" spans="1:14" x14ac:dyDescent="0.25">
      <c r="A51" s="107">
        <v>34</v>
      </c>
      <c r="B51" s="66">
        <v>40504</v>
      </c>
      <c r="C51" s="55" t="s">
        <v>141</v>
      </c>
      <c r="D51" s="66" t="s">
        <v>116</v>
      </c>
      <c r="E51" s="66">
        <v>11.21</v>
      </c>
      <c r="F51" s="59">
        <v>1.2</v>
      </c>
      <c r="G51" s="50">
        <f t="shared" si="3"/>
        <v>13.452</v>
      </c>
      <c r="H51" s="110">
        <f t="shared" si="4"/>
        <v>2.1533836757533158E-5</v>
      </c>
      <c r="I51" s="56">
        <f>ROUND(F51*Прил.10!$D$11,2)</f>
        <v>16.16</v>
      </c>
      <c r="J51" s="56">
        <f t="shared" si="5"/>
        <v>181.15</v>
      </c>
      <c r="L51" s="30"/>
    </row>
    <row r="52" spans="1:14" x14ac:dyDescent="0.25">
      <c r="A52" s="107">
        <v>35</v>
      </c>
      <c r="B52" s="66">
        <v>330301</v>
      </c>
      <c r="C52" s="55" t="s">
        <v>142</v>
      </c>
      <c r="D52" s="66" t="s">
        <v>116</v>
      </c>
      <c r="E52" s="66">
        <v>1.99</v>
      </c>
      <c r="F52" s="59">
        <v>5.13</v>
      </c>
      <c r="G52" s="50">
        <f t="shared" si="3"/>
        <v>10.2087</v>
      </c>
      <c r="H52" s="110">
        <f t="shared" si="4"/>
        <v>1.6341992217263512E-5</v>
      </c>
      <c r="I52" s="56">
        <f>ROUND(F52*Прил.10!$D$11,2)</f>
        <v>69.099999999999994</v>
      </c>
      <c r="J52" s="56">
        <f t="shared" si="5"/>
        <v>137.51</v>
      </c>
      <c r="L52" s="30"/>
    </row>
    <row r="53" spans="1:14" ht="25.5" x14ac:dyDescent="0.25">
      <c r="A53" s="107">
        <v>36</v>
      </c>
      <c r="B53" s="66">
        <v>30402</v>
      </c>
      <c r="C53" s="55" t="s">
        <v>143</v>
      </c>
      <c r="D53" s="66" t="s">
        <v>116</v>
      </c>
      <c r="E53" s="66">
        <v>1.19</v>
      </c>
      <c r="F53" s="59">
        <v>3.28</v>
      </c>
      <c r="G53" s="50">
        <f t="shared" si="3"/>
        <v>3.9031999999999996</v>
      </c>
      <c r="H53" s="110">
        <f t="shared" si="4"/>
        <v>6.2482063360097687E-6</v>
      </c>
      <c r="I53" s="56">
        <f>ROUND(F53*Прил.10!$D$11,2)</f>
        <v>44.18</v>
      </c>
      <c r="J53" s="56">
        <f t="shared" si="5"/>
        <v>52.57</v>
      </c>
      <c r="L53" s="30"/>
    </row>
    <row r="54" spans="1:14" x14ac:dyDescent="0.25">
      <c r="A54" s="107">
        <v>37</v>
      </c>
      <c r="B54" s="66">
        <v>30101</v>
      </c>
      <c r="C54" s="55" t="s">
        <v>144</v>
      </c>
      <c r="D54" s="66" t="s">
        <v>116</v>
      </c>
      <c r="E54" s="66">
        <v>0.03</v>
      </c>
      <c r="F54" s="59">
        <v>89.99</v>
      </c>
      <c r="G54" s="50">
        <f t="shared" si="3"/>
        <v>2.6996999999999995</v>
      </c>
      <c r="H54" s="110">
        <f t="shared" si="4"/>
        <v>4.3216547051971647E-6</v>
      </c>
      <c r="I54" s="56">
        <f>ROUND(F54*Прил.10!$D$11,2)</f>
        <v>1212.17</v>
      </c>
      <c r="J54" s="56">
        <f t="shared" si="5"/>
        <v>36.369999999999997</v>
      </c>
      <c r="L54" s="30"/>
    </row>
    <row r="55" spans="1:14" x14ac:dyDescent="0.25">
      <c r="A55" s="107">
        <v>38</v>
      </c>
      <c r="B55" s="66">
        <v>400051</v>
      </c>
      <c r="C55" s="55" t="s">
        <v>145</v>
      </c>
      <c r="D55" s="66" t="s">
        <v>116</v>
      </c>
      <c r="E55" s="66">
        <v>0.01</v>
      </c>
      <c r="F55" s="59">
        <v>111</v>
      </c>
      <c r="G55" s="50">
        <f t="shared" si="3"/>
        <v>1.1100000000000001</v>
      </c>
      <c r="H55" s="110">
        <f t="shared" si="4"/>
        <v>1.7768776985475622E-6</v>
      </c>
      <c r="I55" s="56">
        <f>ROUND(F55*Прил.10!$D$11,2)</f>
        <v>1495.17</v>
      </c>
      <c r="J55" s="56">
        <f t="shared" si="5"/>
        <v>14.95</v>
      </c>
      <c r="L55" s="30"/>
    </row>
    <row r="56" spans="1:14" x14ac:dyDescent="0.25">
      <c r="A56" s="107">
        <v>39</v>
      </c>
      <c r="B56" s="66">
        <v>111301</v>
      </c>
      <c r="C56" s="55" t="s">
        <v>146</v>
      </c>
      <c r="D56" s="66" t="s">
        <v>116</v>
      </c>
      <c r="E56" s="66">
        <v>1.44</v>
      </c>
      <c r="F56" s="59">
        <v>0.5</v>
      </c>
      <c r="G56" s="50">
        <f t="shared" si="3"/>
        <v>0.72</v>
      </c>
      <c r="H56" s="110">
        <f t="shared" si="4"/>
        <v>1.1525693179767969E-6</v>
      </c>
      <c r="I56" s="56">
        <f>ROUND(F56*Прил.10!$D$11,2)</f>
        <v>6.74</v>
      </c>
      <c r="J56" s="56">
        <f t="shared" si="5"/>
        <v>9.7100000000000009</v>
      </c>
      <c r="L56" s="30"/>
    </row>
    <row r="57" spans="1:14" ht="25.5" x14ac:dyDescent="0.25">
      <c r="A57" s="107">
        <v>40</v>
      </c>
      <c r="B57" s="66">
        <v>30401</v>
      </c>
      <c r="C57" s="55" t="s">
        <v>147</v>
      </c>
      <c r="D57" s="66" t="s">
        <v>116</v>
      </c>
      <c r="E57" s="66">
        <v>0.03</v>
      </c>
      <c r="F57" s="59">
        <v>1.7</v>
      </c>
      <c r="G57" s="50">
        <f t="shared" si="3"/>
        <v>5.0999999999999997E-2</v>
      </c>
      <c r="H57" s="110">
        <f t="shared" si="4"/>
        <v>8.1640326690023108E-8</v>
      </c>
      <c r="I57" s="56">
        <f>ROUND(F57*Прил.10!$D$11,2)</f>
        <v>22.9</v>
      </c>
      <c r="J57" s="56">
        <f t="shared" si="5"/>
        <v>0.69</v>
      </c>
      <c r="L57" s="30"/>
    </row>
    <row r="58" spans="1:14" x14ac:dyDescent="0.25">
      <c r="A58" s="107"/>
      <c r="B58" s="107"/>
      <c r="C58" s="106" t="s">
        <v>417</v>
      </c>
      <c r="D58" s="107"/>
      <c r="E58" s="108"/>
      <c r="F58" s="56"/>
      <c r="G58" s="56">
        <f>SUM(G29:G57)</f>
        <v>85807.014500000019</v>
      </c>
      <c r="H58" s="110">
        <f>G58/G59</f>
        <v>0.13735907247206966</v>
      </c>
      <c r="I58" s="56"/>
      <c r="J58" s="56">
        <f>SUM(J29:J57)</f>
        <v>1155821.5899999996</v>
      </c>
      <c r="K58" s="30"/>
      <c r="L58" s="30"/>
    </row>
    <row r="59" spans="1:14" x14ac:dyDescent="0.25">
      <c r="A59" s="107"/>
      <c r="B59" s="114"/>
      <c r="C59" s="60" t="s">
        <v>418</v>
      </c>
      <c r="D59" s="114"/>
      <c r="E59" s="61"/>
      <c r="F59" s="62"/>
      <c r="G59" s="62">
        <f>G28+G58</f>
        <v>624691.27780000016</v>
      </c>
      <c r="H59" s="63">
        <v>1</v>
      </c>
      <c r="I59" s="62"/>
      <c r="J59" s="62">
        <f>J28+J58</f>
        <v>8414584.2799999993</v>
      </c>
    </row>
    <row r="60" spans="1:14" x14ac:dyDescent="0.25">
      <c r="A60" s="112"/>
      <c r="B60" s="101" t="s">
        <v>419</v>
      </c>
      <c r="C60" s="119"/>
      <c r="D60" s="119"/>
      <c r="E60" s="119"/>
      <c r="F60" s="119"/>
      <c r="G60" s="119"/>
      <c r="H60" s="119"/>
      <c r="I60" s="119"/>
      <c r="J60" s="120"/>
      <c r="K60" s="79"/>
      <c r="L60" s="79"/>
      <c r="M60" s="79"/>
      <c r="N60" s="79"/>
    </row>
    <row r="61" spans="1:14" x14ac:dyDescent="0.25">
      <c r="A61" s="107"/>
      <c r="B61" s="111" t="s">
        <v>420</v>
      </c>
      <c r="K61" s="79"/>
      <c r="L61" s="79"/>
      <c r="M61" s="79"/>
      <c r="N61" s="79"/>
    </row>
    <row r="62" spans="1:14" ht="38.25" x14ac:dyDescent="0.25">
      <c r="A62" s="107">
        <v>41</v>
      </c>
      <c r="B62" s="66" t="s">
        <v>421</v>
      </c>
      <c r="C62" s="106" t="s">
        <v>422</v>
      </c>
      <c r="D62" s="107" t="s">
        <v>150</v>
      </c>
      <c r="E62" s="107">
        <v>14</v>
      </c>
      <c r="F62" s="56">
        <f>ROUND(I62/Прил.10!$D$13,2)</f>
        <v>450479.23</v>
      </c>
      <c r="G62" s="50">
        <f>E62*F62</f>
        <v>6306709.2199999997</v>
      </c>
      <c r="H62" s="110">
        <f t="shared" ref="H62:H71" si="6">G62/$G$72</f>
        <v>0.2536639937985074</v>
      </c>
      <c r="I62" s="56">
        <v>2820000</v>
      </c>
      <c r="J62" s="56">
        <f>ROUND(I62*E62,2)</f>
        <v>39480000</v>
      </c>
      <c r="K62" s="79"/>
      <c r="L62" s="79"/>
      <c r="M62" s="79"/>
      <c r="N62" s="79"/>
    </row>
    <row r="63" spans="1:14" x14ac:dyDescent="0.25">
      <c r="A63" s="107">
        <v>42</v>
      </c>
      <c r="B63" s="66" t="s">
        <v>423</v>
      </c>
      <c r="C63" s="106" t="s">
        <v>424</v>
      </c>
      <c r="D63" s="107" t="s">
        <v>150</v>
      </c>
      <c r="E63" s="107">
        <v>33</v>
      </c>
      <c r="F63" s="56">
        <f>ROUND(I63/Прил.10!$D$13,2)</f>
        <v>168972.84</v>
      </c>
      <c r="G63" s="50">
        <f>E63*F63</f>
        <v>5576103.7199999997</v>
      </c>
      <c r="H63" s="110">
        <f t="shared" si="6"/>
        <v>0.22427809656490144</v>
      </c>
      <c r="I63" s="56">
        <v>1057770</v>
      </c>
      <c r="J63" s="56">
        <f>ROUND(I63*E63,2)</f>
        <v>34906410</v>
      </c>
      <c r="K63" s="79"/>
      <c r="L63" s="79"/>
      <c r="M63" s="79"/>
      <c r="N63" s="79"/>
    </row>
    <row r="64" spans="1:14" ht="25.5" x14ac:dyDescent="0.25">
      <c r="A64" s="107">
        <v>43</v>
      </c>
      <c r="B64" s="66" t="s">
        <v>425</v>
      </c>
      <c r="C64" s="64" t="s">
        <v>426</v>
      </c>
      <c r="D64" s="107" t="s">
        <v>153</v>
      </c>
      <c r="E64" s="107">
        <v>8</v>
      </c>
      <c r="F64" s="56">
        <f>ROUND(I64/Прил.10!$D$13,2)</f>
        <v>788052.32</v>
      </c>
      <c r="G64" s="50">
        <f>E64*F64</f>
        <v>6304418.5599999996</v>
      </c>
      <c r="H64" s="110">
        <f t="shared" si="6"/>
        <v>0.25357186049351982</v>
      </c>
      <c r="I64" s="56">
        <v>4933207.55</v>
      </c>
      <c r="J64" s="56">
        <f>ROUND(I64*E64,2)</f>
        <v>39465660.399999999</v>
      </c>
      <c r="K64" s="79"/>
      <c r="L64" s="79"/>
      <c r="M64" s="79"/>
      <c r="N64" s="79"/>
    </row>
    <row r="65" spans="1:14" ht="38.25" x14ac:dyDescent="0.25">
      <c r="A65" s="107">
        <v>44</v>
      </c>
      <c r="B65" s="66" t="s">
        <v>427</v>
      </c>
      <c r="C65" s="64" t="s">
        <v>428</v>
      </c>
      <c r="D65" s="107" t="s">
        <v>150</v>
      </c>
      <c r="E65" s="107">
        <v>8</v>
      </c>
      <c r="F65" s="56">
        <f>ROUND(I65/Прил.10!$D$13,2)</f>
        <v>405750.8</v>
      </c>
      <c r="G65" s="50">
        <f>E65*F65</f>
        <v>3246006.4</v>
      </c>
      <c r="H65" s="110">
        <f t="shared" si="6"/>
        <v>0.13055857160947645</v>
      </c>
      <c r="I65" s="56">
        <v>2540000</v>
      </c>
      <c r="J65" s="56">
        <f>ROUND(I65*E65,2)</f>
        <v>20320000</v>
      </c>
      <c r="K65" s="79"/>
      <c r="L65" s="79"/>
      <c r="M65" s="79"/>
      <c r="N65" s="79"/>
    </row>
    <row r="66" spans="1:14" ht="25.5" x14ac:dyDescent="0.25">
      <c r="A66" s="107">
        <v>45</v>
      </c>
      <c r="B66" s="66" t="s">
        <v>425</v>
      </c>
      <c r="C66" s="64" t="s">
        <v>429</v>
      </c>
      <c r="D66" s="107" t="s">
        <v>156</v>
      </c>
      <c r="E66" s="107">
        <v>3</v>
      </c>
      <c r="F66" s="56">
        <f>ROUND(I66/Прил.10!$D$13,2)</f>
        <v>788052.32</v>
      </c>
      <c r="G66" s="50">
        <f>E66*F66</f>
        <v>2364156.96</v>
      </c>
      <c r="H66" s="110">
        <f t="shared" si="6"/>
        <v>9.5089447685069925E-2</v>
      </c>
      <c r="I66" s="56">
        <v>4933207.55</v>
      </c>
      <c r="J66" s="56">
        <f>ROUND(I66*E66,2)</f>
        <v>14799622.65</v>
      </c>
      <c r="K66" s="79"/>
      <c r="L66" s="79"/>
      <c r="M66" s="79"/>
      <c r="N66" s="79"/>
    </row>
    <row r="67" spans="1:14" x14ac:dyDescent="0.25">
      <c r="A67" s="107"/>
      <c r="B67" s="107"/>
      <c r="C67" s="106" t="s">
        <v>430</v>
      </c>
      <c r="D67" s="107"/>
      <c r="E67" s="57"/>
      <c r="F67" s="56"/>
      <c r="G67" s="56">
        <f>SUM(G62:G66)</f>
        <v>23797394.859999999</v>
      </c>
      <c r="H67" s="110">
        <f t="shared" si="6"/>
        <v>0.95716197015147508</v>
      </c>
      <c r="I67" s="56"/>
      <c r="J67" s="56">
        <f>SUM(J62:J66)</f>
        <v>148971693.05000001</v>
      </c>
      <c r="K67" s="30"/>
      <c r="L67" s="79"/>
      <c r="M67" s="79"/>
      <c r="N67" s="79"/>
    </row>
    <row r="68" spans="1:14" ht="25.5" x14ac:dyDescent="0.25">
      <c r="A68" s="107">
        <v>46</v>
      </c>
      <c r="B68" s="66" t="s">
        <v>431</v>
      </c>
      <c r="C68" s="106" t="s">
        <v>432</v>
      </c>
      <c r="D68" s="107" t="s">
        <v>150</v>
      </c>
      <c r="E68" s="107">
        <v>6</v>
      </c>
      <c r="F68" s="56">
        <f>ROUND(I68/Прил.10!$D$13,2)</f>
        <v>143749.35999999999</v>
      </c>
      <c r="G68" s="49">
        <f>E68*F68</f>
        <v>862496.15999999992</v>
      </c>
      <c r="H68" s="110">
        <f t="shared" si="6"/>
        <v>3.469070999621518E-2</v>
      </c>
      <c r="I68" s="56">
        <v>899871</v>
      </c>
      <c r="J68" s="56">
        <f>ROUND(I68*E68,2)</f>
        <v>5399226</v>
      </c>
      <c r="K68" s="30"/>
      <c r="L68" s="79"/>
      <c r="M68" s="79"/>
      <c r="N68" s="79"/>
    </row>
    <row r="69" spans="1:14" x14ac:dyDescent="0.25">
      <c r="A69" s="107">
        <v>47</v>
      </c>
      <c r="B69" s="66" t="s">
        <v>433</v>
      </c>
      <c r="C69" s="106" t="s">
        <v>158</v>
      </c>
      <c r="D69" s="107" t="s">
        <v>159</v>
      </c>
      <c r="E69" s="107">
        <v>12</v>
      </c>
      <c r="F69" s="56">
        <f>ROUND(I69/Прил.10!$D$13,2)</f>
        <v>7346.65</v>
      </c>
      <c r="G69" s="49">
        <f>E69*F69</f>
        <v>88159.799999999988</v>
      </c>
      <c r="H69" s="110">
        <f t="shared" si="6"/>
        <v>3.5459010682718068E-3</v>
      </c>
      <c r="I69" s="56">
        <v>45990</v>
      </c>
      <c r="J69" s="56">
        <f>ROUND(I69*E69,2)</f>
        <v>551880</v>
      </c>
      <c r="K69" s="30"/>
      <c r="L69" s="79"/>
      <c r="M69" s="79"/>
      <c r="N69" s="79"/>
    </row>
    <row r="70" spans="1:14" ht="38.25" x14ac:dyDescent="0.25">
      <c r="A70" s="107">
        <v>48</v>
      </c>
      <c r="B70" s="66" t="s">
        <v>434</v>
      </c>
      <c r="C70" s="106" t="s">
        <v>435</v>
      </c>
      <c r="D70" s="107" t="s">
        <v>150</v>
      </c>
      <c r="E70" s="107">
        <v>8</v>
      </c>
      <c r="F70" s="56">
        <f>ROUND(I70/Прил.10!$D$13,2)</f>
        <v>14300.32</v>
      </c>
      <c r="G70" s="49">
        <f>E70*F70</f>
        <v>114402.56</v>
      </c>
      <c r="H70" s="110">
        <f t="shared" si="6"/>
        <v>4.6014187840379573E-3</v>
      </c>
      <c r="I70" s="56">
        <v>89520</v>
      </c>
      <c r="J70" s="56">
        <f>ROUND(I70*E70,2)</f>
        <v>716160</v>
      </c>
      <c r="K70" s="30"/>
      <c r="L70" s="79"/>
      <c r="M70" s="79"/>
      <c r="N70" s="79"/>
    </row>
    <row r="71" spans="1:14" x14ac:dyDescent="0.25">
      <c r="A71" s="107"/>
      <c r="B71" s="107"/>
      <c r="C71" s="106" t="s">
        <v>436</v>
      </c>
      <c r="D71" s="107"/>
      <c r="E71" s="108"/>
      <c r="F71" s="109"/>
      <c r="G71" s="56">
        <f>SUM(G68:G70)</f>
        <v>1065058.52</v>
      </c>
      <c r="H71" s="110">
        <f t="shared" si="6"/>
        <v>4.2838029848524951E-2</v>
      </c>
      <c r="I71" s="56"/>
      <c r="J71" s="56">
        <f>SUM(J68:J70)</f>
        <v>6667266</v>
      </c>
      <c r="K71" s="30"/>
      <c r="L71" s="79"/>
      <c r="M71" s="79"/>
      <c r="N71" s="79"/>
    </row>
    <row r="72" spans="1:14" x14ac:dyDescent="0.25">
      <c r="A72" s="107"/>
      <c r="B72" s="107"/>
      <c r="C72" s="101" t="s">
        <v>437</v>
      </c>
      <c r="D72" s="107"/>
      <c r="E72" s="108"/>
      <c r="F72" s="109"/>
      <c r="G72" s="56">
        <f>G67+G71</f>
        <v>24862453.379999999</v>
      </c>
      <c r="H72" s="110">
        <f>(G67+G71)/G72</f>
        <v>1</v>
      </c>
      <c r="I72" s="56"/>
      <c r="J72" s="56">
        <f>J67+J71</f>
        <v>155638959.05000001</v>
      </c>
      <c r="K72" s="30"/>
      <c r="L72" s="79"/>
      <c r="M72" s="79"/>
      <c r="N72" s="79"/>
    </row>
    <row r="73" spans="1:14" x14ac:dyDescent="0.25">
      <c r="A73" s="107"/>
      <c r="B73" s="107"/>
      <c r="C73" s="106" t="s">
        <v>438</v>
      </c>
      <c r="D73" s="107"/>
      <c r="E73" s="108"/>
      <c r="F73" s="109"/>
      <c r="G73" s="56">
        <f>'Прил.6 Расчет ОБ'!G20</f>
        <v>24862453.379999999</v>
      </c>
      <c r="H73" s="110">
        <f>G73/$G$72</f>
        <v>1</v>
      </c>
      <c r="I73" s="56"/>
      <c r="J73" s="56">
        <f>ROUND(G73*Прил.10!$D$13,2)</f>
        <v>155638958.16</v>
      </c>
      <c r="K73" s="30"/>
      <c r="L73" s="79"/>
      <c r="M73" s="79"/>
      <c r="N73" s="79"/>
    </row>
    <row r="74" spans="1:14" x14ac:dyDescent="0.25">
      <c r="A74" s="107"/>
      <c r="B74" s="125" t="s">
        <v>161</v>
      </c>
      <c r="J74" s="126"/>
      <c r="K74" s="30"/>
    </row>
    <row r="75" spans="1:14" x14ac:dyDescent="0.25">
      <c r="A75" s="107"/>
      <c r="B75" s="106" t="s">
        <v>439</v>
      </c>
      <c r="C75" s="119"/>
      <c r="D75" s="119"/>
      <c r="E75" s="119"/>
      <c r="F75" s="119"/>
      <c r="G75" s="119"/>
      <c r="H75" s="120"/>
      <c r="I75" s="110"/>
      <c r="J75" s="110"/>
    </row>
    <row r="76" spans="1:14" ht="25.5" x14ac:dyDescent="0.25">
      <c r="A76" s="107">
        <v>49</v>
      </c>
      <c r="B76" s="66" t="s">
        <v>162</v>
      </c>
      <c r="C76" s="55" t="s">
        <v>163</v>
      </c>
      <c r="D76" s="66" t="s">
        <v>164</v>
      </c>
      <c r="E76" s="107">
        <v>509</v>
      </c>
      <c r="F76" s="56">
        <v>5337.26</v>
      </c>
      <c r="G76" s="50">
        <f t="shared" ref="G76:G83" si="7">E76*F76</f>
        <v>2716665.3400000003</v>
      </c>
      <c r="H76" s="110">
        <f t="shared" ref="H76:H107" si="8">G76/$G$177</f>
        <v>0.49993394503250904</v>
      </c>
      <c r="I76" s="56">
        <f>ROUND(F76*Прил.10!$D$12,2)</f>
        <v>42911.57</v>
      </c>
      <c r="J76" s="56">
        <f t="shared" ref="J76:J83" si="9">ROUND(I76*E76,2)</f>
        <v>21841989.129999999</v>
      </c>
    </row>
    <row r="77" spans="1:14" x14ac:dyDescent="0.25">
      <c r="A77" s="107">
        <f t="shared" ref="A77:A83" si="10">A76+1</f>
        <v>50</v>
      </c>
      <c r="B77" s="66" t="s">
        <v>165</v>
      </c>
      <c r="C77" s="55" t="s">
        <v>166</v>
      </c>
      <c r="D77" s="66" t="s">
        <v>167</v>
      </c>
      <c r="E77" s="107">
        <v>55.545299999999997</v>
      </c>
      <c r="F77" s="56">
        <v>12500</v>
      </c>
      <c r="G77" s="50">
        <f t="shared" si="7"/>
        <v>694316.25</v>
      </c>
      <c r="H77" s="110">
        <f t="shared" si="8"/>
        <v>0.12777144716790098</v>
      </c>
      <c r="I77" s="56">
        <f>ROUND(F77*Прил.10!$D$12,2)</f>
        <v>100500</v>
      </c>
      <c r="J77" s="56">
        <f t="shared" si="9"/>
        <v>5582302.6500000004</v>
      </c>
    </row>
    <row r="78" spans="1:14" ht="25.5" x14ac:dyDescent="0.25">
      <c r="A78" s="107">
        <f t="shared" si="10"/>
        <v>51</v>
      </c>
      <c r="B78" s="66" t="s">
        <v>168</v>
      </c>
      <c r="C78" s="55" t="s">
        <v>169</v>
      </c>
      <c r="D78" s="66" t="s">
        <v>164</v>
      </c>
      <c r="E78" s="107">
        <v>509</v>
      </c>
      <c r="F78" s="56">
        <v>700</v>
      </c>
      <c r="G78" s="50">
        <f t="shared" si="7"/>
        <v>356300</v>
      </c>
      <c r="H78" s="110">
        <f t="shared" si="8"/>
        <v>6.5568055804430786E-2</v>
      </c>
      <c r="I78" s="56">
        <f>ROUND(F78*Прил.10!$D$12,2)</f>
        <v>5628</v>
      </c>
      <c r="J78" s="56">
        <f t="shared" si="9"/>
        <v>2864652</v>
      </c>
    </row>
    <row r="79" spans="1:14" x14ac:dyDescent="0.25">
      <c r="A79" s="107">
        <f t="shared" si="10"/>
        <v>52</v>
      </c>
      <c r="B79" s="66" t="s">
        <v>170</v>
      </c>
      <c r="C79" s="55" t="s">
        <v>171</v>
      </c>
      <c r="D79" s="66" t="s">
        <v>167</v>
      </c>
      <c r="E79" s="107">
        <v>23.92</v>
      </c>
      <c r="F79" s="56">
        <v>12500</v>
      </c>
      <c r="G79" s="50">
        <f t="shared" si="7"/>
        <v>299000</v>
      </c>
      <c r="H79" s="110">
        <f t="shared" si="8"/>
        <v>5.5023431618088148E-2</v>
      </c>
      <c r="I79" s="56">
        <f>ROUND(F79*Прил.10!$D$12,2)</f>
        <v>100500</v>
      </c>
      <c r="J79" s="56">
        <f t="shared" si="9"/>
        <v>2403960</v>
      </c>
    </row>
    <row r="80" spans="1:14" x14ac:dyDescent="0.25">
      <c r="A80" s="107">
        <f t="shared" si="10"/>
        <v>53</v>
      </c>
      <c r="B80" s="66" t="s">
        <v>172</v>
      </c>
      <c r="C80" s="55" t="s">
        <v>173</v>
      </c>
      <c r="D80" s="66" t="s">
        <v>150</v>
      </c>
      <c r="E80" s="107">
        <v>36</v>
      </c>
      <c r="F80" s="56">
        <v>5240.6000000000004</v>
      </c>
      <c r="G80" s="50">
        <f t="shared" si="7"/>
        <v>188661.6</v>
      </c>
      <c r="H80" s="110">
        <f t="shared" si="8"/>
        <v>3.4718423567087285E-2</v>
      </c>
      <c r="I80" s="56">
        <f>ROUND(F80*Прил.10!$D$12,2)</f>
        <v>42134.42</v>
      </c>
      <c r="J80" s="56">
        <f t="shared" si="9"/>
        <v>1516839.12</v>
      </c>
    </row>
    <row r="81" spans="1:11" ht="25.5" x14ac:dyDescent="0.25">
      <c r="A81" s="107">
        <f t="shared" si="10"/>
        <v>54</v>
      </c>
      <c r="B81" s="66" t="s">
        <v>174</v>
      </c>
      <c r="C81" s="55" t="s">
        <v>175</v>
      </c>
      <c r="D81" s="66" t="s">
        <v>167</v>
      </c>
      <c r="E81" s="107">
        <v>4.9072199999999997</v>
      </c>
      <c r="F81" s="56">
        <v>32758.86</v>
      </c>
      <c r="G81" s="50">
        <f t="shared" si="7"/>
        <v>160754.93296919999</v>
      </c>
      <c r="H81" s="110">
        <f t="shared" si="8"/>
        <v>2.9582903215722808E-2</v>
      </c>
      <c r="I81" s="56">
        <f>ROUND(F81*Прил.10!$D$12,2)</f>
        <v>263381.23</v>
      </c>
      <c r="J81" s="56">
        <f t="shared" si="9"/>
        <v>1292469.6399999999</v>
      </c>
    </row>
    <row r="82" spans="1:11" x14ac:dyDescent="0.25">
      <c r="A82" s="107">
        <f t="shared" si="10"/>
        <v>55</v>
      </c>
      <c r="B82" s="66" t="s">
        <v>176</v>
      </c>
      <c r="C82" s="55" t="s">
        <v>177</v>
      </c>
      <c r="D82" s="66" t="s">
        <v>150</v>
      </c>
      <c r="E82" s="107">
        <v>254.89</v>
      </c>
      <c r="F82" s="56">
        <v>597</v>
      </c>
      <c r="G82" s="50">
        <f t="shared" si="7"/>
        <v>152169.32999999999</v>
      </c>
      <c r="H82" s="110">
        <f t="shared" si="8"/>
        <v>2.8002938875000966E-2</v>
      </c>
      <c r="I82" s="56">
        <f>ROUND(F82*Прил.10!$D$12,2)</f>
        <v>4799.88</v>
      </c>
      <c r="J82" s="56">
        <f t="shared" si="9"/>
        <v>1223441.4099999999</v>
      </c>
    </row>
    <row r="83" spans="1:11" ht="25.5" x14ac:dyDescent="0.25">
      <c r="A83" s="107">
        <f t="shared" si="10"/>
        <v>56</v>
      </c>
      <c r="B83" s="108" t="s">
        <v>440</v>
      </c>
      <c r="C83" s="106" t="s">
        <v>441</v>
      </c>
      <c r="D83" s="107" t="s">
        <v>150</v>
      </c>
      <c r="E83" s="65">
        <v>330</v>
      </c>
      <c r="F83" s="56">
        <v>317.02</v>
      </c>
      <c r="G83" s="50">
        <f t="shared" si="7"/>
        <v>104616.59999999999</v>
      </c>
      <c r="H83" s="110">
        <f t="shared" si="8"/>
        <v>1.9252054636176855E-2</v>
      </c>
      <c r="I83" s="56">
        <f>ROUND(F83*Прил.10!$D$12,2)</f>
        <v>2548.84</v>
      </c>
      <c r="J83" s="56">
        <f t="shared" si="9"/>
        <v>841117.2</v>
      </c>
    </row>
    <row r="84" spans="1:11" x14ac:dyDescent="0.25">
      <c r="A84" s="107"/>
      <c r="B84" s="107"/>
      <c r="C84" s="106" t="s">
        <v>442</v>
      </c>
      <c r="D84" s="107"/>
      <c r="E84" s="57"/>
      <c r="F84" s="56"/>
      <c r="G84" s="56">
        <f>SUM(G76:G83)</f>
        <v>4672484.0529692005</v>
      </c>
      <c r="H84" s="110">
        <f t="shared" si="8"/>
        <v>0.85985319991691689</v>
      </c>
      <c r="I84" s="56"/>
      <c r="J84" s="56">
        <f>SUM(J76:J83)</f>
        <v>37566771.149999999</v>
      </c>
      <c r="K84" s="30"/>
    </row>
    <row r="85" spans="1:11" x14ac:dyDescent="0.25">
      <c r="A85" s="107">
        <v>57</v>
      </c>
      <c r="B85" s="66" t="s">
        <v>178</v>
      </c>
      <c r="C85" s="55" t="s">
        <v>179</v>
      </c>
      <c r="D85" s="66" t="s">
        <v>167</v>
      </c>
      <c r="E85" s="66">
        <v>13</v>
      </c>
      <c r="F85" s="56">
        <v>8200</v>
      </c>
      <c r="G85" s="50">
        <f>Прил.3!H83</f>
        <v>106600</v>
      </c>
      <c r="H85" s="110">
        <f t="shared" si="8"/>
        <v>1.9617049533405338E-2</v>
      </c>
      <c r="I85" s="56">
        <f>ROUND(F85*Прил.10!$D$12,2)</f>
        <v>65928</v>
      </c>
      <c r="J85" s="56">
        <f t="shared" ref="J85:J116" si="11">ROUND(I85*E85,2)</f>
        <v>857064</v>
      </c>
    </row>
    <row r="86" spans="1:11" ht="38.25" x14ac:dyDescent="0.25">
      <c r="A86" s="107">
        <v>58</v>
      </c>
      <c r="B86" s="66" t="s">
        <v>180</v>
      </c>
      <c r="C86" s="55" t="s">
        <v>181</v>
      </c>
      <c r="D86" s="66" t="s">
        <v>167</v>
      </c>
      <c r="E86" s="66">
        <v>6.5226810000000004</v>
      </c>
      <c r="F86" s="56">
        <v>11879.77</v>
      </c>
      <c r="G86" s="50">
        <f t="shared" ref="G86:G117" si="12">E86*F86</f>
        <v>77487.950063370008</v>
      </c>
      <c r="H86" s="110">
        <f t="shared" si="8"/>
        <v>1.4259708767684511E-2</v>
      </c>
      <c r="I86" s="56">
        <f>ROUND(F86*Прил.10!$D$12,2)</f>
        <v>95513.35</v>
      </c>
      <c r="J86" s="56">
        <f t="shared" si="11"/>
        <v>623003.11</v>
      </c>
    </row>
    <row r="87" spans="1:11" ht="38.25" x14ac:dyDescent="0.25">
      <c r="A87" s="107">
        <v>59</v>
      </c>
      <c r="B87" s="66" t="s">
        <v>182</v>
      </c>
      <c r="C87" s="55" t="s">
        <v>183</v>
      </c>
      <c r="D87" s="66" t="s">
        <v>159</v>
      </c>
      <c r="E87" s="66">
        <v>192</v>
      </c>
      <c r="F87" s="56">
        <v>389.85</v>
      </c>
      <c r="G87" s="50">
        <f t="shared" si="12"/>
        <v>74851.200000000012</v>
      </c>
      <c r="H87" s="110">
        <f t="shared" si="8"/>
        <v>1.377448121983893E-2</v>
      </c>
      <c r="I87" s="56">
        <f>ROUND(F87*Прил.10!$D$12,2)</f>
        <v>3134.39</v>
      </c>
      <c r="J87" s="56">
        <f t="shared" si="11"/>
        <v>601802.88</v>
      </c>
    </row>
    <row r="88" spans="1:11" x14ac:dyDescent="0.25">
      <c r="A88" s="107">
        <v>60</v>
      </c>
      <c r="B88" s="66" t="s">
        <v>184</v>
      </c>
      <c r="C88" s="55" t="s">
        <v>185</v>
      </c>
      <c r="D88" s="66" t="s">
        <v>159</v>
      </c>
      <c r="E88" s="66">
        <v>1325</v>
      </c>
      <c r="F88" s="56">
        <v>51.5</v>
      </c>
      <c r="G88" s="50">
        <f t="shared" si="12"/>
        <v>68237.5</v>
      </c>
      <c r="H88" s="110">
        <f t="shared" si="8"/>
        <v>1.2557396036920703E-2</v>
      </c>
      <c r="I88" s="56">
        <f>ROUND(F88*Прил.10!$D$12,2)</f>
        <v>414.06</v>
      </c>
      <c r="J88" s="56">
        <f t="shared" si="11"/>
        <v>548629.5</v>
      </c>
    </row>
    <row r="89" spans="1:11" ht="25.5" x14ac:dyDescent="0.25">
      <c r="A89" s="107">
        <v>61</v>
      </c>
      <c r="B89" s="66" t="s">
        <v>186</v>
      </c>
      <c r="C89" s="55" t="s">
        <v>187</v>
      </c>
      <c r="D89" s="66" t="s">
        <v>167</v>
      </c>
      <c r="E89" s="66">
        <v>5.67</v>
      </c>
      <c r="F89" s="56">
        <v>9800</v>
      </c>
      <c r="G89" s="50">
        <f t="shared" si="12"/>
        <v>55566</v>
      </c>
      <c r="H89" s="110">
        <f t="shared" si="8"/>
        <v>1.0225525087928716E-2</v>
      </c>
      <c r="I89" s="56">
        <f>ROUND(F89*Прил.10!$D$12,2)</f>
        <v>78792</v>
      </c>
      <c r="J89" s="56">
        <f t="shared" si="11"/>
        <v>446750.64</v>
      </c>
    </row>
    <row r="90" spans="1:11" x14ac:dyDescent="0.25">
      <c r="A90" s="107">
        <v>62</v>
      </c>
      <c r="B90" s="66" t="s">
        <v>188</v>
      </c>
      <c r="C90" s="55" t="s">
        <v>189</v>
      </c>
      <c r="D90" s="66" t="s">
        <v>159</v>
      </c>
      <c r="E90" s="66">
        <v>192</v>
      </c>
      <c r="F90" s="56">
        <v>248.78</v>
      </c>
      <c r="G90" s="50">
        <f t="shared" si="12"/>
        <v>47765.760000000002</v>
      </c>
      <c r="H90" s="110">
        <f t="shared" si="8"/>
        <v>8.7900870536655861E-3</v>
      </c>
      <c r="I90" s="56">
        <f>ROUND(F90*Прил.10!$D$12,2)</f>
        <v>2000.19</v>
      </c>
      <c r="J90" s="56">
        <f t="shared" si="11"/>
        <v>384036.48</v>
      </c>
    </row>
    <row r="91" spans="1:11" ht="25.5" x14ac:dyDescent="0.25">
      <c r="A91" s="107">
        <v>63</v>
      </c>
      <c r="B91" s="66" t="s">
        <v>190</v>
      </c>
      <c r="C91" s="55" t="s">
        <v>191</v>
      </c>
      <c r="D91" s="66" t="s">
        <v>167</v>
      </c>
      <c r="E91" s="66">
        <v>1.4730000000000001</v>
      </c>
      <c r="F91" s="56">
        <v>30090</v>
      </c>
      <c r="G91" s="50">
        <f t="shared" si="12"/>
        <v>44322.57</v>
      </c>
      <c r="H91" s="110">
        <f t="shared" si="8"/>
        <v>8.1564545134880442E-3</v>
      </c>
      <c r="I91" s="56">
        <f>ROUND(F91*Прил.10!$D$12,2)</f>
        <v>241923.6</v>
      </c>
      <c r="J91" s="56">
        <f t="shared" si="11"/>
        <v>356353.46</v>
      </c>
    </row>
    <row r="92" spans="1:11" x14ac:dyDescent="0.25">
      <c r="A92" s="107">
        <v>64</v>
      </c>
      <c r="B92" s="66" t="s">
        <v>192</v>
      </c>
      <c r="C92" s="55" t="s">
        <v>193</v>
      </c>
      <c r="D92" s="66" t="s">
        <v>159</v>
      </c>
      <c r="E92" s="66">
        <v>476</v>
      </c>
      <c r="F92" s="56">
        <v>66.680000000000007</v>
      </c>
      <c r="G92" s="50">
        <f t="shared" si="12"/>
        <v>31739.680000000004</v>
      </c>
      <c r="H92" s="110">
        <f t="shared" si="8"/>
        <v>5.8408900068896326E-3</v>
      </c>
      <c r="I92" s="56">
        <f>ROUND(F92*Прил.10!$D$12,2)</f>
        <v>536.11</v>
      </c>
      <c r="J92" s="56">
        <f t="shared" si="11"/>
        <v>255188.36</v>
      </c>
    </row>
    <row r="93" spans="1:11" x14ac:dyDescent="0.25">
      <c r="A93" s="107">
        <v>65</v>
      </c>
      <c r="B93" s="66" t="s">
        <v>443</v>
      </c>
      <c r="C93" s="106" t="s">
        <v>444</v>
      </c>
      <c r="D93" s="107" t="s">
        <v>299</v>
      </c>
      <c r="E93" s="57">
        <v>3.96</v>
      </c>
      <c r="F93" s="56">
        <v>6080</v>
      </c>
      <c r="G93" s="50">
        <f t="shared" si="12"/>
        <v>24076.799999999999</v>
      </c>
      <c r="H93" s="110">
        <f t="shared" si="8"/>
        <v>4.4307296266969387E-3</v>
      </c>
      <c r="I93" s="56">
        <f>ROUND(F93*Прил.10!$D$12,2)</f>
        <v>48883.199999999997</v>
      </c>
      <c r="J93" s="56">
        <f t="shared" si="11"/>
        <v>193577.47</v>
      </c>
    </row>
    <row r="94" spans="1:11" ht="63.75" x14ac:dyDescent="0.25">
      <c r="A94" s="107">
        <v>66</v>
      </c>
      <c r="B94" s="66" t="s">
        <v>194</v>
      </c>
      <c r="C94" s="55" t="s">
        <v>195</v>
      </c>
      <c r="D94" s="66" t="s">
        <v>167</v>
      </c>
      <c r="E94" s="66">
        <v>0.31227300000000002</v>
      </c>
      <c r="F94" s="56">
        <v>67803.98</v>
      </c>
      <c r="G94" s="50">
        <f t="shared" si="12"/>
        <v>21173.352246540002</v>
      </c>
      <c r="H94" s="110">
        <f t="shared" si="8"/>
        <v>3.8964230751277152E-3</v>
      </c>
      <c r="I94" s="56">
        <f>ROUND(F94*Прил.10!$D$12,2)</f>
        <v>545144</v>
      </c>
      <c r="J94" s="56">
        <f t="shared" si="11"/>
        <v>170233.75</v>
      </c>
    </row>
    <row r="95" spans="1:11" x14ac:dyDescent="0.25">
      <c r="A95" s="107">
        <v>67</v>
      </c>
      <c r="B95" s="66" t="s">
        <v>196</v>
      </c>
      <c r="C95" s="55" t="s">
        <v>197</v>
      </c>
      <c r="D95" s="66" t="s">
        <v>198</v>
      </c>
      <c r="E95" s="66">
        <v>82</v>
      </c>
      <c r="F95" s="56">
        <v>238.48</v>
      </c>
      <c r="G95" s="50">
        <f t="shared" si="12"/>
        <v>19555.36</v>
      </c>
      <c r="H95" s="110">
        <f t="shared" si="8"/>
        <v>3.5986722867126964E-3</v>
      </c>
      <c r="I95" s="56">
        <f>ROUND(F95*Прил.10!$D$12,2)</f>
        <v>1917.38</v>
      </c>
      <c r="J95" s="56">
        <f t="shared" si="11"/>
        <v>157225.16</v>
      </c>
    </row>
    <row r="96" spans="1:11" x14ac:dyDescent="0.25">
      <c r="A96" s="107">
        <v>68</v>
      </c>
      <c r="B96" s="66" t="s">
        <v>199</v>
      </c>
      <c r="C96" s="55" t="s">
        <v>200</v>
      </c>
      <c r="D96" s="66" t="s">
        <v>159</v>
      </c>
      <c r="E96" s="66">
        <v>87</v>
      </c>
      <c r="F96" s="56">
        <v>194.37</v>
      </c>
      <c r="G96" s="50">
        <f t="shared" si="12"/>
        <v>16910.189999999999</v>
      </c>
      <c r="H96" s="110">
        <f t="shared" si="8"/>
        <v>3.1118952612504279E-3</v>
      </c>
      <c r="I96" s="56">
        <f>ROUND(F96*Прил.10!$D$12,2)</f>
        <v>1562.73</v>
      </c>
      <c r="J96" s="56">
        <f t="shared" si="11"/>
        <v>135957.51</v>
      </c>
    </row>
    <row r="97" spans="1:10" ht="51" x14ac:dyDescent="0.25">
      <c r="A97" s="107">
        <v>69</v>
      </c>
      <c r="B97" s="66" t="s">
        <v>201</v>
      </c>
      <c r="C97" s="55" t="s">
        <v>202</v>
      </c>
      <c r="D97" s="66" t="s">
        <v>167</v>
      </c>
      <c r="E97" s="66">
        <v>1.5449999999999999</v>
      </c>
      <c r="F97" s="56">
        <v>10508</v>
      </c>
      <c r="G97" s="50">
        <f t="shared" si="12"/>
        <v>16234.859999999999</v>
      </c>
      <c r="H97" s="110">
        <f t="shared" si="8"/>
        <v>2.9876177559840619E-3</v>
      </c>
      <c r="I97" s="56">
        <f>ROUND(F97*Прил.10!$D$12,2)</f>
        <v>84484.32</v>
      </c>
      <c r="J97" s="56">
        <f t="shared" si="11"/>
        <v>130528.27</v>
      </c>
    </row>
    <row r="98" spans="1:10" x14ac:dyDescent="0.25">
      <c r="A98" s="107">
        <v>70</v>
      </c>
      <c r="B98" s="66" t="s">
        <v>203</v>
      </c>
      <c r="C98" s="55" t="s">
        <v>204</v>
      </c>
      <c r="D98" s="66" t="s">
        <v>159</v>
      </c>
      <c r="E98" s="66">
        <v>221</v>
      </c>
      <c r="F98" s="56">
        <v>66.819999999999993</v>
      </c>
      <c r="G98" s="50">
        <f t="shared" si="12"/>
        <v>14767.22</v>
      </c>
      <c r="H98" s="110">
        <f t="shared" si="8"/>
        <v>2.7175355179239586E-3</v>
      </c>
      <c r="I98" s="56">
        <f>ROUND(F98*Прил.10!$D$12,2)</f>
        <v>537.23</v>
      </c>
      <c r="J98" s="56">
        <f t="shared" si="11"/>
        <v>118727.83</v>
      </c>
    </row>
    <row r="99" spans="1:10" x14ac:dyDescent="0.25">
      <c r="A99" s="107">
        <v>71</v>
      </c>
      <c r="B99" s="66" t="s">
        <v>205</v>
      </c>
      <c r="C99" s="55" t="s">
        <v>206</v>
      </c>
      <c r="D99" s="66" t="s">
        <v>159</v>
      </c>
      <c r="E99" s="66">
        <v>320</v>
      </c>
      <c r="F99" s="56">
        <v>36.61</v>
      </c>
      <c r="G99" s="50">
        <f t="shared" si="12"/>
        <v>11715.2</v>
      </c>
      <c r="H99" s="110">
        <f t="shared" si="8"/>
        <v>2.1558879802415594E-3</v>
      </c>
      <c r="I99" s="56">
        <f>ROUND(F99*Прил.10!$D$12,2)</f>
        <v>294.33999999999997</v>
      </c>
      <c r="J99" s="56">
        <f t="shared" si="11"/>
        <v>94188.800000000003</v>
      </c>
    </row>
    <row r="100" spans="1:10" ht="25.5" x14ac:dyDescent="0.25">
      <c r="A100" s="107">
        <v>72</v>
      </c>
      <c r="B100" s="66" t="s">
        <v>207</v>
      </c>
      <c r="C100" s="55" t="s">
        <v>208</v>
      </c>
      <c r="D100" s="66" t="s">
        <v>167</v>
      </c>
      <c r="E100" s="66">
        <v>0.93700000000000006</v>
      </c>
      <c r="F100" s="56">
        <v>11500</v>
      </c>
      <c r="G100" s="50">
        <f t="shared" si="12"/>
        <v>10775.5</v>
      </c>
      <c r="H100" s="110">
        <f t="shared" si="8"/>
        <v>1.9829598240826384E-3</v>
      </c>
      <c r="I100" s="56">
        <f>ROUND(F100*Прил.10!$D$12,2)</f>
        <v>92460</v>
      </c>
      <c r="J100" s="56">
        <f t="shared" si="11"/>
        <v>86635.02</v>
      </c>
    </row>
    <row r="101" spans="1:10" x14ac:dyDescent="0.25">
      <c r="A101" s="107">
        <v>73</v>
      </c>
      <c r="B101" s="66" t="s">
        <v>209</v>
      </c>
      <c r="C101" s="55" t="s">
        <v>210</v>
      </c>
      <c r="D101" s="66" t="s">
        <v>167</v>
      </c>
      <c r="E101" s="66">
        <v>1.37788</v>
      </c>
      <c r="F101" s="56">
        <v>7396.23</v>
      </c>
      <c r="G101" s="50">
        <f t="shared" si="12"/>
        <v>10191.1173924</v>
      </c>
      <c r="H101" s="110">
        <f t="shared" si="8"/>
        <v>1.8754188995071244E-3</v>
      </c>
      <c r="I101" s="56">
        <f>ROUND(F101*Прил.10!$D$12,2)</f>
        <v>59465.69</v>
      </c>
      <c r="J101" s="56">
        <f t="shared" si="11"/>
        <v>81936.58</v>
      </c>
    </row>
    <row r="102" spans="1:10" ht="51" x14ac:dyDescent="0.25">
      <c r="A102" s="107">
        <v>74</v>
      </c>
      <c r="B102" s="66" t="s">
        <v>211</v>
      </c>
      <c r="C102" s="55" t="s">
        <v>212</v>
      </c>
      <c r="D102" s="66" t="s">
        <v>167</v>
      </c>
      <c r="E102" s="66">
        <v>1.298</v>
      </c>
      <c r="F102" s="56">
        <v>7712</v>
      </c>
      <c r="G102" s="50">
        <f t="shared" si="12"/>
        <v>10010.175999999999</v>
      </c>
      <c r="H102" s="110">
        <f t="shared" si="8"/>
        <v>1.8421211860235021E-3</v>
      </c>
      <c r="I102" s="56">
        <f>ROUND(F102*Прил.10!$D$12,2)</f>
        <v>62004.480000000003</v>
      </c>
      <c r="J102" s="56">
        <f t="shared" si="11"/>
        <v>80481.820000000007</v>
      </c>
    </row>
    <row r="103" spans="1:10" ht="25.5" x14ac:dyDescent="0.25">
      <c r="A103" s="107">
        <v>75</v>
      </c>
      <c r="B103" s="66" t="s">
        <v>213</v>
      </c>
      <c r="C103" s="55" t="s">
        <v>214</v>
      </c>
      <c r="D103" s="66" t="s">
        <v>164</v>
      </c>
      <c r="E103" s="66">
        <v>509</v>
      </c>
      <c r="F103" s="56">
        <v>18.53</v>
      </c>
      <c r="G103" s="50">
        <f t="shared" si="12"/>
        <v>9431.77</v>
      </c>
      <c r="H103" s="110">
        <f t="shared" si="8"/>
        <v>1.7356801057944323E-3</v>
      </c>
      <c r="I103" s="56">
        <f>ROUND(F103*Прил.10!$D$12,2)</f>
        <v>148.97999999999999</v>
      </c>
      <c r="J103" s="56">
        <f t="shared" si="11"/>
        <v>75830.820000000007</v>
      </c>
    </row>
    <row r="104" spans="1:10" x14ac:dyDescent="0.25">
      <c r="A104" s="107">
        <v>76</v>
      </c>
      <c r="B104" s="66" t="s">
        <v>215</v>
      </c>
      <c r="C104" s="55" t="s">
        <v>216</v>
      </c>
      <c r="D104" s="66" t="s">
        <v>159</v>
      </c>
      <c r="E104" s="66">
        <v>127</v>
      </c>
      <c r="F104" s="56">
        <v>56.95</v>
      </c>
      <c r="G104" s="50">
        <f t="shared" si="12"/>
        <v>7232.6500000000005</v>
      </c>
      <c r="H104" s="110">
        <f t="shared" si="8"/>
        <v>1.3309873668647667E-3</v>
      </c>
      <c r="I104" s="56">
        <f>ROUND(F104*Прил.10!$D$12,2)</f>
        <v>457.88</v>
      </c>
      <c r="J104" s="56">
        <f t="shared" si="11"/>
        <v>58150.76</v>
      </c>
    </row>
    <row r="105" spans="1:10" ht="25.5" x14ac:dyDescent="0.25">
      <c r="A105" s="107">
        <v>77</v>
      </c>
      <c r="B105" s="66" t="s">
        <v>217</v>
      </c>
      <c r="C105" s="55" t="s">
        <v>218</v>
      </c>
      <c r="D105" s="66" t="s">
        <v>159</v>
      </c>
      <c r="E105" s="66">
        <v>87</v>
      </c>
      <c r="F105" s="56">
        <v>81</v>
      </c>
      <c r="G105" s="50">
        <f t="shared" si="12"/>
        <v>7047</v>
      </c>
      <c r="H105" s="110">
        <f t="shared" si="8"/>
        <v>1.2968231525507263E-3</v>
      </c>
      <c r="I105" s="56">
        <f>ROUND(F105*Прил.10!$D$12,2)</f>
        <v>651.24</v>
      </c>
      <c r="J105" s="56">
        <f t="shared" si="11"/>
        <v>56657.88</v>
      </c>
    </row>
    <row r="106" spans="1:10" x14ac:dyDescent="0.25">
      <c r="A106" s="107">
        <v>78</v>
      </c>
      <c r="B106" s="66" t="s">
        <v>219</v>
      </c>
      <c r="C106" s="55" t="s">
        <v>220</v>
      </c>
      <c r="D106" s="66" t="s">
        <v>167</v>
      </c>
      <c r="E106" s="66">
        <v>0.6714</v>
      </c>
      <c r="F106" s="56">
        <v>10315</v>
      </c>
      <c r="G106" s="50">
        <f t="shared" si="12"/>
        <v>6925.491</v>
      </c>
      <c r="H106" s="110">
        <f t="shared" si="8"/>
        <v>1.2744624764554678E-3</v>
      </c>
      <c r="I106" s="56">
        <f>ROUND(F106*Прил.10!$D$12,2)</f>
        <v>82932.600000000006</v>
      </c>
      <c r="J106" s="56">
        <f t="shared" si="11"/>
        <v>55680.95</v>
      </c>
    </row>
    <row r="107" spans="1:10" ht="25.5" x14ac:dyDescent="0.25">
      <c r="A107" s="107">
        <v>79</v>
      </c>
      <c r="B107" s="66" t="s">
        <v>221</v>
      </c>
      <c r="C107" s="55" t="s">
        <v>222</v>
      </c>
      <c r="D107" s="66" t="s">
        <v>223</v>
      </c>
      <c r="E107" s="66">
        <v>420</v>
      </c>
      <c r="F107" s="56">
        <v>13.56</v>
      </c>
      <c r="G107" s="50">
        <f t="shared" si="12"/>
        <v>5695.2</v>
      </c>
      <c r="H107" s="110">
        <f t="shared" si="8"/>
        <v>1.0480583536833967E-3</v>
      </c>
      <c r="I107" s="56">
        <f>ROUND(F107*Прил.10!$D$12,2)</f>
        <v>109.02</v>
      </c>
      <c r="J107" s="56">
        <f t="shared" si="11"/>
        <v>45788.4</v>
      </c>
    </row>
    <row r="108" spans="1:10" x14ac:dyDescent="0.25">
      <c r="A108" s="107">
        <v>80</v>
      </c>
      <c r="B108" s="66" t="s">
        <v>224</v>
      </c>
      <c r="C108" s="55" t="s">
        <v>225</v>
      </c>
      <c r="D108" s="66" t="s">
        <v>198</v>
      </c>
      <c r="E108" s="66">
        <v>553.07899999999995</v>
      </c>
      <c r="F108" s="56">
        <v>9.0399999999999991</v>
      </c>
      <c r="G108" s="50">
        <f t="shared" si="12"/>
        <v>4999.8341599999994</v>
      </c>
      <c r="H108" s="110">
        <f t="shared" ref="H108:H139" si="13">G108/$G$177</f>
        <v>9.2009375586803068E-4</v>
      </c>
      <c r="I108" s="56">
        <f>ROUND(F108*Прил.10!$D$12,2)</f>
        <v>72.680000000000007</v>
      </c>
      <c r="J108" s="56">
        <f t="shared" si="11"/>
        <v>40197.78</v>
      </c>
    </row>
    <row r="109" spans="1:10" x14ac:dyDescent="0.25">
      <c r="A109" s="107">
        <v>81</v>
      </c>
      <c r="B109" s="66" t="s">
        <v>226</v>
      </c>
      <c r="C109" s="55" t="s">
        <v>227</v>
      </c>
      <c r="D109" s="66" t="s">
        <v>198</v>
      </c>
      <c r="E109" s="66">
        <v>96</v>
      </c>
      <c r="F109" s="56">
        <v>50</v>
      </c>
      <c r="G109" s="50">
        <f t="shared" si="12"/>
        <v>4800</v>
      </c>
      <c r="H109" s="110">
        <f t="shared" si="13"/>
        <v>8.8331930356797027E-4</v>
      </c>
      <c r="I109" s="56">
        <f>ROUND(F109*Прил.10!$D$12,2)</f>
        <v>402</v>
      </c>
      <c r="J109" s="56">
        <f t="shared" si="11"/>
        <v>38592</v>
      </c>
    </row>
    <row r="110" spans="1:10" ht="25.5" x14ac:dyDescent="0.25">
      <c r="A110" s="107">
        <v>82</v>
      </c>
      <c r="B110" s="66" t="s">
        <v>228</v>
      </c>
      <c r="C110" s="55" t="s">
        <v>229</v>
      </c>
      <c r="D110" s="66" t="s">
        <v>167</v>
      </c>
      <c r="E110" s="66">
        <v>0.61377700000000002</v>
      </c>
      <c r="F110" s="56">
        <v>7571</v>
      </c>
      <c r="G110" s="50">
        <f t="shared" si="12"/>
        <v>4646.905667</v>
      </c>
      <c r="H110" s="110">
        <f t="shared" si="13"/>
        <v>8.5514614115010299E-4</v>
      </c>
      <c r="I110" s="56">
        <f>ROUND(F110*Прил.10!$D$12,2)</f>
        <v>60870.84</v>
      </c>
      <c r="J110" s="56">
        <f t="shared" si="11"/>
        <v>37361.120000000003</v>
      </c>
    </row>
    <row r="111" spans="1:10" ht="25.5" x14ac:dyDescent="0.25">
      <c r="A111" s="107">
        <v>83</v>
      </c>
      <c r="B111" s="66" t="s">
        <v>230</v>
      </c>
      <c r="C111" s="55" t="s">
        <v>231</v>
      </c>
      <c r="D111" s="66" t="s">
        <v>167</v>
      </c>
      <c r="E111" s="66">
        <v>0.9073</v>
      </c>
      <c r="F111" s="56">
        <v>5000</v>
      </c>
      <c r="G111" s="50">
        <f t="shared" si="12"/>
        <v>4536.5</v>
      </c>
      <c r="H111" s="110">
        <f t="shared" si="13"/>
        <v>8.3482875429918683E-4</v>
      </c>
      <c r="I111" s="56">
        <f>ROUND(F111*Прил.10!$D$12,2)</f>
        <v>40200</v>
      </c>
      <c r="J111" s="56">
        <f t="shared" si="11"/>
        <v>36473.46</v>
      </c>
    </row>
    <row r="112" spans="1:10" ht="25.5" x14ac:dyDescent="0.25">
      <c r="A112" s="107">
        <v>84</v>
      </c>
      <c r="B112" s="66" t="s">
        <v>232</v>
      </c>
      <c r="C112" s="55" t="s">
        <v>233</v>
      </c>
      <c r="D112" s="66" t="s">
        <v>198</v>
      </c>
      <c r="E112" s="66">
        <v>150</v>
      </c>
      <c r="F112" s="56">
        <v>24.79</v>
      </c>
      <c r="G112" s="50">
        <f t="shared" si="12"/>
        <v>3718.5</v>
      </c>
      <c r="H112" s="110">
        <f t="shared" si="13"/>
        <v>6.8429642298281201E-4</v>
      </c>
      <c r="I112" s="56">
        <f>ROUND(F112*Прил.10!$D$12,2)</f>
        <v>199.31</v>
      </c>
      <c r="J112" s="56">
        <f t="shared" si="11"/>
        <v>29896.5</v>
      </c>
    </row>
    <row r="113" spans="1:10" ht="38.25" x14ac:dyDescent="0.25">
      <c r="A113" s="107">
        <v>85</v>
      </c>
      <c r="B113" s="66" t="s">
        <v>234</v>
      </c>
      <c r="C113" s="55" t="s">
        <v>235</v>
      </c>
      <c r="D113" s="66" t="s">
        <v>236</v>
      </c>
      <c r="E113" s="66">
        <v>0.18360000000000001</v>
      </c>
      <c r="F113" s="56">
        <v>19363.45</v>
      </c>
      <c r="G113" s="50">
        <f t="shared" si="12"/>
        <v>3555.1294200000002</v>
      </c>
      <c r="H113" s="110">
        <f t="shared" si="13"/>
        <v>6.5423217570175049E-4</v>
      </c>
      <c r="I113" s="56">
        <f>ROUND(F113*Прил.10!$D$12,2)</f>
        <v>155682.14000000001</v>
      </c>
      <c r="J113" s="56">
        <f t="shared" si="11"/>
        <v>28583.24</v>
      </c>
    </row>
    <row r="114" spans="1:10" x14ac:dyDescent="0.25">
      <c r="A114" s="107">
        <v>86</v>
      </c>
      <c r="B114" s="66" t="s">
        <v>237</v>
      </c>
      <c r="C114" s="55" t="s">
        <v>238</v>
      </c>
      <c r="D114" s="66" t="s">
        <v>198</v>
      </c>
      <c r="E114" s="66">
        <v>117.27</v>
      </c>
      <c r="F114" s="56">
        <v>28.6</v>
      </c>
      <c r="G114" s="50">
        <f t="shared" si="12"/>
        <v>3353.922</v>
      </c>
      <c r="H114" s="110">
        <f t="shared" si="13"/>
        <v>6.1720500942943619E-4</v>
      </c>
      <c r="I114" s="56">
        <f>ROUND(F114*Прил.10!$D$12,2)</f>
        <v>229.94</v>
      </c>
      <c r="J114" s="56">
        <f t="shared" si="11"/>
        <v>26965.06</v>
      </c>
    </row>
    <row r="115" spans="1:10" x14ac:dyDescent="0.25">
      <c r="A115" s="107">
        <v>87</v>
      </c>
      <c r="B115" s="66" t="s">
        <v>239</v>
      </c>
      <c r="C115" s="55" t="s">
        <v>240</v>
      </c>
      <c r="D115" s="66" t="s">
        <v>167</v>
      </c>
      <c r="E115" s="66">
        <v>0.48299999999999998</v>
      </c>
      <c r="F115" s="56">
        <v>6667</v>
      </c>
      <c r="G115" s="50">
        <f t="shared" si="12"/>
        <v>3220.1610000000001</v>
      </c>
      <c r="H115" s="110">
        <f t="shared" si="13"/>
        <v>5.9258966081182055E-4</v>
      </c>
      <c r="I115" s="56">
        <f>ROUND(F115*Прил.10!$D$12,2)</f>
        <v>53602.68</v>
      </c>
      <c r="J115" s="56">
        <f t="shared" si="11"/>
        <v>25890.09</v>
      </c>
    </row>
    <row r="116" spans="1:10" x14ac:dyDescent="0.25">
      <c r="A116" s="107">
        <v>88</v>
      </c>
      <c r="B116" s="66" t="s">
        <v>241</v>
      </c>
      <c r="C116" s="55" t="s">
        <v>242</v>
      </c>
      <c r="D116" s="66" t="s">
        <v>159</v>
      </c>
      <c r="E116" s="66">
        <v>30</v>
      </c>
      <c r="F116" s="56">
        <v>92.25</v>
      </c>
      <c r="G116" s="50">
        <f t="shared" si="12"/>
        <v>2767.5</v>
      </c>
      <c r="H116" s="110">
        <f t="shared" si="13"/>
        <v>5.0928878596340785E-4</v>
      </c>
      <c r="I116" s="56">
        <f>ROUND(F116*Прил.10!$D$12,2)</f>
        <v>741.69</v>
      </c>
      <c r="J116" s="56">
        <f t="shared" si="11"/>
        <v>22250.7</v>
      </c>
    </row>
    <row r="117" spans="1:10" ht="25.5" x14ac:dyDescent="0.25">
      <c r="A117" s="107">
        <v>89</v>
      </c>
      <c r="B117" s="66" t="s">
        <v>243</v>
      </c>
      <c r="C117" s="55" t="s">
        <v>244</v>
      </c>
      <c r="D117" s="66" t="s">
        <v>198</v>
      </c>
      <c r="E117" s="66">
        <v>39</v>
      </c>
      <c r="F117" s="56">
        <v>54.99</v>
      </c>
      <c r="G117" s="50">
        <f t="shared" si="12"/>
        <v>2144.61</v>
      </c>
      <c r="H117" s="110">
        <f t="shared" si="13"/>
        <v>3.9466154408852183E-4</v>
      </c>
      <c r="I117" s="56">
        <f>ROUND(F117*Прил.10!$D$12,2)</f>
        <v>442.12</v>
      </c>
      <c r="J117" s="56">
        <f t="shared" ref="J117:J148" si="14">ROUND(I117*E117,2)</f>
        <v>17242.68</v>
      </c>
    </row>
    <row r="118" spans="1:10" x14ac:dyDescent="0.25">
      <c r="A118" s="107">
        <v>90</v>
      </c>
      <c r="B118" s="66" t="s">
        <v>245</v>
      </c>
      <c r="C118" s="55" t="s">
        <v>246</v>
      </c>
      <c r="D118" s="66" t="s">
        <v>164</v>
      </c>
      <c r="E118" s="66">
        <v>1.512</v>
      </c>
      <c r="F118" s="56">
        <v>1410</v>
      </c>
      <c r="G118" s="50">
        <f t="shared" ref="G118:G149" si="15">E118*F118</f>
        <v>2131.92</v>
      </c>
      <c r="H118" s="110">
        <f t="shared" si="13"/>
        <v>3.9232626867971403E-4</v>
      </c>
      <c r="I118" s="56">
        <f>ROUND(F118*Прил.10!$D$12,2)</f>
        <v>11336.4</v>
      </c>
      <c r="J118" s="56">
        <f t="shared" si="14"/>
        <v>17140.64</v>
      </c>
    </row>
    <row r="119" spans="1:10" x14ac:dyDescent="0.25">
      <c r="A119" s="107">
        <v>91</v>
      </c>
      <c r="B119" s="66" t="s">
        <v>247</v>
      </c>
      <c r="C119" s="55" t="s">
        <v>248</v>
      </c>
      <c r="D119" s="66" t="s">
        <v>198</v>
      </c>
      <c r="E119" s="66">
        <v>198.5164</v>
      </c>
      <c r="F119" s="56">
        <v>10.57</v>
      </c>
      <c r="G119" s="50">
        <f t="shared" si="15"/>
        <v>2098.3183480000002</v>
      </c>
      <c r="H119" s="110">
        <f t="shared" si="13"/>
        <v>3.861427295456779E-4</v>
      </c>
      <c r="I119" s="56">
        <f>ROUND(F119*Прил.10!$D$12,2)</f>
        <v>84.98</v>
      </c>
      <c r="J119" s="56">
        <f t="shared" si="14"/>
        <v>16869.919999999998</v>
      </c>
    </row>
    <row r="120" spans="1:10" ht="25.5" x14ac:dyDescent="0.25">
      <c r="A120" s="107">
        <v>92</v>
      </c>
      <c r="B120" s="66" t="s">
        <v>249</v>
      </c>
      <c r="C120" s="55" t="s">
        <v>250</v>
      </c>
      <c r="D120" s="66" t="s">
        <v>164</v>
      </c>
      <c r="E120" s="66">
        <v>3.06</v>
      </c>
      <c r="F120" s="56">
        <v>542.24</v>
      </c>
      <c r="G120" s="50">
        <f t="shared" si="15"/>
        <v>1659.2544</v>
      </c>
      <c r="H120" s="110">
        <f t="shared" si="13"/>
        <v>3.0534405021876885E-4</v>
      </c>
      <c r="I120" s="56">
        <f>ROUND(F120*Прил.10!$D$12,2)</f>
        <v>4359.6099999999997</v>
      </c>
      <c r="J120" s="56">
        <f t="shared" si="14"/>
        <v>13340.41</v>
      </c>
    </row>
    <row r="121" spans="1:10" ht="25.5" x14ac:dyDescent="0.25">
      <c r="A121" s="107">
        <v>93</v>
      </c>
      <c r="B121" s="66" t="s">
        <v>251</v>
      </c>
      <c r="C121" s="55" t="s">
        <v>252</v>
      </c>
      <c r="D121" s="66" t="s">
        <v>164</v>
      </c>
      <c r="E121" s="66">
        <v>3.06</v>
      </c>
      <c r="F121" s="56">
        <v>520</v>
      </c>
      <c r="G121" s="50">
        <f t="shared" si="15"/>
        <v>1591.2</v>
      </c>
      <c r="H121" s="110">
        <f t="shared" si="13"/>
        <v>2.9282034913278215E-4</v>
      </c>
      <c r="I121" s="56">
        <f>ROUND(F121*Прил.10!$D$12,2)</f>
        <v>4180.8</v>
      </c>
      <c r="J121" s="56">
        <f t="shared" si="14"/>
        <v>12793.25</v>
      </c>
    </row>
    <row r="122" spans="1:10" x14ac:dyDescent="0.25">
      <c r="A122" s="107">
        <v>94</v>
      </c>
      <c r="B122" s="66" t="s">
        <v>253</v>
      </c>
      <c r="C122" s="55" t="s">
        <v>254</v>
      </c>
      <c r="D122" s="66" t="s">
        <v>159</v>
      </c>
      <c r="E122" s="66">
        <v>127</v>
      </c>
      <c r="F122" s="56">
        <v>11.39</v>
      </c>
      <c r="G122" s="50">
        <f t="shared" si="15"/>
        <v>1446.53</v>
      </c>
      <c r="H122" s="110">
        <f t="shared" si="13"/>
        <v>2.6619747337295333E-4</v>
      </c>
      <c r="I122" s="56">
        <f>ROUND(F122*Прил.10!$D$12,2)</f>
        <v>91.58</v>
      </c>
      <c r="J122" s="56">
        <f t="shared" si="14"/>
        <v>11630.66</v>
      </c>
    </row>
    <row r="123" spans="1:10" x14ac:dyDescent="0.25">
      <c r="A123" s="107">
        <v>95</v>
      </c>
      <c r="B123" s="66" t="s">
        <v>255</v>
      </c>
      <c r="C123" s="55" t="s">
        <v>256</v>
      </c>
      <c r="D123" s="66" t="s">
        <v>257</v>
      </c>
      <c r="E123" s="66">
        <v>17.399999999999999</v>
      </c>
      <c r="F123" s="56">
        <v>79.099999999999994</v>
      </c>
      <c r="G123" s="50">
        <f t="shared" si="15"/>
        <v>1376.3399999999997</v>
      </c>
      <c r="H123" s="110">
        <f t="shared" si="13"/>
        <v>2.5328076880682082E-4</v>
      </c>
      <c r="I123" s="56">
        <f>ROUND(F123*Прил.10!$D$12,2)</f>
        <v>635.96</v>
      </c>
      <c r="J123" s="56">
        <f t="shared" si="14"/>
        <v>11065.7</v>
      </c>
    </row>
    <row r="124" spans="1:10" x14ac:dyDescent="0.25">
      <c r="A124" s="107">
        <v>96</v>
      </c>
      <c r="B124" s="66" t="s">
        <v>258</v>
      </c>
      <c r="C124" s="55" t="s">
        <v>259</v>
      </c>
      <c r="D124" s="66" t="s">
        <v>159</v>
      </c>
      <c r="E124" s="66">
        <v>7.4260000000000002</v>
      </c>
      <c r="F124" s="56">
        <v>176.51</v>
      </c>
      <c r="G124" s="50">
        <f t="shared" si="15"/>
        <v>1310.7632599999999</v>
      </c>
      <c r="H124" s="110">
        <f t="shared" si="13"/>
        <v>2.4121301874285048E-4</v>
      </c>
      <c r="I124" s="56">
        <f>ROUND(F124*Прил.10!$D$12,2)</f>
        <v>1419.14</v>
      </c>
      <c r="J124" s="56">
        <f t="shared" si="14"/>
        <v>10538.53</v>
      </c>
    </row>
    <row r="125" spans="1:10" ht="25.5" x14ac:dyDescent="0.25">
      <c r="A125" s="107">
        <v>97</v>
      </c>
      <c r="B125" s="66" t="s">
        <v>260</v>
      </c>
      <c r="C125" s="55" t="s">
        <v>261</v>
      </c>
      <c r="D125" s="66" t="s">
        <v>167</v>
      </c>
      <c r="E125" s="66">
        <v>3.3399999999999999E-2</v>
      </c>
      <c r="F125" s="56">
        <v>38890</v>
      </c>
      <c r="G125" s="50">
        <f t="shared" si="15"/>
        <v>1298.9259999999999</v>
      </c>
      <c r="H125" s="110">
        <f t="shared" si="13"/>
        <v>2.3903466868881859E-4</v>
      </c>
      <c r="I125" s="56">
        <f>ROUND(F125*Прил.10!$D$12,2)</f>
        <v>312675.59999999998</v>
      </c>
      <c r="J125" s="56">
        <f t="shared" si="14"/>
        <v>10443.370000000001</v>
      </c>
    </row>
    <row r="126" spans="1:10" ht="25.5" x14ac:dyDescent="0.25">
      <c r="A126" s="107">
        <v>98</v>
      </c>
      <c r="B126" s="66" t="s">
        <v>262</v>
      </c>
      <c r="C126" s="55" t="s">
        <v>263</v>
      </c>
      <c r="D126" s="66" t="s">
        <v>167</v>
      </c>
      <c r="E126" s="66">
        <v>7.0999999999999994E-2</v>
      </c>
      <c r="F126" s="56">
        <v>17500</v>
      </c>
      <c r="G126" s="50">
        <f t="shared" si="15"/>
        <v>1242.5</v>
      </c>
      <c r="H126" s="110">
        <f t="shared" si="13"/>
        <v>2.286508822256673E-4</v>
      </c>
      <c r="I126" s="56">
        <f>ROUND(F126*Прил.10!$D$12,2)</f>
        <v>140700</v>
      </c>
      <c r="J126" s="56">
        <f t="shared" si="14"/>
        <v>9989.7000000000007</v>
      </c>
    </row>
    <row r="127" spans="1:10" ht="51" x14ac:dyDescent="0.25">
      <c r="A127" s="107">
        <v>99</v>
      </c>
      <c r="B127" s="66" t="s">
        <v>264</v>
      </c>
      <c r="C127" s="55" t="s">
        <v>265</v>
      </c>
      <c r="D127" s="66" t="s">
        <v>167</v>
      </c>
      <c r="E127" s="66">
        <v>0.14940000000000001</v>
      </c>
      <c r="F127" s="56">
        <v>8060</v>
      </c>
      <c r="G127" s="50">
        <f t="shared" si="15"/>
        <v>1204.164</v>
      </c>
      <c r="H127" s="110">
        <f t="shared" si="13"/>
        <v>2.2159610538783776E-4</v>
      </c>
      <c r="I127" s="56">
        <f>ROUND(F127*Прил.10!$D$12,2)</f>
        <v>64802.400000000001</v>
      </c>
      <c r="J127" s="56">
        <f t="shared" si="14"/>
        <v>9681.48</v>
      </c>
    </row>
    <row r="128" spans="1:10" ht="38.25" x14ac:dyDescent="0.25">
      <c r="A128" s="107">
        <v>100</v>
      </c>
      <c r="B128" s="66" t="s">
        <v>266</v>
      </c>
      <c r="C128" s="55" t="s">
        <v>267</v>
      </c>
      <c r="D128" s="66" t="s">
        <v>268</v>
      </c>
      <c r="E128" s="66">
        <v>1199.9356</v>
      </c>
      <c r="F128" s="56">
        <v>1</v>
      </c>
      <c r="G128" s="50">
        <f t="shared" si="15"/>
        <v>1199.9356</v>
      </c>
      <c r="H128" s="110">
        <f t="shared" si="13"/>
        <v>2.2081797469133637E-4</v>
      </c>
      <c r="I128" s="56">
        <f>ROUND(F128*Прил.10!$D$12,2)</f>
        <v>8.0399999999999991</v>
      </c>
      <c r="J128" s="56">
        <f t="shared" si="14"/>
        <v>9647.48</v>
      </c>
    </row>
    <row r="129" spans="1:10" x14ac:dyDescent="0.25">
      <c r="A129" s="107">
        <v>101</v>
      </c>
      <c r="B129" s="66" t="s">
        <v>269</v>
      </c>
      <c r="C129" s="55" t="s">
        <v>225</v>
      </c>
      <c r="D129" s="66" t="s">
        <v>167</v>
      </c>
      <c r="E129" s="66">
        <v>0.13100000000000001</v>
      </c>
      <c r="F129" s="56">
        <v>9040</v>
      </c>
      <c r="G129" s="50">
        <f t="shared" si="15"/>
        <v>1184.24</v>
      </c>
      <c r="H129" s="110">
        <f t="shared" si="13"/>
        <v>2.1792959417861105E-4</v>
      </c>
      <c r="I129" s="56">
        <f>ROUND(F129*Прил.10!$D$12,2)</f>
        <v>72681.600000000006</v>
      </c>
      <c r="J129" s="56">
        <f t="shared" si="14"/>
        <v>9521.2900000000009</v>
      </c>
    </row>
    <row r="130" spans="1:10" x14ac:dyDescent="0.25">
      <c r="A130" s="107">
        <v>102</v>
      </c>
      <c r="B130" s="66" t="s">
        <v>270</v>
      </c>
      <c r="C130" s="55" t="s">
        <v>271</v>
      </c>
      <c r="D130" s="66" t="s">
        <v>272</v>
      </c>
      <c r="E130" s="66">
        <v>4.2</v>
      </c>
      <c r="F130" s="56">
        <v>277.5</v>
      </c>
      <c r="G130" s="50">
        <f t="shared" si="15"/>
        <v>1165.5</v>
      </c>
      <c r="H130" s="110">
        <f t="shared" si="13"/>
        <v>2.1448096839759778E-4</v>
      </c>
      <c r="I130" s="56">
        <f>ROUND(F130*Прил.10!$D$12,2)</f>
        <v>2231.1</v>
      </c>
      <c r="J130" s="56">
        <f t="shared" si="14"/>
        <v>9370.6200000000008</v>
      </c>
    </row>
    <row r="131" spans="1:10" x14ac:dyDescent="0.25">
      <c r="A131" s="107">
        <v>103</v>
      </c>
      <c r="B131" s="66" t="s">
        <v>273</v>
      </c>
      <c r="C131" s="55" t="s">
        <v>274</v>
      </c>
      <c r="D131" s="66" t="s">
        <v>159</v>
      </c>
      <c r="E131" s="66">
        <v>11</v>
      </c>
      <c r="F131" s="56">
        <v>85.46</v>
      </c>
      <c r="G131" s="50">
        <f t="shared" si="15"/>
        <v>940.06</v>
      </c>
      <c r="H131" s="110">
        <f t="shared" si="13"/>
        <v>1.7299440510668877E-4</v>
      </c>
      <c r="I131" s="56">
        <f>ROUND(F131*Прил.10!$D$12,2)</f>
        <v>687.1</v>
      </c>
      <c r="J131" s="56">
        <f t="shared" si="14"/>
        <v>7558.1</v>
      </c>
    </row>
    <row r="132" spans="1:10" ht="25.5" x14ac:dyDescent="0.25">
      <c r="A132" s="107">
        <v>104</v>
      </c>
      <c r="B132" s="66" t="s">
        <v>230</v>
      </c>
      <c r="C132" s="55" t="s">
        <v>231</v>
      </c>
      <c r="D132" s="66" t="s">
        <v>167</v>
      </c>
      <c r="E132" s="66">
        <v>0.157</v>
      </c>
      <c r="F132" s="56">
        <v>5000</v>
      </c>
      <c r="G132" s="50">
        <f t="shared" si="15"/>
        <v>785</v>
      </c>
      <c r="H132" s="110">
        <f t="shared" si="13"/>
        <v>1.4445951110434515E-4</v>
      </c>
      <c r="I132" s="56">
        <f>ROUND(F132*Прил.10!$D$12,2)</f>
        <v>40200</v>
      </c>
      <c r="J132" s="56">
        <f t="shared" si="14"/>
        <v>6311.4</v>
      </c>
    </row>
    <row r="133" spans="1:10" x14ac:dyDescent="0.25">
      <c r="A133" s="107">
        <v>105</v>
      </c>
      <c r="B133" s="66" t="s">
        <v>275</v>
      </c>
      <c r="C133" s="55" t="s">
        <v>276</v>
      </c>
      <c r="D133" s="66" t="s">
        <v>159</v>
      </c>
      <c r="E133" s="66">
        <v>18</v>
      </c>
      <c r="F133" s="56">
        <v>38.79</v>
      </c>
      <c r="G133" s="50">
        <f t="shared" si="15"/>
        <v>698.22</v>
      </c>
      <c r="H133" s="110">
        <f t="shared" si="13"/>
        <v>1.2848983419525589E-4</v>
      </c>
      <c r="I133" s="56">
        <f>ROUND(F133*Прил.10!$D$12,2)</f>
        <v>311.87</v>
      </c>
      <c r="J133" s="56">
        <f t="shared" si="14"/>
        <v>5613.66</v>
      </c>
    </row>
    <row r="134" spans="1:10" x14ac:dyDescent="0.25">
      <c r="A134" s="107">
        <v>106</v>
      </c>
      <c r="B134" s="66" t="s">
        <v>277</v>
      </c>
      <c r="C134" s="55" t="s">
        <v>278</v>
      </c>
      <c r="D134" s="66" t="s">
        <v>272</v>
      </c>
      <c r="E134" s="66">
        <v>8.4</v>
      </c>
      <c r="F134" s="56">
        <v>64.8</v>
      </c>
      <c r="G134" s="50">
        <f t="shared" si="15"/>
        <v>544.32000000000005</v>
      </c>
      <c r="H134" s="110">
        <f t="shared" si="13"/>
        <v>1.0016840902460784E-4</v>
      </c>
      <c r="I134" s="56">
        <f>ROUND(F134*Прил.10!$D$12,2)</f>
        <v>520.99</v>
      </c>
      <c r="J134" s="56">
        <f t="shared" si="14"/>
        <v>4376.32</v>
      </c>
    </row>
    <row r="135" spans="1:10" x14ac:dyDescent="0.25">
      <c r="A135" s="107">
        <v>107</v>
      </c>
      <c r="B135" s="66" t="s">
        <v>279</v>
      </c>
      <c r="C135" s="55" t="s">
        <v>280</v>
      </c>
      <c r="D135" s="66" t="s">
        <v>167</v>
      </c>
      <c r="E135" s="66">
        <v>1.9E-2</v>
      </c>
      <c r="F135" s="56">
        <v>22050</v>
      </c>
      <c r="G135" s="50">
        <f t="shared" si="15"/>
        <v>418.95</v>
      </c>
      <c r="H135" s="110">
        <f t="shared" si="13"/>
        <v>7.70972129645419E-5</v>
      </c>
      <c r="I135" s="56">
        <f>ROUND(F135*Прил.10!$D$12,2)</f>
        <v>177282</v>
      </c>
      <c r="J135" s="56">
        <f t="shared" si="14"/>
        <v>3368.36</v>
      </c>
    </row>
    <row r="136" spans="1:10" x14ac:dyDescent="0.25">
      <c r="A136" s="107">
        <v>108</v>
      </c>
      <c r="B136" s="66" t="s">
        <v>281</v>
      </c>
      <c r="C136" s="55" t="s">
        <v>282</v>
      </c>
      <c r="D136" s="66" t="s">
        <v>167</v>
      </c>
      <c r="E136" s="66">
        <v>2.6100000000000002E-2</v>
      </c>
      <c r="F136" s="56">
        <v>15620</v>
      </c>
      <c r="G136" s="50">
        <f t="shared" si="15"/>
        <v>407.68200000000002</v>
      </c>
      <c r="H136" s="110">
        <f t="shared" si="13"/>
        <v>7.50236208994161E-5</v>
      </c>
      <c r="I136" s="56">
        <f>ROUND(F136*Прил.10!$D$12,2)</f>
        <v>125584.8</v>
      </c>
      <c r="J136" s="56">
        <f t="shared" si="14"/>
        <v>3277.76</v>
      </c>
    </row>
    <row r="137" spans="1:10" ht="76.5" x14ac:dyDescent="0.25">
      <c r="A137" s="107">
        <v>109</v>
      </c>
      <c r="B137" s="66" t="s">
        <v>283</v>
      </c>
      <c r="C137" s="55" t="s">
        <v>284</v>
      </c>
      <c r="D137" s="66" t="s">
        <v>167</v>
      </c>
      <c r="E137" s="66">
        <v>3.0200000000000001E-2</v>
      </c>
      <c r="F137" s="56">
        <v>11255</v>
      </c>
      <c r="G137" s="50">
        <f t="shared" si="15"/>
        <v>339.90100000000001</v>
      </c>
      <c r="H137" s="110">
        <f t="shared" si="13"/>
        <v>6.2550232208761811E-5</v>
      </c>
      <c r="I137" s="56">
        <f>ROUND(F137*Прил.10!$D$12,2)</f>
        <v>90490.2</v>
      </c>
      <c r="J137" s="56">
        <f t="shared" si="14"/>
        <v>2732.8</v>
      </c>
    </row>
    <row r="138" spans="1:10" x14ac:dyDescent="0.25">
      <c r="A138" s="107">
        <v>110</v>
      </c>
      <c r="B138" s="66" t="s">
        <v>285</v>
      </c>
      <c r="C138" s="55" t="s">
        <v>286</v>
      </c>
      <c r="D138" s="66" t="s">
        <v>167</v>
      </c>
      <c r="E138" s="66">
        <v>2.75E-2</v>
      </c>
      <c r="F138" s="56">
        <v>10749</v>
      </c>
      <c r="G138" s="50">
        <f t="shared" si="15"/>
        <v>295.59750000000003</v>
      </c>
      <c r="H138" s="110">
        <f t="shared" si="13"/>
        <v>5.4397287049256897E-5</v>
      </c>
      <c r="I138" s="56">
        <f>ROUND(F138*Прил.10!$D$12,2)</f>
        <v>86421.96</v>
      </c>
      <c r="J138" s="56">
        <f t="shared" si="14"/>
        <v>2376.6</v>
      </c>
    </row>
    <row r="139" spans="1:10" x14ac:dyDescent="0.25">
      <c r="A139" s="107">
        <v>111</v>
      </c>
      <c r="B139" s="66" t="s">
        <v>287</v>
      </c>
      <c r="C139" s="55" t="s">
        <v>288</v>
      </c>
      <c r="D139" s="66" t="s">
        <v>159</v>
      </c>
      <c r="E139" s="66">
        <v>58</v>
      </c>
      <c r="F139" s="56">
        <v>5</v>
      </c>
      <c r="G139" s="50">
        <f t="shared" si="15"/>
        <v>290</v>
      </c>
      <c r="H139" s="110">
        <f t="shared" si="13"/>
        <v>5.3367207923898204E-5</v>
      </c>
      <c r="I139" s="56">
        <f>ROUND(F139*Прил.10!$D$12,2)</f>
        <v>40.200000000000003</v>
      </c>
      <c r="J139" s="56">
        <f t="shared" si="14"/>
        <v>2331.6</v>
      </c>
    </row>
    <row r="140" spans="1:10" ht="38.25" x14ac:dyDescent="0.25">
      <c r="A140" s="107">
        <v>112</v>
      </c>
      <c r="B140" s="66" t="s">
        <v>289</v>
      </c>
      <c r="C140" s="55" t="s">
        <v>290</v>
      </c>
      <c r="D140" s="66" t="s">
        <v>167</v>
      </c>
      <c r="E140" s="66">
        <v>3.3E-3</v>
      </c>
      <c r="F140" s="56">
        <v>62000</v>
      </c>
      <c r="G140" s="50">
        <f t="shared" si="15"/>
        <v>204.6</v>
      </c>
      <c r="H140" s="110">
        <f t="shared" ref="H140:H171" si="16">G140/$G$177</f>
        <v>3.7651485314584732E-5</v>
      </c>
      <c r="I140" s="56">
        <f>ROUND(F140*Прил.10!$D$12,2)</f>
        <v>498480</v>
      </c>
      <c r="J140" s="56">
        <f t="shared" si="14"/>
        <v>1644.98</v>
      </c>
    </row>
    <row r="141" spans="1:10" ht="25.5" x14ac:dyDescent="0.25">
      <c r="A141" s="107">
        <v>113</v>
      </c>
      <c r="B141" s="66" t="s">
        <v>291</v>
      </c>
      <c r="C141" s="55" t="s">
        <v>292</v>
      </c>
      <c r="D141" s="66" t="s">
        <v>167</v>
      </c>
      <c r="E141" s="66">
        <v>2.81E-2</v>
      </c>
      <c r="F141" s="56">
        <v>5763</v>
      </c>
      <c r="G141" s="50">
        <f t="shared" si="15"/>
        <v>161.94030000000001</v>
      </c>
      <c r="H141" s="110">
        <f t="shared" si="16"/>
        <v>2.9801040211580872E-5</v>
      </c>
      <c r="I141" s="56">
        <f>ROUND(F141*Прил.10!$D$12,2)</f>
        <v>46334.52</v>
      </c>
      <c r="J141" s="56">
        <f t="shared" si="14"/>
        <v>1302</v>
      </c>
    </row>
    <row r="142" spans="1:10" ht="25.5" x14ac:dyDescent="0.25">
      <c r="A142" s="107">
        <v>114</v>
      </c>
      <c r="B142" s="66" t="s">
        <v>293</v>
      </c>
      <c r="C142" s="55" t="s">
        <v>294</v>
      </c>
      <c r="D142" s="66" t="s">
        <v>164</v>
      </c>
      <c r="E142" s="66">
        <v>8.7999999999999995E-2</v>
      </c>
      <c r="F142" s="56">
        <v>1784</v>
      </c>
      <c r="G142" s="50">
        <f t="shared" si="15"/>
        <v>156.99199999999999</v>
      </c>
      <c r="H142" s="110">
        <f t="shared" si="16"/>
        <v>2.8890430022029744E-5</v>
      </c>
      <c r="I142" s="56">
        <f>ROUND(F142*Прил.10!$D$12,2)</f>
        <v>14343.36</v>
      </c>
      <c r="J142" s="56">
        <f t="shared" si="14"/>
        <v>1262.22</v>
      </c>
    </row>
    <row r="143" spans="1:10" ht="25.5" x14ac:dyDescent="0.25">
      <c r="A143" s="107">
        <v>115</v>
      </c>
      <c r="B143" s="66" t="s">
        <v>295</v>
      </c>
      <c r="C143" s="55" t="s">
        <v>296</v>
      </c>
      <c r="D143" s="66" t="s">
        <v>167</v>
      </c>
      <c r="E143" s="66">
        <v>1.01E-2</v>
      </c>
      <c r="F143" s="56">
        <v>15119</v>
      </c>
      <c r="G143" s="50">
        <f t="shared" si="15"/>
        <v>152.70189999999999</v>
      </c>
      <c r="H143" s="110">
        <f t="shared" si="16"/>
        <v>2.8100944991980381E-5</v>
      </c>
      <c r="I143" s="56">
        <f>ROUND(F143*Прил.10!$D$12,2)</f>
        <v>121556.76</v>
      </c>
      <c r="J143" s="56">
        <f t="shared" si="14"/>
        <v>1227.72</v>
      </c>
    </row>
    <row r="144" spans="1:10" x14ac:dyDescent="0.25">
      <c r="A144" s="107">
        <v>116</v>
      </c>
      <c r="B144" s="66" t="s">
        <v>297</v>
      </c>
      <c r="C144" s="55" t="s">
        <v>298</v>
      </c>
      <c r="D144" s="66" t="s">
        <v>299</v>
      </c>
      <c r="E144" s="66">
        <v>1.768</v>
      </c>
      <c r="F144" s="56">
        <v>86</v>
      </c>
      <c r="G144" s="50">
        <f t="shared" si="15"/>
        <v>152.048</v>
      </c>
      <c r="H144" s="110">
        <f t="shared" si="16"/>
        <v>2.7980611139354739E-5</v>
      </c>
      <c r="I144" s="56">
        <f>ROUND(F144*Прил.10!$D$12,2)</f>
        <v>691.44</v>
      </c>
      <c r="J144" s="56">
        <f t="shared" si="14"/>
        <v>1222.47</v>
      </c>
    </row>
    <row r="145" spans="1:10" x14ac:dyDescent="0.25">
      <c r="A145" s="107">
        <v>117</v>
      </c>
      <c r="B145" s="66" t="s">
        <v>300</v>
      </c>
      <c r="C145" s="55" t="s">
        <v>301</v>
      </c>
      <c r="D145" s="66" t="s">
        <v>167</v>
      </c>
      <c r="E145" s="66">
        <v>1.0200000000000001E-2</v>
      </c>
      <c r="F145" s="56">
        <v>11978</v>
      </c>
      <c r="G145" s="50">
        <f t="shared" si="15"/>
        <v>122.1756</v>
      </c>
      <c r="H145" s="110">
        <f t="shared" si="16"/>
        <v>2.2483347063541441E-5</v>
      </c>
      <c r="I145" s="56">
        <f>ROUND(F145*Прил.10!$D$12,2)</f>
        <v>96303.12</v>
      </c>
      <c r="J145" s="56">
        <f t="shared" si="14"/>
        <v>982.29</v>
      </c>
    </row>
    <row r="146" spans="1:10" x14ac:dyDescent="0.25">
      <c r="A146" s="107">
        <v>118</v>
      </c>
      <c r="B146" s="66" t="s">
        <v>302</v>
      </c>
      <c r="C146" s="55" t="s">
        <v>303</v>
      </c>
      <c r="D146" s="66" t="s">
        <v>167</v>
      </c>
      <c r="E146" s="66">
        <v>1.2200000000000001E-2</v>
      </c>
      <c r="F146" s="56">
        <v>9420</v>
      </c>
      <c r="G146" s="50">
        <f t="shared" si="15"/>
        <v>114.92400000000001</v>
      </c>
      <c r="H146" s="110">
        <f t="shared" si="16"/>
        <v>2.114887242567613E-5</v>
      </c>
      <c r="I146" s="56">
        <f>ROUND(F146*Прил.10!$D$12,2)</f>
        <v>75736.800000000003</v>
      </c>
      <c r="J146" s="56">
        <f t="shared" si="14"/>
        <v>923.99</v>
      </c>
    </row>
    <row r="147" spans="1:10" x14ac:dyDescent="0.25">
      <c r="A147" s="107">
        <v>119</v>
      </c>
      <c r="B147" s="66" t="s">
        <v>304</v>
      </c>
      <c r="C147" s="55" t="s">
        <v>305</v>
      </c>
      <c r="D147" s="66" t="s">
        <v>167</v>
      </c>
      <c r="E147" s="66">
        <v>9.1999999999999998E-3</v>
      </c>
      <c r="F147" s="56">
        <v>12430</v>
      </c>
      <c r="G147" s="50">
        <f t="shared" si="15"/>
        <v>114.35599999999999</v>
      </c>
      <c r="H147" s="110">
        <f t="shared" si="16"/>
        <v>2.1044346308087249E-5</v>
      </c>
      <c r="I147" s="56">
        <f>ROUND(F147*Прил.10!$D$12,2)</f>
        <v>99937.2</v>
      </c>
      <c r="J147" s="56">
        <f t="shared" si="14"/>
        <v>919.42</v>
      </c>
    </row>
    <row r="148" spans="1:10" x14ac:dyDescent="0.25">
      <c r="A148" s="107">
        <v>120</v>
      </c>
      <c r="B148" s="66" t="s">
        <v>306</v>
      </c>
      <c r="C148" s="55" t="s">
        <v>307</v>
      </c>
      <c r="D148" s="66" t="s">
        <v>198</v>
      </c>
      <c r="E148" s="66">
        <v>13.812900000000001</v>
      </c>
      <c r="F148" s="56">
        <v>6.09</v>
      </c>
      <c r="G148" s="50">
        <f t="shared" si="15"/>
        <v>84.120561000000009</v>
      </c>
      <c r="H148" s="110">
        <f t="shared" si="16"/>
        <v>1.5480274032972286E-5</v>
      </c>
      <c r="I148" s="56">
        <f>ROUND(F148*Прил.10!$D$12,2)</f>
        <v>48.96</v>
      </c>
      <c r="J148" s="56">
        <f t="shared" si="14"/>
        <v>676.28</v>
      </c>
    </row>
    <row r="149" spans="1:10" x14ac:dyDescent="0.25">
      <c r="A149" s="107">
        <v>121</v>
      </c>
      <c r="B149" s="66" t="s">
        <v>308</v>
      </c>
      <c r="C149" s="55" t="s">
        <v>309</v>
      </c>
      <c r="D149" s="66" t="s">
        <v>159</v>
      </c>
      <c r="E149" s="66">
        <v>21</v>
      </c>
      <c r="F149" s="56">
        <v>3.9</v>
      </c>
      <c r="G149" s="50">
        <f t="shared" si="15"/>
        <v>81.899999999999991</v>
      </c>
      <c r="H149" s="110">
        <f t="shared" si="16"/>
        <v>1.507163561712849E-5</v>
      </c>
      <c r="I149" s="56">
        <f>ROUND(F149*Прил.10!$D$12,2)</f>
        <v>31.36</v>
      </c>
      <c r="J149" s="56">
        <f t="shared" ref="J149:J180" si="17">ROUND(I149*E149,2)</f>
        <v>658.56</v>
      </c>
    </row>
    <row r="150" spans="1:10" x14ac:dyDescent="0.25">
      <c r="A150" s="107">
        <v>122</v>
      </c>
      <c r="B150" s="66" t="s">
        <v>310</v>
      </c>
      <c r="C150" s="55" t="s">
        <v>311</v>
      </c>
      <c r="D150" s="66" t="s">
        <v>312</v>
      </c>
      <c r="E150" s="66">
        <v>7.5</v>
      </c>
      <c r="F150" s="56">
        <v>10.199999999999999</v>
      </c>
      <c r="G150" s="50">
        <f t="shared" ref="G150:G181" si="18">E150*F150</f>
        <v>76.5</v>
      </c>
      <c r="H150" s="110">
        <f t="shared" si="16"/>
        <v>1.4077901400614526E-5</v>
      </c>
      <c r="I150" s="56">
        <f>ROUND(F150*Прил.10!$D$12,2)</f>
        <v>82.01</v>
      </c>
      <c r="J150" s="56">
        <f t="shared" si="17"/>
        <v>615.08000000000004</v>
      </c>
    </row>
    <row r="151" spans="1:10" x14ac:dyDescent="0.25">
      <c r="A151" s="107">
        <v>123</v>
      </c>
      <c r="B151" s="66" t="s">
        <v>313</v>
      </c>
      <c r="C151" s="55" t="s">
        <v>314</v>
      </c>
      <c r="D151" s="66" t="s">
        <v>164</v>
      </c>
      <c r="E151" s="66">
        <v>12.0383</v>
      </c>
      <c r="F151" s="56">
        <v>6.22</v>
      </c>
      <c r="G151" s="50">
        <f t="shared" si="18"/>
        <v>74.878225999999998</v>
      </c>
      <c r="H151" s="110">
        <f t="shared" si="16"/>
        <v>1.3779454675567725E-5</v>
      </c>
      <c r="I151" s="56">
        <f>ROUND(F151*Прил.10!$D$12,2)</f>
        <v>50.01</v>
      </c>
      <c r="J151" s="56">
        <f t="shared" si="17"/>
        <v>602.04</v>
      </c>
    </row>
    <row r="152" spans="1:10" x14ac:dyDescent="0.25">
      <c r="A152" s="107">
        <v>124</v>
      </c>
      <c r="B152" s="66" t="s">
        <v>315</v>
      </c>
      <c r="C152" s="55" t="s">
        <v>316</v>
      </c>
      <c r="D152" s="66" t="s">
        <v>167</v>
      </c>
      <c r="E152" s="66">
        <v>1.3299999999999999E-2</v>
      </c>
      <c r="F152" s="56">
        <v>4920</v>
      </c>
      <c r="G152" s="50">
        <f t="shared" si="18"/>
        <v>65.435999999999993</v>
      </c>
      <c r="H152" s="110">
        <f t="shared" si="16"/>
        <v>1.2041850405890354E-5</v>
      </c>
      <c r="I152" s="56">
        <f>ROUND(F152*Прил.10!$D$12,2)</f>
        <v>39556.800000000003</v>
      </c>
      <c r="J152" s="56">
        <f t="shared" si="17"/>
        <v>526.11</v>
      </c>
    </row>
    <row r="153" spans="1:10" x14ac:dyDescent="0.25">
      <c r="A153" s="107">
        <v>125</v>
      </c>
      <c r="B153" s="66" t="s">
        <v>317</v>
      </c>
      <c r="C153" s="55" t="s">
        <v>318</v>
      </c>
      <c r="D153" s="66" t="s">
        <v>299</v>
      </c>
      <c r="E153" s="66">
        <v>0.03</v>
      </c>
      <c r="F153" s="56">
        <v>1776</v>
      </c>
      <c r="G153" s="50">
        <f t="shared" si="18"/>
        <v>53.28</v>
      </c>
      <c r="H153" s="110">
        <f t="shared" si="16"/>
        <v>9.8048442696044699E-6</v>
      </c>
      <c r="I153" s="56">
        <f>ROUND(F153*Прил.10!$D$12,2)</f>
        <v>14279.04</v>
      </c>
      <c r="J153" s="56">
        <f t="shared" si="17"/>
        <v>428.37</v>
      </c>
    </row>
    <row r="154" spans="1:10" ht="51" x14ac:dyDescent="0.25">
      <c r="A154" s="107">
        <v>126</v>
      </c>
      <c r="B154" s="66" t="s">
        <v>211</v>
      </c>
      <c r="C154" s="55" t="s">
        <v>212</v>
      </c>
      <c r="D154" s="66" t="s">
        <v>167</v>
      </c>
      <c r="E154" s="66">
        <v>6.8999999999999999E-3</v>
      </c>
      <c r="F154" s="56">
        <v>7712</v>
      </c>
      <c r="G154" s="50">
        <f t="shared" si="18"/>
        <v>53.212800000000001</v>
      </c>
      <c r="H154" s="110">
        <f t="shared" si="16"/>
        <v>9.7924777993545183E-6</v>
      </c>
      <c r="I154" s="56">
        <f>ROUND(F154*Прил.10!$D$12,2)</f>
        <v>62004.480000000003</v>
      </c>
      <c r="J154" s="56">
        <f t="shared" si="17"/>
        <v>427.83</v>
      </c>
    </row>
    <row r="155" spans="1:10" ht="25.5" x14ac:dyDescent="0.25">
      <c r="A155" s="107">
        <v>127</v>
      </c>
      <c r="B155" s="66" t="s">
        <v>319</v>
      </c>
      <c r="C155" s="55" t="s">
        <v>320</v>
      </c>
      <c r="D155" s="66" t="s">
        <v>167</v>
      </c>
      <c r="E155" s="66">
        <v>4.4000000000000003E-3</v>
      </c>
      <c r="F155" s="56">
        <v>8475</v>
      </c>
      <c r="G155" s="50">
        <f t="shared" si="18"/>
        <v>37.29</v>
      </c>
      <c r="H155" s="110">
        <f t="shared" si="16"/>
        <v>6.862286839593669E-6</v>
      </c>
      <c r="I155" s="56">
        <f>ROUND(F155*Прил.10!$D$12,2)</f>
        <v>68139</v>
      </c>
      <c r="J155" s="56">
        <f t="shared" si="17"/>
        <v>299.81</v>
      </c>
    </row>
    <row r="156" spans="1:10" x14ac:dyDescent="0.25">
      <c r="A156" s="107">
        <v>128</v>
      </c>
      <c r="B156" s="66" t="s">
        <v>321</v>
      </c>
      <c r="C156" s="55" t="s">
        <v>322</v>
      </c>
      <c r="D156" s="66" t="s">
        <v>167</v>
      </c>
      <c r="E156" s="66">
        <v>4.0000000000000001E-3</v>
      </c>
      <c r="F156" s="56">
        <v>7640</v>
      </c>
      <c r="G156" s="50">
        <f t="shared" si="18"/>
        <v>30.560000000000002</v>
      </c>
      <c r="H156" s="110">
        <f t="shared" si="16"/>
        <v>5.6237995660494114E-6</v>
      </c>
      <c r="I156" s="56">
        <f>ROUND(F156*Прил.10!$D$12,2)</f>
        <v>61425.599999999999</v>
      </c>
      <c r="J156" s="56">
        <f t="shared" si="17"/>
        <v>245.7</v>
      </c>
    </row>
    <row r="157" spans="1:10" x14ac:dyDescent="0.25">
      <c r="A157" s="107">
        <v>129</v>
      </c>
      <c r="B157" s="66" t="s">
        <v>323</v>
      </c>
      <c r="C157" s="55" t="s">
        <v>324</v>
      </c>
      <c r="D157" s="66" t="s">
        <v>159</v>
      </c>
      <c r="E157" s="66">
        <v>42</v>
      </c>
      <c r="F157" s="56">
        <v>0.71</v>
      </c>
      <c r="G157" s="50">
        <f t="shared" si="18"/>
        <v>29.82</v>
      </c>
      <c r="H157" s="110">
        <f t="shared" si="16"/>
        <v>5.4876211734160154E-6</v>
      </c>
      <c r="I157" s="56">
        <f>ROUND(F157*Прил.10!$D$12,2)</f>
        <v>5.71</v>
      </c>
      <c r="J157" s="56">
        <f t="shared" si="17"/>
        <v>239.82</v>
      </c>
    </row>
    <row r="158" spans="1:10" x14ac:dyDescent="0.25">
      <c r="A158" s="107">
        <v>130</v>
      </c>
      <c r="B158" s="66" t="s">
        <v>325</v>
      </c>
      <c r="C158" s="55" t="s">
        <v>326</v>
      </c>
      <c r="D158" s="66" t="s">
        <v>167</v>
      </c>
      <c r="E158" s="66">
        <v>6.9999999999999999E-4</v>
      </c>
      <c r="F158" s="56">
        <v>37900</v>
      </c>
      <c r="G158" s="50">
        <f t="shared" si="18"/>
        <v>26.53</v>
      </c>
      <c r="H158" s="110">
        <f t="shared" si="16"/>
        <v>4.8821794007621359E-6</v>
      </c>
      <c r="I158" s="56">
        <f>ROUND(F158*Прил.10!$D$12,2)</f>
        <v>304716</v>
      </c>
      <c r="J158" s="56">
        <f t="shared" si="17"/>
        <v>213.3</v>
      </c>
    </row>
    <row r="159" spans="1:10" x14ac:dyDescent="0.25">
      <c r="A159" s="107">
        <v>131</v>
      </c>
      <c r="B159" s="66" t="s">
        <v>327</v>
      </c>
      <c r="C159" s="55" t="s">
        <v>328</v>
      </c>
      <c r="D159" s="66" t="s">
        <v>299</v>
      </c>
      <c r="E159" s="66">
        <v>0.12559999999999999</v>
      </c>
      <c r="F159" s="56">
        <v>110</v>
      </c>
      <c r="G159" s="50">
        <f t="shared" si="18"/>
        <v>13.815999999999999</v>
      </c>
      <c r="H159" s="110">
        <f t="shared" si="16"/>
        <v>2.5424873954364743E-6</v>
      </c>
      <c r="I159" s="56">
        <f>ROUND(F159*Прил.10!$D$12,2)</f>
        <v>884.4</v>
      </c>
      <c r="J159" s="56">
        <f t="shared" si="17"/>
        <v>111.08</v>
      </c>
    </row>
    <row r="160" spans="1:10" ht="25.5" x14ac:dyDescent="0.25">
      <c r="A160" s="107">
        <v>132</v>
      </c>
      <c r="B160" s="66" t="s">
        <v>329</v>
      </c>
      <c r="C160" s="55" t="s">
        <v>330</v>
      </c>
      <c r="D160" s="66" t="s">
        <v>167</v>
      </c>
      <c r="E160" s="66">
        <v>2.8299999999999999E-2</v>
      </c>
      <c r="F160" s="56">
        <v>480</v>
      </c>
      <c r="G160" s="50">
        <f t="shared" si="18"/>
        <v>13.584</v>
      </c>
      <c r="H160" s="110">
        <f t="shared" si="16"/>
        <v>2.4997936290973557E-6</v>
      </c>
      <c r="I160" s="56">
        <f>ROUND(F160*Прил.10!$D$12,2)</f>
        <v>3859.2</v>
      </c>
      <c r="J160" s="56">
        <f t="shared" si="17"/>
        <v>109.22</v>
      </c>
    </row>
    <row r="161" spans="1:10" ht="38.25" x14ac:dyDescent="0.25">
      <c r="A161" s="107">
        <v>133</v>
      </c>
      <c r="B161" s="66" t="s">
        <v>331</v>
      </c>
      <c r="C161" s="55" t="s">
        <v>332</v>
      </c>
      <c r="D161" s="66" t="s">
        <v>164</v>
      </c>
      <c r="E161" s="66">
        <v>7.1000000000000004E-3</v>
      </c>
      <c r="F161" s="56">
        <v>1700</v>
      </c>
      <c r="G161" s="50">
        <f t="shared" si="18"/>
        <v>12.07</v>
      </c>
      <c r="H161" s="110">
        <f t="shared" si="16"/>
        <v>2.2211799987636253E-6</v>
      </c>
      <c r="I161" s="56">
        <f>ROUND(F161*Прил.10!$D$12,2)</f>
        <v>13668</v>
      </c>
      <c r="J161" s="56">
        <f t="shared" si="17"/>
        <v>97.04</v>
      </c>
    </row>
    <row r="162" spans="1:10" x14ac:dyDescent="0.25">
      <c r="A162" s="107">
        <v>134</v>
      </c>
      <c r="B162" s="66" t="s">
        <v>333</v>
      </c>
      <c r="C162" s="55" t="s">
        <v>334</v>
      </c>
      <c r="D162" s="66" t="s">
        <v>159</v>
      </c>
      <c r="E162" s="66">
        <v>42</v>
      </c>
      <c r="F162" s="56">
        <v>0.27</v>
      </c>
      <c r="G162" s="50">
        <f t="shared" si="18"/>
        <v>11.34</v>
      </c>
      <c r="H162" s="110">
        <f t="shared" si="16"/>
        <v>2.0868418546793298E-6</v>
      </c>
      <c r="I162" s="56">
        <f>ROUND(F162*Прил.10!$D$12,2)</f>
        <v>2.17</v>
      </c>
      <c r="J162" s="56">
        <f t="shared" si="17"/>
        <v>91.14</v>
      </c>
    </row>
    <row r="163" spans="1:10" ht="25.5" x14ac:dyDescent="0.25">
      <c r="A163" s="107">
        <v>135</v>
      </c>
      <c r="B163" s="66" t="s">
        <v>335</v>
      </c>
      <c r="C163" s="55" t="s">
        <v>336</v>
      </c>
      <c r="D163" s="66" t="s">
        <v>198</v>
      </c>
      <c r="E163" s="66">
        <v>0.1404</v>
      </c>
      <c r="F163" s="56">
        <v>68.05</v>
      </c>
      <c r="G163" s="50">
        <f t="shared" si="18"/>
        <v>9.554219999999999</v>
      </c>
      <c r="H163" s="110">
        <f t="shared" si="16"/>
        <v>1.7582139492781608E-6</v>
      </c>
      <c r="I163" s="56">
        <f>ROUND(F163*Прил.10!$D$12,2)</f>
        <v>547.12</v>
      </c>
      <c r="J163" s="56">
        <f t="shared" si="17"/>
        <v>76.819999999999993</v>
      </c>
    </row>
    <row r="164" spans="1:10" ht="51" x14ac:dyDescent="0.25">
      <c r="A164" s="107">
        <v>136</v>
      </c>
      <c r="B164" s="66" t="s">
        <v>337</v>
      </c>
      <c r="C164" s="55" t="s">
        <v>338</v>
      </c>
      <c r="D164" s="66" t="s">
        <v>339</v>
      </c>
      <c r="E164" s="66">
        <v>0.12820000000000001</v>
      </c>
      <c r="F164" s="56">
        <v>50.23</v>
      </c>
      <c r="G164" s="50">
        <f t="shared" si="18"/>
        <v>6.4394859999999996</v>
      </c>
      <c r="H164" s="110">
        <f t="shared" si="16"/>
        <v>1.1850254768449363E-6</v>
      </c>
      <c r="I164" s="56">
        <f>ROUND(F164*Прил.10!$D$12,2)</f>
        <v>403.85</v>
      </c>
      <c r="J164" s="56">
        <f t="shared" si="17"/>
        <v>51.77</v>
      </c>
    </row>
    <row r="165" spans="1:10" x14ac:dyDescent="0.25">
      <c r="A165" s="107">
        <v>137</v>
      </c>
      <c r="B165" s="66" t="s">
        <v>340</v>
      </c>
      <c r="C165" s="55" t="s">
        <v>341</v>
      </c>
      <c r="D165" s="66" t="s">
        <v>167</v>
      </c>
      <c r="E165" s="66">
        <v>2.0000000000000001E-4</v>
      </c>
      <c r="F165" s="56">
        <v>23500</v>
      </c>
      <c r="G165" s="50">
        <f t="shared" si="18"/>
        <v>4.7</v>
      </c>
      <c r="H165" s="110">
        <f t="shared" si="16"/>
        <v>8.6491681807697093E-7</v>
      </c>
      <c r="I165" s="56">
        <f>ROUND(F165*Прил.10!$D$12,2)</f>
        <v>188940</v>
      </c>
      <c r="J165" s="56">
        <f t="shared" si="17"/>
        <v>37.79</v>
      </c>
    </row>
    <row r="166" spans="1:10" x14ac:dyDescent="0.25">
      <c r="A166" s="107">
        <v>138</v>
      </c>
      <c r="B166" s="66" t="s">
        <v>342</v>
      </c>
      <c r="C166" s="55" t="s">
        <v>343</v>
      </c>
      <c r="D166" s="66" t="s">
        <v>159</v>
      </c>
      <c r="E166" s="66">
        <v>176.8</v>
      </c>
      <c r="F166" s="56">
        <v>0.02</v>
      </c>
      <c r="G166" s="50">
        <f t="shared" si="18"/>
        <v>3.5360000000000005</v>
      </c>
      <c r="H166" s="110">
        <f t="shared" si="16"/>
        <v>6.5071188696173814E-7</v>
      </c>
      <c r="I166" s="56">
        <f>ROUND(F166*Прил.10!$D$12,2)</f>
        <v>0.16</v>
      </c>
      <c r="J166" s="56">
        <f t="shared" si="17"/>
        <v>28.29</v>
      </c>
    </row>
    <row r="167" spans="1:10" x14ac:dyDescent="0.25">
      <c r="A167" s="107">
        <v>139</v>
      </c>
      <c r="B167" s="66" t="s">
        <v>344</v>
      </c>
      <c r="C167" s="55" t="s">
        <v>345</v>
      </c>
      <c r="D167" s="66" t="s">
        <v>167</v>
      </c>
      <c r="E167" s="66">
        <v>4.0000000000000002E-4</v>
      </c>
      <c r="F167" s="56">
        <v>7826.9</v>
      </c>
      <c r="G167" s="50">
        <f t="shared" si="18"/>
        <v>3.13076</v>
      </c>
      <c r="H167" s="110">
        <f t="shared" si="16"/>
        <v>5.761376547580122E-7</v>
      </c>
      <c r="I167" s="56">
        <f>ROUND(F167*Прил.10!$D$12,2)</f>
        <v>62928.28</v>
      </c>
      <c r="J167" s="56">
        <f t="shared" si="17"/>
        <v>25.17</v>
      </c>
    </row>
    <row r="168" spans="1:10" x14ac:dyDescent="0.25">
      <c r="A168" s="107">
        <v>140</v>
      </c>
      <c r="B168" s="66" t="s">
        <v>346</v>
      </c>
      <c r="C168" s="55" t="s">
        <v>347</v>
      </c>
      <c r="D168" s="66" t="s">
        <v>348</v>
      </c>
      <c r="E168" s="66">
        <v>1.32E-2</v>
      </c>
      <c r="F168" s="56">
        <v>120</v>
      </c>
      <c r="G168" s="50">
        <f t="shared" si="18"/>
        <v>1.5840000000000001</v>
      </c>
      <c r="H168" s="110">
        <f t="shared" si="16"/>
        <v>2.9149537017743018E-7</v>
      </c>
      <c r="I168" s="56">
        <f>ROUND(F168*Прил.10!$D$12,2)</f>
        <v>964.8</v>
      </c>
      <c r="J168" s="56">
        <f t="shared" si="17"/>
        <v>12.74</v>
      </c>
    </row>
    <row r="169" spans="1:10" x14ac:dyDescent="0.25">
      <c r="A169" s="107">
        <v>141</v>
      </c>
      <c r="B169" s="66" t="s">
        <v>349</v>
      </c>
      <c r="C169" s="55" t="s">
        <v>227</v>
      </c>
      <c r="D169" s="66" t="s">
        <v>350</v>
      </c>
      <c r="E169" s="66">
        <v>0.4</v>
      </c>
      <c r="F169" s="56">
        <v>3.75</v>
      </c>
      <c r="G169" s="50">
        <f t="shared" si="18"/>
        <v>1.5</v>
      </c>
      <c r="H169" s="110">
        <f t="shared" si="16"/>
        <v>2.760372823649907E-7</v>
      </c>
      <c r="I169" s="56">
        <f>ROUND(F169*Прил.10!$D$12,2)</f>
        <v>30.15</v>
      </c>
      <c r="J169" s="56">
        <f t="shared" si="17"/>
        <v>12.06</v>
      </c>
    </row>
    <row r="170" spans="1:10" ht="25.5" x14ac:dyDescent="0.25">
      <c r="A170" s="107">
        <v>142</v>
      </c>
      <c r="B170" s="66" t="s">
        <v>351</v>
      </c>
      <c r="C170" s="55" t="s">
        <v>352</v>
      </c>
      <c r="D170" s="66" t="s">
        <v>164</v>
      </c>
      <c r="E170" s="66">
        <v>2.3599999999999999E-2</v>
      </c>
      <c r="F170" s="56">
        <v>59.99</v>
      </c>
      <c r="G170" s="50">
        <f t="shared" si="18"/>
        <v>1.415764</v>
      </c>
      <c r="H170" s="110">
        <f t="shared" si="16"/>
        <v>2.6053576468679249E-7</v>
      </c>
      <c r="I170" s="56">
        <f>ROUND(F170*Прил.10!$D$12,2)</f>
        <v>482.32</v>
      </c>
      <c r="J170" s="56">
        <f t="shared" si="17"/>
        <v>11.38</v>
      </c>
    </row>
    <row r="171" spans="1:10" x14ac:dyDescent="0.25">
      <c r="A171" s="107">
        <v>143</v>
      </c>
      <c r="B171" s="66" t="s">
        <v>353</v>
      </c>
      <c r="C171" s="55" t="s">
        <v>354</v>
      </c>
      <c r="D171" s="66" t="s">
        <v>198</v>
      </c>
      <c r="E171" s="66">
        <v>0.11</v>
      </c>
      <c r="F171" s="56">
        <v>11.5</v>
      </c>
      <c r="G171" s="50">
        <f t="shared" si="18"/>
        <v>1.2649999999999999</v>
      </c>
      <c r="H171" s="110">
        <f t="shared" si="16"/>
        <v>2.3279144146114215E-7</v>
      </c>
      <c r="I171" s="56">
        <f>ROUND(F171*Прил.10!$D$12,2)</f>
        <v>92.46</v>
      </c>
      <c r="J171" s="56">
        <f t="shared" si="17"/>
        <v>10.17</v>
      </c>
    </row>
    <row r="172" spans="1:10" x14ac:dyDescent="0.25">
      <c r="A172" s="107">
        <v>144</v>
      </c>
      <c r="B172" s="66" t="s">
        <v>355</v>
      </c>
      <c r="C172" s="55" t="s">
        <v>356</v>
      </c>
      <c r="D172" s="66" t="s">
        <v>167</v>
      </c>
      <c r="E172" s="66">
        <v>1E-4</v>
      </c>
      <c r="F172" s="56">
        <v>12430</v>
      </c>
      <c r="G172" s="50">
        <f t="shared" si="18"/>
        <v>1.2430000000000001</v>
      </c>
      <c r="H172" s="110">
        <f t="shared" ref="H172:H203" si="19">G172/$G$177</f>
        <v>2.2874289465312231E-7</v>
      </c>
      <c r="I172" s="56">
        <f>ROUND(F172*Прил.10!$D$12,2)</f>
        <v>99937.2</v>
      </c>
      <c r="J172" s="56">
        <f t="shared" si="17"/>
        <v>9.99</v>
      </c>
    </row>
    <row r="173" spans="1:10" ht="25.5" x14ac:dyDescent="0.25">
      <c r="A173" s="107">
        <v>145</v>
      </c>
      <c r="B173" s="66" t="s">
        <v>357</v>
      </c>
      <c r="C173" s="55" t="s">
        <v>358</v>
      </c>
      <c r="D173" s="66" t="s">
        <v>167</v>
      </c>
      <c r="E173" s="66">
        <v>2.0000000000000001E-4</v>
      </c>
      <c r="F173" s="56">
        <v>4455.2</v>
      </c>
      <c r="G173" s="50">
        <f t="shared" si="18"/>
        <v>0.89104000000000005</v>
      </c>
      <c r="H173" s="110">
        <f t="shared" si="19"/>
        <v>1.6397350671900089E-7</v>
      </c>
      <c r="I173" s="56">
        <f>ROUND(F173*Прил.10!$D$12,2)</f>
        <v>35819.81</v>
      </c>
      <c r="J173" s="56">
        <f t="shared" si="17"/>
        <v>7.16</v>
      </c>
    </row>
    <row r="174" spans="1:10" ht="25.5" x14ac:dyDescent="0.25">
      <c r="A174" s="107">
        <v>146</v>
      </c>
      <c r="B174" s="66" t="s">
        <v>359</v>
      </c>
      <c r="C174" s="55" t="s">
        <v>360</v>
      </c>
      <c r="D174" s="66" t="s">
        <v>164</v>
      </c>
      <c r="E174" s="66">
        <v>2.2000000000000001E-3</v>
      </c>
      <c r="F174" s="56">
        <v>108.4</v>
      </c>
      <c r="G174" s="50">
        <f t="shared" si="18"/>
        <v>0.23848000000000003</v>
      </c>
      <c r="H174" s="110">
        <f t="shared" si="19"/>
        <v>4.3886247398935329E-8</v>
      </c>
      <c r="I174" s="56">
        <f>ROUND(F174*Прил.10!$D$12,2)</f>
        <v>871.54</v>
      </c>
      <c r="J174" s="56">
        <f t="shared" si="17"/>
        <v>1.92</v>
      </c>
    </row>
    <row r="175" spans="1:10" x14ac:dyDescent="0.25">
      <c r="A175" s="107">
        <v>147</v>
      </c>
      <c r="B175" s="66" t="s">
        <v>361</v>
      </c>
      <c r="C175" s="55" t="s">
        <v>362</v>
      </c>
      <c r="D175" s="66" t="s">
        <v>164</v>
      </c>
      <c r="E175" s="66">
        <v>6.0000000000000001E-3</v>
      </c>
      <c r="F175" s="56">
        <v>2.44</v>
      </c>
      <c r="G175" s="50">
        <f t="shared" si="18"/>
        <v>1.464E-2</v>
      </c>
      <c r="H175" s="110">
        <f t="shared" si="19"/>
        <v>2.6941238758823095E-9</v>
      </c>
      <c r="I175" s="56">
        <f>ROUND(F175*Прил.10!$D$12,2)</f>
        <v>19.62</v>
      </c>
      <c r="J175" s="56">
        <f t="shared" si="17"/>
        <v>0.12</v>
      </c>
    </row>
    <row r="176" spans="1:10" x14ac:dyDescent="0.25">
      <c r="A176" s="107"/>
      <c r="B176" s="107"/>
      <c r="C176" s="106" t="s">
        <v>445</v>
      </c>
      <c r="D176" s="107"/>
      <c r="E176" s="108"/>
      <c r="F176" s="109"/>
      <c r="G176" s="56">
        <f>SUM(G85:G175)</f>
        <v>761564.51883430965</v>
      </c>
      <c r="H176" s="110">
        <f>G176/G177</f>
        <v>0.14014680008308308</v>
      </c>
      <c r="I176" s="56"/>
      <c r="J176" s="56">
        <f>SUM(J85:J175)</f>
        <v>6122973.5800000001</v>
      </c>
    </row>
    <row r="177" spans="1:12" x14ac:dyDescent="0.25">
      <c r="A177" s="107"/>
      <c r="B177" s="107"/>
      <c r="C177" s="101" t="s">
        <v>446</v>
      </c>
      <c r="D177" s="107"/>
      <c r="E177" s="108"/>
      <c r="F177" s="109"/>
      <c r="G177" s="56">
        <f>G84+G176</f>
        <v>5434048.5718035102</v>
      </c>
      <c r="H177" s="110">
        <v>1</v>
      </c>
      <c r="I177" s="109"/>
      <c r="J177" s="56">
        <f>J84+J176</f>
        <v>43689744.729999997</v>
      </c>
      <c r="K177" s="30"/>
    </row>
    <row r="178" spans="1:12" x14ac:dyDescent="0.25">
      <c r="A178" s="107"/>
      <c r="B178" s="107"/>
      <c r="C178" s="106" t="s">
        <v>447</v>
      </c>
      <c r="D178" s="107"/>
      <c r="E178" s="108"/>
      <c r="F178" s="109"/>
      <c r="G178" s="56">
        <f>G14+G59+G177</f>
        <v>6212587.2696035104</v>
      </c>
      <c r="H178" s="110"/>
      <c r="I178" s="109"/>
      <c r="J178" s="56">
        <f>J14+J59+J177</f>
        <v>59202159.379999995</v>
      </c>
    </row>
    <row r="179" spans="1:12" x14ac:dyDescent="0.25">
      <c r="A179" s="107"/>
      <c r="B179" s="107"/>
      <c r="C179" s="106" t="s">
        <v>448</v>
      </c>
      <c r="D179" s="107" t="s">
        <v>449</v>
      </c>
      <c r="E179" s="67">
        <f>ROUND(G179/(G14+G16),2)</f>
        <v>1.62</v>
      </c>
      <c r="F179" s="109"/>
      <c r="G179" s="56">
        <v>249819.34</v>
      </c>
      <c r="H179" s="110"/>
      <c r="I179" s="109"/>
      <c r="J179" s="56">
        <f>ROUND(E179*(J14+J16),2)</f>
        <v>11523256.93</v>
      </c>
      <c r="K179" s="31"/>
    </row>
    <row r="180" spans="1:12" x14ac:dyDescent="0.25">
      <c r="A180" s="107"/>
      <c r="B180" s="107"/>
      <c r="C180" s="106" t="s">
        <v>450</v>
      </c>
      <c r="D180" s="107" t="s">
        <v>449</v>
      </c>
      <c r="E180" s="67">
        <f>ROUND(G180/(G14+G16),2)</f>
        <v>0.99</v>
      </c>
      <c r="F180" s="109"/>
      <c r="G180" s="56">
        <v>152614.76</v>
      </c>
      <c r="H180" s="110"/>
      <c r="I180" s="109"/>
      <c r="J180" s="56">
        <f>ROUND(E180*(J14+J16),2)</f>
        <v>7041990.3399999999</v>
      </c>
      <c r="K180" s="31"/>
    </row>
    <row r="181" spans="1:12" x14ac:dyDescent="0.25">
      <c r="A181" s="107"/>
      <c r="B181" s="107"/>
      <c r="C181" s="106" t="s">
        <v>451</v>
      </c>
      <c r="D181" s="107"/>
      <c r="E181" s="108"/>
      <c r="F181" s="109"/>
      <c r="G181" s="56">
        <f>G14+G59+G177+G179+G180</f>
        <v>6615021.36960351</v>
      </c>
      <c r="H181" s="110"/>
      <c r="I181" s="109"/>
      <c r="J181" s="56">
        <f>J14+J59+J177+J179+J180</f>
        <v>77767406.650000006</v>
      </c>
      <c r="L181" s="32"/>
    </row>
    <row r="182" spans="1:12" x14ac:dyDescent="0.25">
      <c r="A182" s="107"/>
      <c r="B182" s="107"/>
      <c r="C182" s="106" t="s">
        <v>452</v>
      </c>
      <c r="D182" s="107"/>
      <c r="E182" s="108"/>
      <c r="F182" s="109"/>
      <c r="G182" s="56">
        <f>G181+G72</f>
        <v>31477474.74960351</v>
      </c>
      <c r="H182" s="110"/>
      <c r="I182" s="109"/>
      <c r="J182" s="56">
        <f>J181+J72</f>
        <v>233406365.70000002</v>
      </c>
      <c r="L182" s="31"/>
    </row>
    <row r="183" spans="1:12" x14ac:dyDescent="0.25">
      <c r="A183" s="107"/>
      <c r="B183" s="107"/>
      <c r="C183" s="106" t="s">
        <v>402</v>
      </c>
      <c r="D183" s="107" t="s">
        <v>453</v>
      </c>
      <c r="E183" s="80">
        <v>11</v>
      </c>
      <c r="F183" s="109"/>
      <c r="G183" s="56">
        <f>G182/E183</f>
        <v>2861588.6136003193</v>
      </c>
      <c r="H183" s="110"/>
      <c r="I183" s="109"/>
      <c r="J183" s="56">
        <f>J182/E183</f>
        <v>21218760.518181819</v>
      </c>
      <c r="L183" s="31"/>
    </row>
    <row r="185" spans="1:12" x14ac:dyDescent="0.25">
      <c r="A185" s="69"/>
    </row>
    <row r="186" spans="1:12" x14ac:dyDescent="0.25">
      <c r="A186" s="78" t="s">
        <v>365</v>
      </c>
      <c r="B186" s="79"/>
    </row>
    <row r="187" spans="1:12" x14ac:dyDescent="0.25">
      <c r="A187" s="71" t="s">
        <v>34</v>
      </c>
      <c r="B187" s="79"/>
    </row>
    <row r="188" spans="1:12" x14ac:dyDescent="0.25">
      <c r="A188" s="78"/>
      <c r="B188" s="79"/>
    </row>
    <row r="189" spans="1:12" x14ac:dyDescent="0.25">
      <c r="A189" s="78" t="s">
        <v>36</v>
      </c>
      <c r="B189" s="79"/>
    </row>
    <row r="190" spans="1:12" x14ac:dyDescent="0.25">
      <c r="A190" s="71" t="s">
        <v>37</v>
      </c>
      <c r="B190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G27"/>
  <sheetViews>
    <sheetView workbookViewId="0"/>
  </sheetViews>
  <sheetFormatPr defaultRowHeight="15" x14ac:dyDescent="0.25"/>
  <sheetData>
    <row r="1" spans="1:7" x14ac:dyDescent="0.25">
      <c r="A1" s="116" t="s">
        <v>454</v>
      </c>
    </row>
    <row r="2" spans="1:7" x14ac:dyDescent="0.25">
      <c r="A2" s="116"/>
      <c r="B2" s="116"/>
      <c r="C2" s="116"/>
      <c r="D2" s="116"/>
      <c r="E2" s="116"/>
      <c r="F2" s="116"/>
      <c r="G2" s="116"/>
    </row>
    <row r="3" spans="1:7" x14ac:dyDescent="0.25">
      <c r="A3" s="103" t="s">
        <v>455</v>
      </c>
    </row>
    <row r="4" spans="1:7" x14ac:dyDescent="0.25">
      <c r="A4" s="113" t="str">
        <f>'Прил.1 Сравнит табл'!B7</f>
        <v>Наименование разрабатываемого показателя УНЦ - Ячейка выключателя НУ 110кВ, ном.ток 2500А, ном.ток отключения 40кА</v>
      </c>
    </row>
    <row r="5" spans="1:7" x14ac:dyDescent="0.25">
      <c r="A5" s="78"/>
      <c r="B5" s="78"/>
      <c r="C5" s="78"/>
      <c r="D5" s="78"/>
      <c r="E5" s="78"/>
      <c r="F5" s="78"/>
      <c r="G5" s="78"/>
    </row>
    <row r="6" spans="1:7" ht="76.5" x14ac:dyDescent="0.25">
      <c r="A6" s="117" t="s">
        <v>407</v>
      </c>
      <c r="B6" s="117" t="s">
        <v>58</v>
      </c>
      <c r="C6" s="117" t="s">
        <v>368</v>
      </c>
      <c r="D6" s="117" t="s">
        <v>60</v>
      </c>
      <c r="E6" s="107" t="s">
        <v>408</v>
      </c>
      <c r="F6" s="117" t="s">
        <v>62</v>
      </c>
      <c r="G6" s="120"/>
    </row>
    <row r="7" spans="1:7" ht="25.5" x14ac:dyDescent="0.25">
      <c r="A7" s="122"/>
      <c r="B7" s="122"/>
      <c r="C7" s="122"/>
      <c r="D7" s="122"/>
      <c r="E7" s="122"/>
      <c r="F7" s="107" t="s">
        <v>411</v>
      </c>
      <c r="G7" s="107" t="s">
        <v>64</v>
      </c>
    </row>
    <row r="8" spans="1:7" x14ac:dyDescent="0.25">
      <c r="A8" s="107">
        <v>1</v>
      </c>
      <c r="B8" s="107">
        <v>2</v>
      </c>
      <c r="C8" s="107">
        <v>3</v>
      </c>
      <c r="D8" s="107">
        <v>4</v>
      </c>
      <c r="E8" s="107">
        <v>5</v>
      </c>
      <c r="F8" s="107">
        <v>6</v>
      </c>
      <c r="G8" s="107">
        <v>7</v>
      </c>
    </row>
    <row r="9" spans="1:7" ht="51" x14ac:dyDescent="0.25">
      <c r="A9" s="64"/>
      <c r="B9" s="106" t="s">
        <v>456</v>
      </c>
      <c r="C9" s="119"/>
      <c r="D9" s="119"/>
      <c r="E9" s="119"/>
      <c r="F9" s="119"/>
      <c r="G9" s="120"/>
    </row>
    <row r="10" spans="1:7" ht="63.75" x14ac:dyDescent="0.25">
      <c r="A10" s="107"/>
      <c r="B10" s="101"/>
      <c r="C10" s="106" t="s">
        <v>457</v>
      </c>
      <c r="D10" s="101"/>
      <c r="E10" s="1"/>
      <c r="F10" s="109"/>
      <c r="G10" s="109">
        <v>0</v>
      </c>
    </row>
    <row r="11" spans="1:7" ht="63.75" x14ac:dyDescent="0.25">
      <c r="A11" s="107"/>
      <c r="B11" s="106" t="s">
        <v>458</v>
      </c>
      <c r="C11" s="119"/>
      <c r="D11" s="119"/>
      <c r="E11" s="119"/>
      <c r="F11" s="119"/>
      <c r="G11" s="120"/>
    </row>
    <row r="12" spans="1:7" x14ac:dyDescent="0.25">
      <c r="A12" s="107">
        <v>1</v>
      </c>
      <c r="B12" s="66" t="str">
        <f>'Прил.5 Расчет СМР и ОБ'!B62</f>
        <v>БЦ.61.708</v>
      </c>
      <c r="C12" s="55" t="str">
        <f>'Прил.5 Расчет СМР и ОБ'!C62</f>
        <v>Разъединитель трехполюсный с двумя комплектами заз ножей 110 кВ, 2500 А ном, 40 кА.</v>
      </c>
      <c r="D12" s="66" t="str">
        <f>'Прил.5 Расчет СМР и ОБ'!D62</f>
        <v>шт</v>
      </c>
      <c r="E12" s="66">
        <f>'Прил.5 Расчет СМР и ОБ'!E62</f>
        <v>14</v>
      </c>
      <c r="F12" s="56">
        <f>'Прил.5 Расчет СМР и ОБ'!F62</f>
        <v>450479.23</v>
      </c>
      <c r="G12" s="56">
        <f>'Прил.5 Расчет СМР и ОБ'!G62</f>
        <v>6306709.2199999997</v>
      </c>
    </row>
    <row r="13" spans="1:7" x14ac:dyDescent="0.25">
      <c r="A13" s="107">
        <f t="shared" ref="A13:A19" si="0">A12+1</f>
        <v>2</v>
      </c>
      <c r="B13" s="66" t="str">
        <f>'Прил.5 Расчет СМР и ОБ'!B63</f>
        <v>БЦ.14.239</v>
      </c>
      <c r="C13" s="55" t="str">
        <f>'Прил.5 Расчет СМР и ОБ'!C63</f>
        <v>Трансформатор тока 110кВ, 2500 А, 40 кА</v>
      </c>
      <c r="D13" s="66" t="str">
        <f>'Прил.5 Расчет СМР и ОБ'!D63</f>
        <v>шт</v>
      </c>
      <c r="E13" s="66">
        <f>'Прил.5 Расчет СМР и ОБ'!E63</f>
        <v>33</v>
      </c>
      <c r="F13" s="56">
        <f>'Прил.5 Расчет СМР и ОБ'!F63</f>
        <v>168972.84</v>
      </c>
      <c r="G13" s="56">
        <f>'Прил.5 Расчет СМР и ОБ'!G63</f>
        <v>5576103.7199999997</v>
      </c>
    </row>
    <row r="14" spans="1:7" x14ac:dyDescent="0.25">
      <c r="A14" s="107">
        <f t="shared" si="0"/>
        <v>3</v>
      </c>
      <c r="B14" s="66" t="str">
        <f>'Прил.5 Расчет СМР и ОБ'!B64</f>
        <v>БЦ.1.114</v>
      </c>
      <c r="C14" s="55" t="str">
        <f>'Прил.5 Расчет СМР и ОБ'!C64</f>
        <v>Выключатель элегазовый трёхполюсный , колонковый 110 кВ, 2500 А, 40 кА</v>
      </c>
      <c r="D14" s="66" t="str">
        <f>'Прил.5 Расчет СМР и ОБ'!D64</f>
        <v>компл.</v>
      </c>
      <c r="E14" s="66">
        <f>'Прил.5 Расчет СМР и ОБ'!E64</f>
        <v>8</v>
      </c>
      <c r="F14" s="56">
        <f>'Прил.5 Расчет СМР и ОБ'!F64</f>
        <v>788052.32</v>
      </c>
      <c r="G14" s="56">
        <f>'Прил.5 Расчет СМР и ОБ'!G64</f>
        <v>6304418.5599999996</v>
      </c>
    </row>
    <row r="15" spans="1:7" x14ac:dyDescent="0.25">
      <c r="A15" s="107">
        <f t="shared" si="0"/>
        <v>4</v>
      </c>
      <c r="B15" s="66" t="str">
        <f>'Прил.5 Расчет СМР и ОБ'!B65</f>
        <v>БЦ.63.708</v>
      </c>
      <c r="C15" s="55" t="str">
        <f>'Прил.5 Расчет СМР и ОБ'!C65</f>
        <v>Разъединитель трехполюсный с одним комплектом заз ножей 110 кВ, 2500 А ном, 40 кА.</v>
      </c>
      <c r="D15" s="66" t="str">
        <f>'Прил.5 Расчет СМР и ОБ'!D65</f>
        <v>шт</v>
      </c>
      <c r="E15" s="66">
        <f>'Прил.5 Расчет СМР и ОБ'!E65</f>
        <v>8</v>
      </c>
      <c r="F15" s="56">
        <f>'Прил.5 Расчет СМР и ОБ'!F65</f>
        <v>405750.8</v>
      </c>
      <c r="G15" s="56">
        <f>'Прил.5 Расчет СМР и ОБ'!G65</f>
        <v>3246006.4</v>
      </c>
    </row>
    <row r="16" spans="1:7" x14ac:dyDescent="0.25">
      <c r="A16" s="107">
        <f t="shared" si="0"/>
        <v>5</v>
      </c>
      <c r="B16" s="66" t="str">
        <f>'Прил.5 Расчет СМР и ОБ'!B66</f>
        <v>БЦ.1.114</v>
      </c>
      <c r="C16" s="55" t="str">
        <f>'Прил.5 Расчет СМР и ОБ'!C66</f>
        <v>Выключатель элегазовый трёхполюсный , колонковый 110 кВ, 110 кВ, 2500 А, 40 кА</v>
      </c>
      <c r="D16" s="66" t="str">
        <f>'Прил.5 Расчет СМР и ОБ'!D66</f>
        <v>компл</v>
      </c>
      <c r="E16" s="66">
        <f>'Прил.5 Расчет СМР и ОБ'!E66</f>
        <v>3</v>
      </c>
      <c r="F16" s="56">
        <f>'Прил.5 Расчет СМР и ОБ'!F66</f>
        <v>788052.32</v>
      </c>
      <c r="G16" s="56">
        <f>'Прил.5 Расчет СМР и ОБ'!G66</f>
        <v>2364156.96</v>
      </c>
    </row>
    <row r="17" spans="1:7" ht="25.5" x14ac:dyDescent="0.25">
      <c r="A17" s="107">
        <f t="shared" si="0"/>
        <v>6</v>
      </c>
      <c r="B17" s="66" t="s">
        <v>431</v>
      </c>
      <c r="C17" s="106" t="str">
        <f>'Прил.5 Расчет СМР и ОБ'!C68</f>
        <v>Трансформатор напряжения однофазный 110кВ, 960 ВА</v>
      </c>
      <c r="D17" s="107" t="str">
        <f>'Прил.5 Расчет СМР и ОБ'!D68</f>
        <v>шт</v>
      </c>
      <c r="E17" s="107">
        <f>'Прил.5 Расчет СМР и ОБ'!E68</f>
        <v>6</v>
      </c>
      <c r="F17" s="56">
        <f>'Прил.5 Расчет СМР и ОБ'!F68</f>
        <v>143749.35999999999</v>
      </c>
      <c r="G17" s="56">
        <f>'Прил.5 Расчет СМР и ОБ'!G68</f>
        <v>862496.15999999992</v>
      </c>
    </row>
    <row r="18" spans="1:7" x14ac:dyDescent="0.25">
      <c r="A18" s="107">
        <f t="shared" si="0"/>
        <v>7</v>
      </c>
      <c r="B18" s="66" t="s">
        <v>433</v>
      </c>
      <c r="C18" s="106" t="str">
        <f>'Прил.5 Расчет СМР и ОБ'!C69</f>
        <v>Ограничитель напряжения ОПН-110</v>
      </c>
      <c r="D18" s="107" t="str">
        <f>'Прил.5 Расчет СМР и ОБ'!D69</f>
        <v>шт.</v>
      </c>
      <c r="E18" s="107">
        <f>'Прил.5 Расчет СМР и ОБ'!E69</f>
        <v>12</v>
      </c>
      <c r="F18" s="56">
        <f>'Прил.5 Расчет СМР и ОБ'!F69</f>
        <v>7346.65</v>
      </c>
      <c r="G18" s="56">
        <f>'Прил.5 Расчет СМР и ОБ'!G69</f>
        <v>88159.799999999988</v>
      </c>
    </row>
    <row r="19" spans="1:7" x14ac:dyDescent="0.25">
      <c r="A19" s="107">
        <f t="shared" si="0"/>
        <v>8</v>
      </c>
      <c r="B19" s="66" t="s">
        <v>434</v>
      </c>
      <c r="C19" s="55" t="str">
        <f>'Прил.5 Расчет СМР и ОБ'!C70</f>
        <v>Разъединитель одноплюсный с одним комплектом заземляющих ножей 10кВ, 2500 А, 40 кА</v>
      </c>
      <c r="D19" s="66" t="str">
        <f>'Прил.5 Расчет СМР и ОБ'!D70</f>
        <v>шт</v>
      </c>
      <c r="E19" s="66">
        <f>'Прил.5 Расчет СМР и ОБ'!E70</f>
        <v>8</v>
      </c>
      <c r="F19" s="56">
        <f>'Прил.5 Расчет СМР и ОБ'!F70</f>
        <v>14300.32</v>
      </c>
      <c r="G19" s="56">
        <f>'Прил.5 Расчет СМР и ОБ'!G70</f>
        <v>114402.56</v>
      </c>
    </row>
    <row r="20" spans="1:7" ht="76.5" x14ac:dyDescent="0.25">
      <c r="A20" s="107"/>
      <c r="B20" s="2"/>
      <c r="C20" s="2" t="s">
        <v>459</v>
      </c>
      <c r="D20" s="2"/>
      <c r="E20" s="3"/>
      <c r="F20" s="109"/>
      <c r="G20" s="56">
        <f>SUM(G12:G19)</f>
        <v>24862453.379999999</v>
      </c>
    </row>
    <row r="21" spans="1:7" ht="51" x14ac:dyDescent="0.25">
      <c r="A21" s="107"/>
      <c r="B21" s="106"/>
      <c r="C21" s="106" t="s">
        <v>460</v>
      </c>
      <c r="D21" s="106"/>
      <c r="E21" s="115"/>
      <c r="F21" s="109"/>
      <c r="G21" s="56">
        <f>G10+G20</f>
        <v>24862453.379999999</v>
      </c>
    </row>
    <row r="22" spans="1:7" x14ac:dyDescent="0.25">
      <c r="A22" s="69"/>
      <c r="B22" s="70"/>
      <c r="C22" s="69"/>
      <c r="D22" s="69"/>
      <c r="E22" s="69"/>
      <c r="F22" s="69"/>
      <c r="G22" s="69"/>
    </row>
    <row r="23" spans="1:7" x14ac:dyDescent="0.25">
      <c r="A23" s="78" t="s">
        <v>365</v>
      </c>
      <c r="B23" s="79"/>
      <c r="D23" s="69"/>
      <c r="E23" s="69"/>
      <c r="F23" s="69"/>
      <c r="G23" s="69"/>
    </row>
    <row r="24" spans="1:7" x14ac:dyDescent="0.25">
      <c r="A24" s="71" t="s">
        <v>34</v>
      </c>
      <c r="B24" s="79"/>
      <c r="D24" s="69"/>
      <c r="E24" s="69"/>
      <c r="F24" s="69"/>
      <c r="G24" s="69"/>
    </row>
    <row r="25" spans="1:7" x14ac:dyDescent="0.25">
      <c r="A25" s="78"/>
      <c r="B25" s="79"/>
      <c r="C25" s="79"/>
      <c r="D25" s="69"/>
      <c r="E25" s="69"/>
      <c r="F25" s="69"/>
      <c r="G25" s="69"/>
    </row>
    <row r="26" spans="1:7" x14ac:dyDescent="0.25">
      <c r="A26" s="78" t="s">
        <v>36</v>
      </c>
      <c r="B26" s="79"/>
      <c r="C26" s="79"/>
      <c r="D26" s="69"/>
      <c r="E26" s="69"/>
      <c r="F26" s="69"/>
      <c r="G26" s="69"/>
    </row>
    <row r="27" spans="1:7" x14ac:dyDescent="0.25">
      <c r="A27" s="71" t="s">
        <v>37</v>
      </c>
      <c r="B27" s="79"/>
      <c r="C27" s="79"/>
      <c r="D27" s="69"/>
      <c r="E27" s="69"/>
      <c r="F27" s="69"/>
      <c r="G27" s="6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E17"/>
  <sheetViews>
    <sheetView workbookViewId="0"/>
  </sheetViews>
  <sheetFormatPr defaultRowHeight="15" x14ac:dyDescent="0.25"/>
  <sheetData>
    <row r="1" spans="1:5" x14ac:dyDescent="0.25">
      <c r="B1" s="78"/>
      <c r="C1" s="78"/>
      <c r="D1" s="116" t="s">
        <v>461</v>
      </c>
    </row>
    <row r="2" spans="1:5" x14ac:dyDescent="0.25">
      <c r="A2" s="116"/>
      <c r="B2" s="116"/>
      <c r="C2" s="116"/>
      <c r="D2" s="116"/>
    </row>
    <row r="3" spans="1:5" x14ac:dyDescent="0.25">
      <c r="A3" s="103" t="s">
        <v>462</v>
      </c>
    </row>
    <row r="4" spans="1:5" x14ac:dyDescent="0.25">
      <c r="A4" s="103"/>
      <c r="B4" s="103"/>
      <c r="C4" s="103"/>
      <c r="D4" s="103"/>
    </row>
    <row r="5" spans="1:5" ht="89.25" x14ac:dyDescent="0.25">
      <c r="A5" s="113" t="s">
        <v>463</v>
      </c>
      <c r="D5" s="113" t="str">
        <f>'Прил.5 Расчет СМР и ОБ'!D6</f>
        <v>Ячейка выключателя НУ 110кВ, ном.ток 2500А, ном.ток отключения 40кА</v>
      </c>
    </row>
    <row r="6" spans="1:5" ht="51" x14ac:dyDescent="0.25">
      <c r="A6" s="113" t="s">
        <v>5</v>
      </c>
      <c r="D6" s="113"/>
    </row>
    <row r="7" spans="1:5" x14ac:dyDescent="0.25">
      <c r="A7" s="78"/>
      <c r="B7" s="78"/>
      <c r="C7" s="78"/>
      <c r="D7" s="78"/>
    </row>
    <row r="8" spans="1:5" ht="102" x14ac:dyDescent="0.25">
      <c r="A8" s="107" t="s">
        <v>464</v>
      </c>
      <c r="B8" s="107" t="s">
        <v>465</v>
      </c>
      <c r="C8" s="107" t="s">
        <v>466</v>
      </c>
      <c r="D8" s="107" t="s">
        <v>467</v>
      </c>
    </row>
    <row r="9" spans="1:5" x14ac:dyDescent="0.25">
      <c r="A9" s="122"/>
      <c r="B9" s="122"/>
      <c r="C9" s="122"/>
      <c r="D9" s="122"/>
    </row>
    <row r="10" spans="1:5" x14ac:dyDescent="0.25">
      <c r="A10" s="107">
        <v>1</v>
      </c>
      <c r="B10" s="107">
        <v>2</v>
      </c>
      <c r="C10" s="107">
        <v>3</v>
      </c>
      <c r="D10" s="107">
        <v>4</v>
      </c>
    </row>
    <row r="11" spans="1:5" ht="76.5" x14ac:dyDescent="0.25">
      <c r="A11" s="107" t="s">
        <v>468</v>
      </c>
      <c r="B11" s="107" t="s">
        <v>469</v>
      </c>
      <c r="C11" s="80" t="str">
        <f>D5</f>
        <v>Ячейка выключателя НУ 110кВ, ном.ток 2500А, ном.ток отключения 40кА</v>
      </c>
      <c r="D11" s="77">
        <f>'Прил.4 РМ'!C41/1000</f>
        <v>23908.719948181821</v>
      </c>
      <c r="E11" s="68"/>
    </row>
    <row r="12" spans="1:5" x14ac:dyDescent="0.25">
      <c r="A12" s="69"/>
      <c r="B12" s="70"/>
      <c r="C12" s="69"/>
      <c r="D12" s="69"/>
    </row>
    <row r="13" spans="1:5" x14ac:dyDescent="0.25">
      <c r="A13" s="78" t="s">
        <v>470</v>
      </c>
      <c r="B13" s="79"/>
      <c r="C13" s="79"/>
      <c r="D13" s="69"/>
    </row>
    <row r="14" spans="1:5" x14ac:dyDescent="0.25">
      <c r="A14" s="71" t="s">
        <v>34</v>
      </c>
      <c r="B14" s="79"/>
      <c r="C14" s="79"/>
      <c r="D14" s="69"/>
    </row>
    <row r="15" spans="1:5" x14ac:dyDescent="0.25">
      <c r="A15" s="78"/>
      <c r="B15" s="79"/>
      <c r="C15" s="79"/>
      <c r="D15" s="69"/>
    </row>
    <row r="16" spans="1:5" x14ac:dyDescent="0.25">
      <c r="A16" s="78" t="s">
        <v>36</v>
      </c>
      <c r="B16" s="79"/>
      <c r="C16" s="79"/>
      <c r="D16" s="69"/>
    </row>
    <row r="17" spans="1:4" x14ac:dyDescent="0.25">
      <c r="A17" s="71" t="s">
        <v>37</v>
      </c>
      <c r="B17" s="79"/>
      <c r="C17" s="79"/>
      <c r="D17" s="6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B4:D30"/>
  <sheetViews>
    <sheetView workbookViewId="0"/>
  </sheetViews>
  <sheetFormatPr defaultRowHeight="15" x14ac:dyDescent="0.25"/>
  <sheetData>
    <row r="4" spans="2:4" ht="15.75" x14ac:dyDescent="0.25">
      <c r="B4" s="91" t="s">
        <v>471</v>
      </c>
    </row>
    <row r="5" spans="2:4" ht="18.75" x14ac:dyDescent="0.25">
      <c r="B5" s="19"/>
    </row>
    <row r="6" spans="2:4" ht="15.75" x14ac:dyDescent="0.25">
      <c r="B6" s="96" t="s">
        <v>472</v>
      </c>
    </row>
    <row r="7" spans="2:4" ht="18.75" x14ac:dyDescent="0.25">
      <c r="B7" s="35"/>
    </row>
    <row r="8" spans="2:4" ht="157.5" x14ac:dyDescent="0.25">
      <c r="B8" s="95" t="s">
        <v>473</v>
      </c>
      <c r="C8" s="95" t="s">
        <v>474</v>
      </c>
      <c r="D8" s="95" t="s">
        <v>475</v>
      </c>
    </row>
    <row r="9" spans="2:4" ht="15.75" x14ac:dyDescent="0.25">
      <c r="B9" s="95">
        <v>1</v>
      </c>
      <c r="C9" s="95">
        <v>2</v>
      </c>
      <c r="D9" s="95">
        <v>3</v>
      </c>
    </row>
    <row r="10" spans="2:4" ht="157.5" x14ac:dyDescent="0.25">
      <c r="B10" s="95" t="s">
        <v>476</v>
      </c>
      <c r="C10" s="95" t="s">
        <v>477</v>
      </c>
      <c r="D10" s="95">
        <v>44.29</v>
      </c>
    </row>
    <row r="11" spans="2:4" ht="157.5" x14ac:dyDescent="0.25">
      <c r="B11" s="95" t="s">
        <v>478</v>
      </c>
      <c r="C11" s="95" t="s">
        <v>477</v>
      </c>
      <c r="D11" s="95">
        <v>13.47</v>
      </c>
    </row>
    <row r="12" spans="2:4" ht="157.5" x14ac:dyDescent="0.25">
      <c r="B12" s="95" t="s">
        <v>479</v>
      </c>
      <c r="C12" s="95" t="s">
        <v>477</v>
      </c>
      <c r="D12" s="95">
        <v>8.0399999999999991</v>
      </c>
    </row>
    <row r="13" spans="2:4" ht="157.5" x14ac:dyDescent="0.25">
      <c r="B13" s="95" t="s">
        <v>480</v>
      </c>
      <c r="C13" s="36" t="s">
        <v>481</v>
      </c>
      <c r="D13" s="95">
        <v>6.26</v>
      </c>
    </row>
    <row r="14" spans="2:4" ht="393.75" x14ac:dyDescent="0.25">
      <c r="B14" s="95" t="s">
        <v>482</v>
      </c>
      <c r="C14" s="95" t="s">
        <v>483</v>
      </c>
      <c r="D14" s="25">
        <v>3.9E-2</v>
      </c>
    </row>
    <row r="15" spans="2:4" ht="409.5" x14ac:dyDescent="0.25">
      <c r="B15" s="95" t="s">
        <v>484</v>
      </c>
      <c r="C15" s="95" t="s">
        <v>485</v>
      </c>
      <c r="D15" s="25">
        <v>2.1000000000000001E-2</v>
      </c>
    </row>
    <row r="16" spans="2:4" ht="63" x14ac:dyDescent="0.25">
      <c r="B16" s="95" t="s">
        <v>392</v>
      </c>
      <c r="C16" s="95"/>
      <c r="D16" s="95" t="s">
        <v>486</v>
      </c>
    </row>
    <row r="17" spans="2:4" ht="110.25" x14ac:dyDescent="0.25">
      <c r="B17" s="95" t="s">
        <v>487</v>
      </c>
      <c r="C17" s="95" t="s">
        <v>488</v>
      </c>
      <c r="D17" s="25">
        <v>2.1399999999999999E-2</v>
      </c>
    </row>
    <row r="18" spans="2:4" ht="94.5" x14ac:dyDescent="0.25">
      <c r="B18" s="95" t="s">
        <v>398</v>
      </c>
      <c r="C18" s="95" t="s">
        <v>489</v>
      </c>
      <c r="D18" s="25">
        <v>2E-3</v>
      </c>
    </row>
    <row r="19" spans="2:4" ht="94.5" x14ac:dyDescent="0.25">
      <c r="B19" s="95" t="s">
        <v>400</v>
      </c>
      <c r="C19" s="95" t="s">
        <v>490</v>
      </c>
      <c r="D19" s="25">
        <v>0.03</v>
      </c>
    </row>
    <row r="20" spans="2:4" ht="18.75" x14ac:dyDescent="0.25">
      <c r="B20" s="35"/>
    </row>
    <row r="21" spans="2:4" ht="18.75" x14ac:dyDescent="0.25">
      <c r="B21" s="35"/>
    </row>
    <row r="22" spans="2:4" ht="18.75" x14ac:dyDescent="0.25">
      <c r="B22" s="35"/>
    </row>
    <row r="23" spans="2:4" ht="18.75" x14ac:dyDescent="0.25">
      <c r="B23" s="35"/>
    </row>
    <row r="26" spans="2:4" x14ac:dyDescent="0.25">
      <c r="B26" s="78" t="s">
        <v>365</v>
      </c>
      <c r="C26" s="79"/>
    </row>
    <row r="27" spans="2:4" x14ac:dyDescent="0.25">
      <c r="B27" s="71" t="s">
        <v>34</v>
      </c>
      <c r="C27" s="79"/>
    </row>
    <row r="28" spans="2:4" x14ac:dyDescent="0.25">
      <c r="B28" s="78"/>
      <c r="C28" s="79"/>
    </row>
    <row r="29" spans="2:4" x14ac:dyDescent="0.25">
      <c r="B29" s="78" t="s">
        <v>36</v>
      </c>
      <c r="C29" s="79"/>
    </row>
    <row r="30" spans="2:4" x14ac:dyDescent="0.25">
      <c r="B30" s="71" t="s">
        <v>37</v>
      </c>
      <c r="C30" s="7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2:G13"/>
  <sheetViews>
    <sheetView workbookViewId="0"/>
  </sheetViews>
  <sheetFormatPr defaultRowHeight="15" x14ac:dyDescent="0.25"/>
  <sheetData>
    <row r="2" spans="1:7" x14ac:dyDescent="0.25">
      <c r="A2" s="118" t="s">
        <v>491</v>
      </c>
    </row>
    <row r="4" spans="1:7" x14ac:dyDescent="0.25">
      <c r="A4" s="6" t="s">
        <v>492</v>
      </c>
    </row>
    <row r="5" spans="1:7" x14ac:dyDescent="0.25">
      <c r="A5" s="7" t="s">
        <v>407</v>
      </c>
      <c r="B5" s="7" t="s">
        <v>493</v>
      </c>
      <c r="C5" s="7" t="s">
        <v>494</v>
      </c>
      <c r="D5" s="7" t="s">
        <v>495</v>
      </c>
      <c r="E5" s="7" t="s">
        <v>496</v>
      </c>
      <c r="F5" s="7" t="s">
        <v>497</v>
      </c>
    </row>
    <row r="6" spans="1:7" x14ac:dyDescent="0.25">
      <c r="A6" s="7">
        <v>1</v>
      </c>
      <c r="B6" s="7">
        <v>2</v>
      </c>
      <c r="C6" s="7">
        <v>3</v>
      </c>
      <c r="D6" s="7">
        <v>4</v>
      </c>
      <c r="E6" s="7">
        <v>5</v>
      </c>
      <c r="F6" s="7">
        <v>6</v>
      </c>
    </row>
    <row r="7" spans="1:7" ht="409.5" x14ac:dyDescent="0.25">
      <c r="A7" s="8" t="s">
        <v>498</v>
      </c>
      <c r="B7" s="24" t="s">
        <v>499</v>
      </c>
      <c r="C7" s="9" t="s">
        <v>500</v>
      </c>
      <c r="D7" s="9" t="s">
        <v>501</v>
      </c>
      <c r="E7" s="23">
        <v>47872.94</v>
      </c>
      <c r="F7" s="24" t="s">
        <v>502</v>
      </c>
    </row>
    <row r="8" spans="1:7" ht="180" x14ac:dyDescent="0.25">
      <c r="A8" s="8" t="s">
        <v>503</v>
      </c>
      <c r="B8" s="24" t="s">
        <v>504</v>
      </c>
      <c r="C8" s="9" t="s">
        <v>505</v>
      </c>
      <c r="D8" s="9" t="s">
        <v>506</v>
      </c>
      <c r="E8" s="23">
        <f>1973/12</f>
        <v>164.41666666666666</v>
      </c>
      <c r="F8" s="24" t="s">
        <v>507</v>
      </c>
      <c r="G8" s="10"/>
    </row>
    <row r="9" spans="1:7" ht="60" x14ac:dyDescent="0.25">
      <c r="A9" s="8" t="s">
        <v>508</v>
      </c>
      <c r="B9" s="24" t="s">
        <v>509</v>
      </c>
      <c r="C9" s="9" t="s">
        <v>510</v>
      </c>
      <c r="D9" s="9" t="s">
        <v>501</v>
      </c>
      <c r="E9" s="23">
        <v>1</v>
      </c>
      <c r="F9" s="24"/>
      <c r="G9" s="11"/>
    </row>
    <row r="10" spans="1:7" ht="45" x14ac:dyDescent="0.25">
      <c r="A10" s="8" t="s">
        <v>511</v>
      </c>
      <c r="B10" s="24" t="s">
        <v>512</v>
      </c>
      <c r="C10" s="9"/>
      <c r="D10" s="9"/>
      <c r="E10" s="12">
        <v>4.2</v>
      </c>
      <c r="F10" s="24" t="s">
        <v>513</v>
      </c>
      <c r="G10" s="11"/>
    </row>
    <row r="11" spans="1:7" ht="360" x14ac:dyDescent="0.25">
      <c r="A11" s="8" t="s">
        <v>514</v>
      </c>
      <c r="B11" s="24" t="s">
        <v>515</v>
      </c>
      <c r="C11" s="9" t="s">
        <v>516</v>
      </c>
      <c r="D11" s="9" t="s">
        <v>501</v>
      </c>
      <c r="E11" s="13">
        <v>1.38</v>
      </c>
      <c r="F11" s="24" t="s">
        <v>517</v>
      </c>
    </row>
    <row r="12" spans="1:7" ht="360" x14ac:dyDescent="0.25">
      <c r="A12" s="8" t="s">
        <v>518</v>
      </c>
      <c r="B12" s="14" t="s">
        <v>519</v>
      </c>
      <c r="C12" s="9" t="s">
        <v>520</v>
      </c>
      <c r="D12" s="9" t="s">
        <v>501</v>
      </c>
      <c r="E12" s="15">
        <v>1.139</v>
      </c>
      <c r="F12" s="16" t="s">
        <v>521</v>
      </c>
      <c r="G12" s="11" t="s">
        <v>522</v>
      </c>
    </row>
    <row r="13" spans="1:7" ht="345" x14ac:dyDescent="0.25">
      <c r="A13" s="8" t="s">
        <v>523</v>
      </c>
      <c r="B13" s="17" t="s">
        <v>524</v>
      </c>
      <c r="C13" s="9" t="s">
        <v>525</v>
      </c>
      <c r="D13" s="9" t="s">
        <v>526</v>
      </c>
      <c r="E13" s="18">
        <f>((E7*E9/E8)*E11)*E12</f>
        <v>457.66433583862141</v>
      </c>
      <c r="F13" s="24" t="s">
        <v>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D.Stromov</dc:creator>
  <cp:lastModifiedBy>D.Stromov</cp:lastModifiedBy>
  <dcterms:created xsi:type="dcterms:W3CDTF">2025-02-07T09:43:44Z</dcterms:created>
  <dcterms:modified xsi:type="dcterms:W3CDTF">2025-02-07T10:05:58Z</dcterms:modified>
</cp:coreProperties>
</file>