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0" sqref="D20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Установка 3-ф ПУ в РУ 0,4 кВ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5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5" t="inlineStr">
        <is>
          <t>Наименование субъекта Российской Федерации</t>
        </is>
      </c>
      <c r="D13" s="331" t="inlineStr">
        <is>
          <t>Республика Калмыкия</t>
        </is>
      </c>
    </row>
    <row r="14">
      <c r="B14" s="364" t="n">
        <v>3</v>
      </c>
      <c r="C14" s="335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5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5" t="inlineStr">
        <is>
          <t>строительно-монтажные работы</t>
        </is>
      </c>
      <c r="D18" s="204" t="n">
        <v>2.26</v>
      </c>
    </row>
    <row r="19" ht="15.75" customHeight="1" s="303">
      <c r="B19" s="206" t="inlineStr">
        <is>
          <t>6.2</t>
        </is>
      </c>
      <c r="C19" s="335" t="inlineStr">
        <is>
          <t>оборудование и инвентарь</t>
        </is>
      </c>
      <c r="D19" s="204" t="n">
        <v>8.24</v>
      </c>
    </row>
    <row r="20" ht="16.5" customHeight="1" s="303">
      <c r="B20" s="206" t="inlineStr">
        <is>
          <t>6.3</t>
        </is>
      </c>
      <c r="C20" s="335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5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</t>
        </is>
      </c>
      <c r="D12" s="334" t="inlineStr">
        <is>
          <t>02-01-01</t>
        </is>
      </c>
      <c r="E12" s="335" t="inlineStr">
        <is>
          <t>Установка ПКУ 10 кВ</t>
        </is>
      </c>
      <c r="F12" s="335" t="n"/>
      <c r="G12" s="336">
        <f>2258.42/1000</f>
        <v/>
      </c>
      <c r="H12" s="336">
        <f>8235.19/1000</f>
        <v/>
      </c>
      <c r="I12" s="336" t="n"/>
      <c r="J12" s="336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7" t="n"/>
      <c r="G13" s="338">
        <f>G12</f>
        <v/>
      </c>
      <c r="H13" s="338">
        <f>H12</f>
        <v/>
      </c>
      <c r="I13" s="338" t="n"/>
      <c r="J13" s="338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9">
        <f>G13</f>
        <v/>
      </c>
      <c r="H14" s="339">
        <f>H13</f>
        <v/>
      </c>
      <c r="I14" s="339" t="n"/>
      <c r="J14" s="339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/>
    <row r="26" ht="15" customHeight="1" s="303"/>
    <row r="27" ht="15" customHeight="1" s="303"/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8"/>
  <sheetViews>
    <sheetView view="pageBreakPreview" topLeftCell="A33" zoomScale="8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70" t="inlineStr">
        <is>
          <t>Наименование разрабатываемого показателя УНЦ - Установка 3-ф ПУ в РУ 0,4 кВ</t>
        </is>
      </c>
    </row>
    <row r="7" ht="33.75" customHeight="1" s="303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5" t="n"/>
      <c r="J7" s="305" t="n"/>
      <c r="K7" s="305" t="n"/>
      <c r="L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14.79</v>
      </c>
      <c r="G12" s="176" t="n"/>
      <c r="H12" s="450">
        <f>SUM(H13:H20)</f>
        <v/>
      </c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1-3-9</t>
        </is>
      </c>
      <c r="D14" s="219" t="inlineStr">
        <is>
          <t>Затраты труда рабочих (ср 3,9)</t>
        </is>
      </c>
      <c r="E14" s="398" t="inlineStr">
        <is>
          <t>чел.-ч</t>
        </is>
      </c>
      <c r="F14" s="451" t="n">
        <v>4.68</v>
      </c>
      <c r="G14" s="221" t="n">
        <v>9.51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1-4-2</t>
        </is>
      </c>
      <c r="D18" s="219" t="inlineStr">
        <is>
          <t>Затраты труда рабочих (ср 4,2)</t>
        </is>
      </c>
      <c r="E18" s="398" t="inlineStr">
        <is>
          <t>чел.-ч</t>
        </is>
      </c>
      <c r="F18" s="451" t="n">
        <v>1.22</v>
      </c>
      <c r="G18" s="221" t="n">
        <v>9.92</v>
      </c>
      <c r="H18" s="221">
        <f>ROUND(F18*G18,2)</f>
        <v/>
      </c>
      <c r="M18" s="452" t="n"/>
    </row>
    <row r="19">
      <c r="A19" s="398" t="n">
        <v>7</v>
      </c>
      <c r="B19" s="177" t="n"/>
      <c r="C19" s="218" t="inlineStr">
        <is>
          <t>10-4-1</t>
        </is>
      </c>
      <c r="D19" s="219" t="inlineStr">
        <is>
          <t>Техник I категории</t>
        </is>
      </c>
      <c r="E19" s="398" t="inlineStr">
        <is>
          <t>чел.-ч</t>
        </is>
      </c>
      <c r="F19" s="451" t="n">
        <v>0.43</v>
      </c>
      <c r="G19" s="221" t="n">
        <v>10.21</v>
      </c>
      <c r="H19" s="221">
        <f>ROUND(F19*G19,2)</f>
        <v/>
      </c>
      <c r="M19" s="452" t="n"/>
    </row>
    <row r="20">
      <c r="A20" s="398" t="n">
        <v>8</v>
      </c>
      <c r="B20" s="177" t="n"/>
      <c r="C20" s="218" t="inlineStr">
        <is>
          <t>1-3-8</t>
        </is>
      </c>
      <c r="D20" s="219" t="inlineStr">
        <is>
          <t>Затраты труда рабочих (ср 3,8)</t>
        </is>
      </c>
      <c r="E20" s="398" t="inlineStr">
        <is>
          <t>чел.-ч</t>
        </is>
      </c>
      <c r="F20" s="451" t="n">
        <v>0.3</v>
      </c>
      <c r="G20" s="221" t="n">
        <v>9.4</v>
      </c>
      <c r="H20" s="221">
        <f>ROUND(F20*G20,2)</f>
        <v/>
      </c>
      <c r="M20" s="452" t="n"/>
    </row>
    <row r="21">
      <c r="A21" s="366" t="inlineStr">
        <is>
          <t>Затраты труда машинистов</t>
        </is>
      </c>
      <c r="B21" s="444" t="n"/>
      <c r="C21" s="444" t="n"/>
      <c r="D21" s="444" t="n"/>
      <c r="E21" s="445" t="n"/>
      <c r="F21" s="367" t="n"/>
      <c r="G21" s="179" t="n"/>
      <c r="H21" s="450">
        <f>H22</f>
        <v/>
      </c>
    </row>
    <row r="22">
      <c r="A22" s="398" t="n">
        <v>9</v>
      </c>
      <c r="B22" s="368" t="n"/>
      <c r="C22" s="218" t="n">
        <v>2</v>
      </c>
      <c r="D22" s="219" t="inlineStr">
        <is>
          <t>Затраты труда машинистов</t>
        </is>
      </c>
      <c r="E22" s="398" t="inlineStr">
        <is>
          <t>чел.-ч</t>
        </is>
      </c>
      <c r="F22" s="451" t="n">
        <v>0.05</v>
      </c>
      <c r="G22" s="221" t="n"/>
      <c r="H22" s="453" t="n">
        <v>0.6</v>
      </c>
    </row>
    <row r="23" customFormat="1" s="216">
      <c r="A23" s="367" t="inlineStr">
        <is>
          <t>Машины и механизмы</t>
        </is>
      </c>
      <c r="B23" s="444" t="n"/>
      <c r="C23" s="444" t="n"/>
      <c r="D23" s="444" t="n"/>
      <c r="E23" s="445" t="n"/>
      <c r="F23" s="367" t="n"/>
      <c r="G23" s="179" t="n"/>
      <c r="H23" s="450">
        <f>SUM(H24:H28)</f>
        <v/>
      </c>
    </row>
    <row r="24" ht="25.5" customHeight="1" s="303">
      <c r="A24" s="398" t="n">
        <v>10</v>
      </c>
      <c r="B24" s="368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0.38</v>
      </c>
      <c r="G24" s="225" t="n">
        <v>8.1</v>
      </c>
      <c r="H24" s="221">
        <f>ROUND(F24*G24,2)</f>
        <v/>
      </c>
      <c r="I24" s="226" t="n"/>
      <c r="J24" s="226" t="n"/>
      <c r="L24" s="226" t="n"/>
    </row>
    <row r="25" ht="25.5" customHeight="1" s="303">
      <c r="A25" s="398" t="n">
        <v>11</v>
      </c>
      <c r="B25" s="368" t="n"/>
      <c r="C25" s="218" t="inlineStr">
        <is>
          <t>91.05.05-015</t>
        </is>
      </c>
      <c r="D25" s="219" t="inlineStr">
        <is>
          <t>Краны на автомобильном ходу, грузоподъемность 16 т</t>
        </is>
      </c>
      <c r="E25" s="398" t="inlineStr">
        <is>
          <t>маш.час</t>
        </is>
      </c>
      <c r="F25" s="398" t="n">
        <v>0.02</v>
      </c>
      <c r="G25" s="225" t="n">
        <v>115.4</v>
      </c>
      <c r="H25" s="221">
        <f>ROUND(F25*G25,2)</f>
        <v/>
      </c>
      <c r="I25" s="226" t="n"/>
      <c r="J25" s="226" t="n"/>
      <c r="K25" s="226" t="n"/>
      <c r="L25" s="226" t="n"/>
    </row>
    <row r="26">
      <c r="A26" s="398" t="n">
        <v>12</v>
      </c>
      <c r="B26" s="368" t="n"/>
      <c r="C26" s="218" t="inlineStr">
        <is>
          <t>91.14.02-001</t>
        </is>
      </c>
      <c r="D26" s="219" t="inlineStr">
        <is>
          <t>Автомобили бортовые, грузоподъемность до 5 т</t>
        </is>
      </c>
      <c r="E26" s="398" t="inlineStr">
        <is>
          <t>маш.час</t>
        </is>
      </c>
      <c r="F26" s="398" t="n">
        <v>0.02</v>
      </c>
      <c r="G26" s="225" t="n">
        <v>65.70999999999999</v>
      </c>
      <c r="H26" s="221">
        <f>ROUND(F26*G26,2)</f>
        <v/>
      </c>
      <c r="I26" s="226" t="n"/>
      <c r="J26" s="226" t="n"/>
      <c r="K26" s="226" t="n"/>
      <c r="L26" s="226" t="n"/>
    </row>
    <row r="27">
      <c r="A27" s="398" t="n">
        <v>13</v>
      </c>
      <c r="B27" s="368" t="n"/>
      <c r="C27" s="218" t="inlineStr">
        <is>
          <t>91.06.06-042</t>
        </is>
      </c>
      <c r="D27" s="219" t="inlineStr">
        <is>
          <t>Подъемники гидравлические, высота подъема 10 м</t>
        </is>
      </c>
      <c r="E27" s="398" t="inlineStr">
        <is>
          <t>маш.час</t>
        </is>
      </c>
      <c r="F27" s="398" t="n">
        <v>0.01</v>
      </c>
      <c r="G27" s="225" t="n">
        <v>29.6</v>
      </c>
      <c r="H27" s="221">
        <f>ROUND(F27*G27,2)</f>
        <v/>
      </c>
      <c r="I27" s="226" t="n"/>
      <c r="J27" s="226" t="n"/>
      <c r="L27" s="226" t="n"/>
    </row>
    <row r="28" customFormat="1" s="216">
      <c r="A28" s="398" t="n">
        <v>14</v>
      </c>
      <c r="B28" s="368" t="n"/>
      <c r="C28" s="218" t="inlineStr">
        <is>
          <t>91.21.16-012</t>
        </is>
      </c>
      <c r="D28" s="219" t="inlineStr">
        <is>
          <t>Прессы гидравлические с электроприводом</t>
        </is>
      </c>
      <c r="E28" s="398" t="inlineStr">
        <is>
          <t>маш.час</t>
        </is>
      </c>
      <c r="F28" s="398" t="n">
        <v>0.18</v>
      </c>
      <c r="G28" s="225" t="n">
        <v>1.11</v>
      </c>
      <c r="H28" s="221">
        <f>ROUND(F28*G28,2)</f>
        <v/>
      </c>
      <c r="I28" s="226" t="n"/>
      <c r="J28" s="226" t="n"/>
      <c r="K28" s="226" t="n"/>
      <c r="L28" s="226" t="n"/>
    </row>
    <row r="29" ht="15" customHeight="1" s="303">
      <c r="A29" s="367" t="inlineStr">
        <is>
          <t>Оборудование</t>
        </is>
      </c>
      <c r="B29" s="444" t="n"/>
      <c r="C29" s="444" t="n"/>
      <c r="D29" s="444" t="n"/>
      <c r="E29" s="445" t="n"/>
      <c r="F29" s="176" t="n"/>
      <c r="G29" s="176" t="n"/>
      <c r="H29" s="450">
        <f>SUM(H30:H31)</f>
        <v/>
      </c>
    </row>
    <row r="30" ht="25.5" customHeight="1" s="303">
      <c r="A30" s="227" t="n">
        <v>15</v>
      </c>
      <c r="B30" s="368" t="n"/>
      <c r="C30" s="218" t="inlineStr">
        <is>
          <t>62.1.01.09-0038</t>
        </is>
      </c>
      <c r="D30" s="219" t="inlineStr">
        <is>
          <t>Выключатели автоматические, трехполюсные, на ток 100 А</t>
        </is>
      </c>
      <c r="E30" s="398" t="inlineStr">
        <is>
          <t>шт</t>
        </is>
      </c>
      <c r="F30" s="398" t="n">
        <v>2</v>
      </c>
      <c r="G30" s="225" t="n">
        <v>146.96</v>
      </c>
      <c r="H30" s="221">
        <f>ROUND(F30*G30,2)</f>
        <v/>
      </c>
      <c r="I30" s="226" t="n"/>
      <c r="J30" s="226" t="n"/>
      <c r="L30" s="226" t="n"/>
    </row>
    <row r="31" ht="38.25" customHeight="1" s="303">
      <c r="A31" s="227" t="n">
        <v>16</v>
      </c>
      <c r="B31" s="368" t="n"/>
      <c r="C31" s="218" t="inlineStr">
        <is>
          <t>Прайс из СД ОП</t>
        </is>
      </c>
      <c r="D31" s="219" t="inlineStr">
        <is>
          <t>Марка и тип оборудования в соответствии с ТТР №9._x000D_
Учет 0,4 кВ. Трехфазный ПУ, устанавливаемый в РУ- 0,4 кВ.</t>
        </is>
      </c>
      <c r="E31" s="398" t="inlineStr">
        <is>
          <t>компл.</t>
        </is>
      </c>
      <c r="F31" s="398" t="n">
        <v>1</v>
      </c>
      <c r="G31" s="225" t="n">
        <v>1929.11</v>
      </c>
      <c r="H31" s="221">
        <f>ROUND(F31*G31,2)</f>
        <v/>
      </c>
      <c r="I31" s="226" t="n"/>
      <c r="J31" s="226" t="n"/>
      <c r="L31" s="226" t="n"/>
    </row>
    <row r="32">
      <c r="A32" s="367" t="inlineStr">
        <is>
          <t>Материалы</t>
        </is>
      </c>
      <c r="B32" s="444" t="n"/>
      <c r="C32" s="444" t="n"/>
      <c r="D32" s="444" t="n"/>
      <c r="E32" s="445" t="n"/>
      <c r="F32" s="367" t="n"/>
      <c r="G32" s="179" t="n"/>
      <c r="H32" s="450">
        <f>SUM(H33:H51)</f>
        <v/>
      </c>
    </row>
    <row r="33" ht="38.25" customHeight="1" s="303">
      <c r="A33" s="227" t="n">
        <v>17</v>
      </c>
      <c r="B33" s="368" t="n"/>
      <c r="C33" s="218" t="inlineStr">
        <is>
          <t>21.2.03.05-0054</t>
        </is>
      </c>
      <c r="D33" s="219" t="inlineStr">
        <is>
          <t>Провода силовые для электрических установок на напряжение до 450 В с медной жилой марки: ПВ1, сечением 16 мм2</t>
        </is>
      </c>
      <c r="E33" s="398" t="inlineStr">
        <is>
          <t>1000 м</t>
        </is>
      </c>
      <c r="F33" s="398" t="n">
        <v>0.008</v>
      </c>
      <c r="G33" s="221" t="n">
        <v>12686.92</v>
      </c>
      <c r="H33" s="221">
        <f>ROUND(F33*G33,2)</f>
        <v/>
      </c>
      <c r="I33" s="237" t="n"/>
      <c r="J33" s="226" t="n"/>
      <c r="K33" s="226" t="n"/>
    </row>
    <row r="34" ht="25.5" customHeight="1" s="303">
      <c r="A34" s="227" t="n">
        <v>18</v>
      </c>
      <c r="B34" s="368" t="n"/>
      <c r="C34" s="218" t="inlineStr">
        <is>
          <t>07.2.07.04-0007</t>
        </is>
      </c>
      <c r="D34" s="219" t="inlineStr">
        <is>
          <t>Конструкции стальные индивидуальные решетчатые сварные, масса до 0,1 т</t>
        </is>
      </c>
      <c r="E34" s="398" t="inlineStr">
        <is>
          <t>т</t>
        </is>
      </c>
      <c r="F34" s="398" t="n">
        <v>0.004</v>
      </c>
      <c r="G34" s="221" t="n">
        <v>11500</v>
      </c>
      <c r="H34" s="221">
        <f>ROUND(F34*G34,2)</f>
        <v/>
      </c>
      <c r="I34" s="237" t="n"/>
      <c r="J34" s="226" t="n"/>
    </row>
    <row r="35">
      <c r="A35" s="227" t="n">
        <v>19</v>
      </c>
      <c r="B35" s="368" t="n"/>
      <c r="C35" s="218" t="inlineStr">
        <is>
          <t>20.1.02.23-0082</t>
        </is>
      </c>
      <c r="D35" s="219" t="inlineStr">
        <is>
          <t>Перемычки гибкие, тип ПГС-50</t>
        </is>
      </c>
      <c r="E35" s="398" t="inlineStr">
        <is>
          <t>10 шт</t>
        </is>
      </c>
      <c r="F35" s="398" t="n">
        <v>0.3</v>
      </c>
      <c r="G35" s="221" t="n">
        <v>39</v>
      </c>
      <c r="H35" s="221">
        <f>ROUND(F35*G35,2)</f>
        <v/>
      </c>
      <c r="I35" s="237" t="n"/>
      <c r="J35" s="226" t="n"/>
      <c r="K35" s="226" t="n"/>
    </row>
    <row r="36">
      <c r="A36" s="227" t="n">
        <v>20</v>
      </c>
      <c r="B36" s="368" t="n"/>
      <c r="C36" s="218" t="inlineStr">
        <is>
          <t>01.7.15.03-0042</t>
        </is>
      </c>
      <c r="D36" s="219" t="inlineStr">
        <is>
          <t>Болты с гайками и шайбами строительные</t>
        </is>
      </c>
      <c r="E36" s="398" t="inlineStr">
        <is>
          <t>кг</t>
        </is>
      </c>
      <c r="F36" s="398" t="n">
        <v>0.4855</v>
      </c>
      <c r="G36" s="221" t="n">
        <v>9.039999999999999</v>
      </c>
      <c r="H36" s="221">
        <f>ROUND(F36*G36,2)</f>
        <v/>
      </c>
      <c r="I36" s="237" t="n"/>
      <c r="J36" s="226" t="n"/>
    </row>
    <row r="37">
      <c r="A37" s="227" t="n">
        <v>21</v>
      </c>
      <c r="B37" s="368" t="n"/>
      <c r="C37" s="218" t="inlineStr">
        <is>
          <t>01.7.15.07-0014</t>
        </is>
      </c>
      <c r="D37" s="219" t="inlineStr">
        <is>
          <t>Дюбели распорные полипропиленовые</t>
        </is>
      </c>
      <c r="E37" s="398" t="inlineStr">
        <is>
          <t>100 шт</t>
        </is>
      </c>
      <c r="F37" s="398" t="n">
        <v>0.0438</v>
      </c>
      <c r="G37" s="221" t="n">
        <v>86</v>
      </c>
      <c r="H37" s="221">
        <f>ROUND(F37*G37,2)</f>
        <v/>
      </c>
      <c r="I37" s="237" t="n"/>
      <c r="J37" s="226" t="n"/>
    </row>
    <row r="38">
      <c r="A38" s="227" t="n">
        <v>22</v>
      </c>
      <c r="B38" s="368" t="n"/>
      <c r="C38" s="218" t="inlineStr">
        <is>
          <t>14.4.02.09-0001</t>
        </is>
      </c>
      <c r="D38" s="219" t="inlineStr">
        <is>
          <t>Краска</t>
        </is>
      </c>
      <c r="E38" s="398" t="inlineStr">
        <is>
          <t>кг</t>
        </is>
      </c>
      <c r="F38" s="398" t="n">
        <v>0.1198</v>
      </c>
      <c r="G38" s="221" t="n">
        <v>28.6</v>
      </c>
      <c r="H38" s="221">
        <f>ROUND(F38*G38,2)</f>
        <v/>
      </c>
      <c r="I38" s="237" t="n"/>
      <c r="J38" s="226" t="n"/>
    </row>
    <row r="39">
      <c r="A39" s="227" t="n">
        <v>23</v>
      </c>
      <c r="B39" s="368" t="n"/>
      <c r="C39" s="218" t="inlineStr">
        <is>
          <t>20.2.08.01-0004</t>
        </is>
      </c>
      <c r="D39" s="219" t="inlineStr">
        <is>
          <t>DIN-рейка оцинкованная 600 мм</t>
        </is>
      </c>
      <c r="E39" s="398" t="inlineStr">
        <is>
          <t>100 шт</t>
        </is>
      </c>
      <c r="F39" s="398" t="n">
        <v>0.01</v>
      </c>
      <c r="G39" s="221" t="n">
        <v>325</v>
      </c>
      <c r="H39" s="221">
        <f>ROUND(F39*G39,2)</f>
        <v/>
      </c>
      <c r="I39" s="237" t="n"/>
      <c r="J39" s="226" t="n"/>
    </row>
    <row r="40">
      <c r="A40" s="227" t="n">
        <v>24</v>
      </c>
      <c r="B40" s="368" t="n"/>
      <c r="C40" s="218" t="inlineStr">
        <is>
          <t>01.7.11.07-0034</t>
        </is>
      </c>
      <c r="D40" s="219" t="inlineStr">
        <is>
          <t>Электроды сварочные Э42А, диаметр 4 мм</t>
        </is>
      </c>
      <c r="E40" s="398" t="inlineStr">
        <is>
          <t>кг</t>
        </is>
      </c>
      <c r="F40" s="398" t="n">
        <v>0.24684</v>
      </c>
      <c r="G40" s="221" t="n">
        <v>10.57</v>
      </c>
      <c r="H40" s="221">
        <f>ROUND(F40*G40,2)</f>
        <v/>
      </c>
      <c r="I40" s="237" t="n"/>
      <c r="J40" s="226" t="n"/>
    </row>
    <row r="41">
      <c r="A41" s="227" t="n">
        <v>25</v>
      </c>
      <c r="B41" s="368" t="n"/>
      <c r="C41" s="218" t="inlineStr">
        <is>
          <t>20.1.02.14-0001</t>
        </is>
      </c>
      <c r="D41" s="219" t="inlineStr">
        <is>
          <t>Серьга</t>
        </is>
      </c>
      <c r="E41" s="398" t="inlineStr">
        <is>
          <t>шт</t>
        </is>
      </c>
      <c r="F41" s="398" t="n">
        <v>0.18</v>
      </c>
      <c r="G41" s="221" t="n">
        <v>10.54</v>
      </c>
      <c r="H41" s="221">
        <f>ROUND(F41*G41,2)</f>
        <v/>
      </c>
      <c r="I41" s="237" t="n"/>
      <c r="J41" s="226" t="n"/>
    </row>
    <row r="42" ht="25.5" customHeight="1" s="303">
      <c r="A42" s="227" t="n">
        <v>26</v>
      </c>
      <c r="B42" s="368" t="n"/>
      <c r="C42" s="218" t="inlineStr">
        <is>
          <t>01.7.06.05-0041</t>
        </is>
      </c>
      <c r="D42" s="219" t="inlineStr">
        <is>
          <t>Лента изоляционная прорезиненная односторонняя, ширина 20 мм, толщина 0,25-0,35 мм</t>
        </is>
      </c>
      <c r="E42" s="398" t="inlineStr">
        <is>
          <t>кг</t>
        </is>
      </c>
      <c r="F42" s="398" t="n">
        <v>0.06</v>
      </c>
      <c r="G42" s="221" t="n">
        <v>30.4</v>
      </c>
      <c r="H42" s="221">
        <f>ROUND(F42*G42,2)</f>
        <v/>
      </c>
      <c r="I42" s="237" t="n"/>
      <c r="J42" s="226" t="n"/>
    </row>
    <row r="43" ht="25.5" customHeight="1" s="303">
      <c r="A43" s="227" t="n">
        <v>27</v>
      </c>
      <c r="B43" s="368" t="n"/>
      <c r="C43" s="218" t="inlineStr">
        <is>
          <t>999-9950</t>
        </is>
      </c>
      <c r="D43" s="219" t="inlineStr">
        <is>
          <t>Вспомогательные ненормируемые ресурсы (2% от Оплаты труда рабочих)</t>
        </is>
      </c>
      <c r="E43" s="398" t="inlineStr">
        <is>
          <t>руб</t>
        </is>
      </c>
      <c r="F43" s="398" t="n">
        <v>1.17574</v>
      </c>
      <c r="G43" s="221" t="n">
        <v>1</v>
      </c>
      <c r="H43" s="221">
        <f>ROUND(F43*G43,2)</f>
        <v/>
      </c>
      <c r="I43" s="237" t="n"/>
      <c r="J43" s="226" t="n"/>
    </row>
    <row r="44" ht="25.5" customHeight="1" s="303">
      <c r="A44" s="227" t="n">
        <v>28</v>
      </c>
      <c r="B44" s="368" t="n"/>
      <c r="C44" s="218" t="inlineStr">
        <is>
          <t>01.7.15.03-0031</t>
        </is>
      </c>
      <c r="D44" s="219" t="inlineStr">
        <is>
          <t>Болты с гайками и шайбами оцинкованные, диаметр 6 мм</t>
        </is>
      </c>
      <c r="E44" s="398" t="inlineStr">
        <is>
          <t>кг</t>
        </is>
      </c>
      <c r="F44" s="398" t="n">
        <v>0.035</v>
      </c>
      <c r="G44" s="221" t="n">
        <v>28.22</v>
      </c>
      <c r="H44" s="221">
        <f>ROUND(F44*G44,2)</f>
        <v/>
      </c>
      <c r="I44" s="237" t="n"/>
      <c r="J44" s="226" t="n"/>
    </row>
    <row r="45">
      <c r="A45" s="227" t="n">
        <v>29</v>
      </c>
      <c r="B45" s="368" t="n"/>
      <c r="C45" s="218" t="inlineStr">
        <is>
          <t>01.3.01.02-0002</t>
        </is>
      </c>
      <c r="D45" s="219" t="inlineStr">
        <is>
          <t>Вазелин технический</t>
        </is>
      </c>
      <c r="E45" s="398" t="inlineStr">
        <is>
          <t>кг</t>
        </is>
      </c>
      <c r="F45" s="398" t="n">
        <v>0.021</v>
      </c>
      <c r="G45" s="221" t="n">
        <v>44.97</v>
      </c>
      <c r="H45" s="221">
        <f>ROUND(F45*G45,2)</f>
        <v/>
      </c>
      <c r="I45" s="237" t="n"/>
      <c r="J45" s="226" t="n"/>
    </row>
    <row r="46">
      <c r="A46" s="227" t="n">
        <v>30</v>
      </c>
      <c r="B46" s="368" t="n"/>
      <c r="C46" s="218" t="inlineStr">
        <is>
          <t>14.4.03.17-0011</t>
        </is>
      </c>
      <c r="D46" s="219" t="inlineStr">
        <is>
          <t>Лак электроизоляционный 318</t>
        </is>
      </c>
      <c r="E46" s="398" t="inlineStr">
        <is>
          <t>кг</t>
        </is>
      </c>
      <c r="F46" s="398" t="n">
        <v>0.026</v>
      </c>
      <c r="G46" s="221" t="n">
        <v>35.63</v>
      </c>
      <c r="H46" s="221">
        <f>ROUND(F46*G46,2)</f>
        <v/>
      </c>
      <c r="I46" s="237" t="n"/>
      <c r="J46" s="226" t="n"/>
    </row>
    <row r="47">
      <c r="A47" s="227" t="n">
        <v>31</v>
      </c>
      <c r="B47" s="368" t="n"/>
      <c r="C47" s="218" t="inlineStr">
        <is>
          <t>01.7.20.04-0005</t>
        </is>
      </c>
      <c r="D47" s="219" t="inlineStr">
        <is>
          <t>Нитки швейные</t>
        </is>
      </c>
      <c r="E47" s="398" t="inlineStr">
        <is>
          <t>кг</t>
        </is>
      </c>
      <c r="F47" s="398" t="n">
        <v>0.004</v>
      </c>
      <c r="G47" s="221" t="n">
        <v>133.05</v>
      </c>
      <c r="H47" s="221">
        <f>ROUND(F47*G47,2)</f>
        <v/>
      </c>
      <c r="I47" s="237" t="n"/>
      <c r="J47" s="226" t="n"/>
    </row>
    <row r="48">
      <c r="A48" s="227" t="n">
        <v>32</v>
      </c>
      <c r="B48" s="368" t="n"/>
      <c r="C48" s="218" t="inlineStr">
        <is>
          <t>01.7.15.04-0011</t>
        </is>
      </c>
      <c r="D48" s="219" t="inlineStr">
        <is>
          <t>Винты с полукруглой головкой, длина 50 мм</t>
        </is>
      </c>
      <c r="E48" s="398" t="inlineStr">
        <is>
          <t>т</t>
        </is>
      </c>
      <c r="F48" s="398" t="n">
        <v>3.46e-05</v>
      </c>
      <c r="G48" s="221" t="n">
        <v>12430</v>
      </c>
      <c r="H48" s="221">
        <f>ROUND(F48*G48,2)</f>
        <v/>
      </c>
      <c r="I48" s="237" t="n"/>
      <c r="J48" s="226" t="n"/>
    </row>
    <row r="49">
      <c r="A49" s="227" t="n">
        <v>33</v>
      </c>
      <c r="B49" s="368" t="n"/>
      <c r="C49" s="218" t="inlineStr">
        <is>
          <t>01.7.02.07-0011</t>
        </is>
      </c>
      <c r="D49" s="219" t="inlineStr">
        <is>
          <t>Прессшпан листовой, марка А</t>
        </is>
      </c>
      <c r="E49" s="398" t="inlineStr">
        <is>
          <t>кг</t>
        </is>
      </c>
      <c r="F49" s="398" t="n">
        <v>0.0044</v>
      </c>
      <c r="G49" s="221" t="n">
        <v>47.57</v>
      </c>
      <c r="H49" s="221">
        <f>ROUND(F49*G49,2)</f>
        <v/>
      </c>
      <c r="I49" s="237" t="n"/>
      <c r="J49" s="226" t="n"/>
    </row>
    <row r="50">
      <c r="A50" s="227" t="n">
        <v>34</v>
      </c>
      <c r="B50" s="368" t="n"/>
      <c r="C50" s="218" t="inlineStr">
        <is>
          <t>20.2.09.13-0011</t>
        </is>
      </c>
      <c r="D50" s="219" t="inlineStr">
        <is>
          <t>Муфты</t>
        </is>
      </c>
      <c r="E50" s="398" t="inlineStr">
        <is>
          <t>шт</t>
        </is>
      </c>
      <c r="F50" s="398" t="n">
        <v>0.036</v>
      </c>
      <c r="G50" s="221" t="n">
        <v>5</v>
      </c>
      <c r="H50" s="221">
        <f>ROUND(F50*G50,2)</f>
        <v/>
      </c>
      <c r="I50" s="237" t="n"/>
      <c r="J50" s="226" t="n"/>
    </row>
    <row r="51">
      <c r="A51" s="227" t="n">
        <v>35</v>
      </c>
      <c r="B51" s="368" t="n"/>
      <c r="C51" s="218" t="inlineStr">
        <is>
          <t>01.7.02.09-0002</t>
        </is>
      </c>
      <c r="D51" s="219" t="inlineStr">
        <is>
          <t>Шпагат бумажный</t>
        </is>
      </c>
      <c r="E51" s="398" t="inlineStr">
        <is>
          <t>кг</t>
        </is>
      </c>
      <c r="F51" s="398" t="n">
        <v>0.006</v>
      </c>
      <c r="G51" s="221" t="n">
        <v>11.5</v>
      </c>
      <c r="H51" s="221">
        <f>ROUND(F51*G51,2)</f>
        <v/>
      </c>
      <c r="I51" s="237" t="n"/>
      <c r="J51" s="226" t="n"/>
    </row>
    <row r="54">
      <c r="B54" s="305" t="inlineStr">
        <is>
          <t>Составил ______________________     Д.Ю. Нефедова</t>
        </is>
      </c>
    </row>
    <row r="55">
      <c r="B55" s="164" t="inlineStr">
        <is>
          <t xml:space="preserve">                         (подпись, инициалы, фамилия)</t>
        </is>
      </c>
    </row>
    <row r="57">
      <c r="B57" s="305" t="inlineStr">
        <is>
          <t>Проверил ______________________        А.В. Костянецкая</t>
        </is>
      </c>
    </row>
    <row r="58">
      <c r="B5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12:E12"/>
    <mergeCell ref="D9:D10"/>
    <mergeCell ref="E9:E10"/>
    <mergeCell ref="F9:F10"/>
    <mergeCell ref="A29:E29"/>
    <mergeCell ref="A9:A10"/>
    <mergeCell ref="A2:H2"/>
    <mergeCell ref="A23:E23"/>
    <mergeCell ref="C4:H4"/>
    <mergeCell ref="A32:E32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Установка 3-ф ПУ в РУ 0,4 кВ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ОБ'!J45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ОБ'!J62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ОБ'!D66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ОБ'!D65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ОБ'!J38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ОБ'!J39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ОБ'!E69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5"/>
  <sheetViews>
    <sheetView view="pageBreakPreview" topLeftCell="A35" workbookViewId="0">
      <selection activeCell="D73" sqref="D73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399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0" t="inlineStr">
        <is>
          <t>Установка 3-ф ПУ в РУ 0,4 кВ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01" t="n"/>
      <c r="L10" s="301" t="n"/>
      <c r="M10" s="301" t="n"/>
      <c r="N10" s="301" t="n"/>
    </row>
    <row r="11" s="303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77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77" t="n">
        <v>1</v>
      </c>
      <c r="B13" s="244" t="inlineStr">
        <is>
          <t>1-4-0</t>
        </is>
      </c>
      <c r="C13" s="385" t="inlineStr">
        <is>
          <t>Затраты труда рабочих-строителей среднего разряда (4,0)</t>
        </is>
      </c>
      <c r="D13" s="377" t="inlineStr">
        <is>
          <t>чел.-ч.</t>
        </is>
      </c>
      <c r="E13" s="455">
        <f>G13/F13</f>
        <v/>
      </c>
      <c r="F13" s="254" t="n">
        <v>9.619999999999999</v>
      </c>
      <c r="G13" s="254">
        <f>'Прил. 3'!H14+'Прил. 3'!H18+'Прил. 3'!H20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7" t="n">
        <v>2</v>
      </c>
      <c r="B14" s="244" t="inlineStr">
        <is>
          <t>10-2-1</t>
        </is>
      </c>
      <c r="C14" s="385" t="inlineStr">
        <is>
          <t>Ведущий инженер</t>
        </is>
      </c>
      <c r="D14" s="377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7" t="n">
        <v>3</v>
      </c>
      <c r="B15" s="244" t="inlineStr">
        <is>
          <t>10-3-1</t>
        </is>
      </c>
      <c r="C15" s="385" t="inlineStr">
        <is>
          <t>Инженер I категории</t>
        </is>
      </c>
      <c r="D15" s="377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7" t="n">
        <v>4</v>
      </c>
      <c r="B16" s="244" t="inlineStr">
        <is>
          <t>10-3-2</t>
        </is>
      </c>
      <c r="C16" s="385" t="inlineStr">
        <is>
          <t>Инженер II категории</t>
        </is>
      </c>
      <c r="D16" s="377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7" t="n">
        <v>5</v>
      </c>
      <c r="B17" s="244" t="inlineStr">
        <is>
          <t>10-3-3</t>
        </is>
      </c>
      <c r="C17" s="385" t="inlineStr">
        <is>
          <t>Инженер III категории</t>
        </is>
      </c>
      <c r="D17" s="377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7" t="n">
        <v>6</v>
      </c>
      <c r="B18" s="244" t="inlineStr">
        <is>
          <t>10-4-1</t>
        </is>
      </c>
      <c r="C18" s="385" t="inlineStr">
        <is>
          <t>Техник I категории</t>
        </is>
      </c>
      <c r="D18" s="377" t="inlineStr">
        <is>
          <t>чел.-ч</t>
        </is>
      </c>
      <c r="E18" s="455">
        <f>G18/F18</f>
        <v/>
      </c>
      <c r="F18" s="254" t="n">
        <v>10.21</v>
      </c>
      <c r="G18" s="254">
        <f>'Прил. 3'!H19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7" t="n"/>
      <c r="B19" s="377" t="n"/>
      <c r="C19" s="366" t="inlineStr">
        <is>
          <t>Итого по разделу "Затраты труда рабочих-строителей"</t>
        </is>
      </c>
      <c r="D19" s="377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8">
        <f>SUM(H13:H18)</f>
        <v/>
      </c>
      <c r="I19" s="187" t="n"/>
      <c r="J19" s="254">
        <f>SUM(J13:J18)</f>
        <v/>
      </c>
    </row>
    <row r="20" ht="14.25" customFormat="1" customHeight="1" s="301">
      <c r="A20" s="377" t="n"/>
      <c r="B20" s="385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77" t="n">
        <v>7</v>
      </c>
      <c r="B21" s="377" t="n">
        <v>2</v>
      </c>
      <c r="C21" s="385" t="inlineStr">
        <is>
          <t>Затраты труда машинистов</t>
        </is>
      </c>
      <c r="D21" s="377" t="inlineStr">
        <is>
          <t>чел.-ч.</t>
        </is>
      </c>
      <c r="E21" s="455">
        <f>'Прил. 3'!F22</f>
        <v/>
      </c>
      <c r="F21" s="254">
        <f>G21/E21</f>
        <v/>
      </c>
      <c r="G21" s="254">
        <f>'Прил. 3'!H21</f>
        <v/>
      </c>
      <c r="H21" s="38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7" t="n"/>
      <c r="B22" s="366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77" t="n"/>
      <c r="B23" s="385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25.5" customFormat="1" customHeight="1" s="301">
      <c r="A24" s="377" t="n">
        <v>8</v>
      </c>
      <c r="B24" s="244" t="inlineStr">
        <is>
          <t>91.17.04-233</t>
        </is>
      </c>
      <c r="C24" s="385" t="inlineStr">
        <is>
          <t>Установки для сварки ручной дуговой (постоянного тока)</t>
        </is>
      </c>
      <c r="D24" s="377" t="inlineStr">
        <is>
          <t>маш.час</t>
        </is>
      </c>
      <c r="E24" s="455" t="n">
        <v>0.38</v>
      </c>
      <c r="F24" s="387" t="n">
        <v>8.1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7" t="n">
        <v>9</v>
      </c>
      <c r="B25" s="244" t="inlineStr">
        <is>
          <t>91.05.05-015</t>
        </is>
      </c>
      <c r="C25" s="385" t="inlineStr">
        <is>
          <t>Краны на автомобильном ходу, грузоподъемность 16 т</t>
        </is>
      </c>
      <c r="D25" s="377" t="inlineStr">
        <is>
          <t>маш.час</t>
        </is>
      </c>
      <c r="E25" s="455" t="n">
        <v>0.02</v>
      </c>
      <c r="F25" s="387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7" t="n">
        <v>10</v>
      </c>
      <c r="B26" s="244" t="inlineStr">
        <is>
          <t>91.14.02-001</t>
        </is>
      </c>
      <c r="C26" s="385" t="inlineStr">
        <is>
          <t>Автомобили бортовые, грузоподъемность до 5 т</t>
        </is>
      </c>
      <c r="D26" s="377" t="inlineStr">
        <is>
          <t>маш.час</t>
        </is>
      </c>
      <c r="E26" s="455" t="n">
        <v>0.02</v>
      </c>
      <c r="F26" s="387" t="n">
        <v>65.70999999999999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7" t="n"/>
      <c r="B27" s="377" t="n"/>
      <c r="C27" s="385" t="inlineStr">
        <is>
          <t>Итого основные машины и механизмы</t>
        </is>
      </c>
      <c r="D27" s="377" t="n"/>
      <c r="E27" s="455" t="n"/>
      <c r="F27" s="254" t="n"/>
      <c r="G27" s="254">
        <f>SUM(G24:G26)</f>
        <v/>
      </c>
      <c r="H27" s="388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77" t="n">
        <v>11</v>
      </c>
      <c r="B28" s="244" t="inlineStr">
        <is>
          <t>91.06.06-042</t>
        </is>
      </c>
      <c r="C28" s="385" t="inlineStr">
        <is>
          <t>Подъемники гидравлические, высота подъема 10 м</t>
        </is>
      </c>
      <c r="D28" s="377" t="inlineStr">
        <is>
          <t>маш.час</t>
        </is>
      </c>
      <c r="E28" s="455" t="n">
        <v>0.01</v>
      </c>
      <c r="F28" s="387" t="n">
        <v>29.6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7" t="n">
        <v>12</v>
      </c>
      <c r="B29" s="244" t="inlineStr">
        <is>
          <t>91.21.16-012</t>
        </is>
      </c>
      <c r="C29" s="385" t="inlineStr">
        <is>
          <t>Прессы гидравлические с электроприводом</t>
        </is>
      </c>
      <c r="D29" s="377" t="inlineStr">
        <is>
          <t>маш.час</t>
        </is>
      </c>
      <c r="E29" s="455" t="n">
        <v>0.18</v>
      </c>
      <c r="F29" s="387" t="n">
        <v>1.11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77" t="n"/>
      <c r="B30" s="377" t="n"/>
      <c r="C30" s="385" t="inlineStr">
        <is>
          <t>Итого прочие машины и механизмы</t>
        </is>
      </c>
      <c r="D30" s="377" t="n"/>
      <c r="E30" s="386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86" t="n"/>
      <c r="F31" s="254" t="n"/>
      <c r="G31" s="254">
        <f>G27+G30</f>
        <v/>
      </c>
      <c r="H31" s="388">
        <f>H27+H30</f>
        <v/>
      </c>
      <c r="I31" s="185" t="n"/>
      <c r="J31" s="254">
        <f>J27+J30</f>
        <v/>
      </c>
    </row>
    <row r="32" ht="14.25" customFormat="1" customHeight="1" s="301">
      <c r="A32" s="377" t="n"/>
      <c r="B32" s="366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77" t="n"/>
      <c r="B33" s="385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77" t="n">
        <v>13</v>
      </c>
      <c r="B34" s="377" t="inlineStr">
        <is>
          <t>62.1.01.09-0038</t>
        </is>
      </c>
      <c r="C34" s="385" t="inlineStr">
        <is>
          <t>Выключатели автоматические, трехполюсные, на ток 100 А</t>
        </is>
      </c>
      <c r="D34" s="377" t="inlineStr">
        <is>
          <t>шт</t>
        </is>
      </c>
      <c r="E34" s="456" t="n">
        <v>2</v>
      </c>
      <c r="F34" s="387" t="n">
        <v>146.96</v>
      </c>
      <c r="G34" s="254">
        <f>ROUND(E34*F34,2)</f>
        <v/>
      </c>
      <c r="H34" s="253">
        <f>G34/$G$38</f>
        <v/>
      </c>
      <c r="I34" s="254">
        <f>ROUND(F34*'Прил. 10'!$D$14,2)</f>
        <v/>
      </c>
      <c r="J34" s="254">
        <f>ROUND(I34*E34,2)</f>
        <v/>
      </c>
    </row>
    <row r="35" ht="25.5" customFormat="1" customHeight="1" s="301">
      <c r="A35" s="377" t="n">
        <v>14</v>
      </c>
      <c r="B35" s="377" t="inlineStr">
        <is>
          <t>БЦ.48_1.18</t>
        </is>
      </c>
      <c r="C35" s="385" t="inlineStr">
        <is>
          <t>Учет 0,4 кВ. Трехфазный ПУ, устанавливаемый в РУ- 0,4 кВ.</t>
        </is>
      </c>
      <c r="D35" s="377" t="inlineStr">
        <is>
          <t>компл.</t>
        </is>
      </c>
      <c r="E35" s="456" t="n">
        <v>1</v>
      </c>
      <c r="F35" s="387">
        <f>ROUND(I35/'Прил. 10'!$D$14,2)</f>
        <v/>
      </c>
      <c r="G35" s="254">
        <f>ROUND(E35*F35,2)</f>
        <v/>
      </c>
      <c r="H35" s="253" t="n">
        <v>0</v>
      </c>
      <c r="I35" s="254" t="n">
        <v>13418</v>
      </c>
      <c r="J35" s="254">
        <f>ROUND(I35*E35,2)</f>
        <v/>
      </c>
    </row>
    <row r="36">
      <c r="A36" s="377" t="n"/>
      <c r="B36" s="377" t="n"/>
      <c r="C36" s="385" t="inlineStr">
        <is>
          <t>Итого основное оборудование</t>
        </is>
      </c>
      <c r="D36" s="377" t="n"/>
      <c r="E36" s="456" t="n"/>
      <c r="F36" s="387" t="n"/>
      <c r="G36" s="254">
        <f>SUM(G34:G35)</f>
        <v/>
      </c>
      <c r="H36" s="388">
        <f>SUM(H34:H35)</f>
        <v/>
      </c>
      <c r="I36" s="252" t="n"/>
      <c r="J36" s="254">
        <f>SUM(J34:J35)</f>
        <v/>
      </c>
      <c r="K36" s="301" t="n"/>
      <c r="L36" s="301" t="n"/>
    </row>
    <row r="37">
      <c r="A37" s="377" t="n"/>
      <c r="B37" s="377" t="n"/>
      <c r="C37" s="385" t="inlineStr">
        <is>
          <t>Итого прочее оборудование</t>
        </is>
      </c>
      <c r="D37" s="377" t="n"/>
      <c r="E37" s="455" t="n"/>
      <c r="F37" s="387" t="n"/>
      <c r="G37" s="254" t="n">
        <v>0</v>
      </c>
      <c r="H37" s="253" t="n">
        <v>0</v>
      </c>
      <c r="I37" s="252" t="n"/>
      <c r="J37" s="254" t="n">
        <v>0</v>
      </c>
      <c r="K37" s="301" t="n"/>
      <c r="L37" s="301" t="n"/>
    </row>
    <row r="38">
      <c r="A38" s="377" t="n"/>
      <c r="B38" s="377" t="n"/>
      <c r="C38" s="366" t="inlineStr">
        <is>
          <t>Итого по разделу «Оборудование»</t>
        </is>
      </c>
      <c r="D38" s="377" t="n"/>
      <c r="E38" s="386" t="n"/>
      <c r="F38" s="387" t="n"/>
      <c r="G38" s="254">
        <f>G36+G37</f>
        <v/>
      </c>
      <c r="H38" s="253">
        <f>H36+H37</f>
        <v/>
      </c>
      <c r="I38" s="252" t="n"/>
      <c r="J38" s="254">
        <f>J37+J36</f>
        <v/>
      </c>
      <c r="K38" s="301" t="n"/>
      <c r="L38" s="301" t="n"/>
    </row>
    <row r="39" ht="25.5" customHeight="1" s="303">
      <c r="A39" s="377" t="n"/>
      <c r="B39" s="377" t="n"/>
      <c r="C39" s="385" t="inlineStr">
        <is>
          <t>в том числе технологическое оборудование</t>
        </is>
      </c>
      <c r="D39" s="377" t="n"/>
      <c r="E39" s="456" t="n"/>
      <c r="F39" s="387" t="n"/>
      <c r="G39" s="254">
        <f>'Прил.6 Расчет ОБ'!G14</f>
        <v/>
      </c>
      <c r="H39" s="388" t="n"/>
      <c r="I39" s="252" t="n"/>
      <c r="J39" s="254">
        <f>J38</f>
        <v/>
      </c>
      <c r="K39" s="301" t="n"/>
      <c r="L39" s="301" t="n"/>
    </row>
    <row r="40" ht="14.25" customFormat="1" customHeight="1" s="301">
      <c r="A40" s="377" t="n"/>
      <c r="B40" s="366" t="inlineStr">
        <is>
          <t>Материалы</t>
        </is>
      </c>
      <c r="C40" s="444" t="n"/>
      <c r="D40" s="444" t="n"/>
      <c r="E40" s="444" t="n"/>
      <c r="F40" s="444" t="n"/>
      <c r="G40" s="444" t="n"/>
      <c r="H40" s="445" t="n"/>
      <c r="I40" s="187" t="n"/>
      <c r="J40" s="187" t="n"/>
    </row>
    <row r="41" ht="14.25" customFormat="1" customHeight="1" s="301">
      <c r="A41" s="378" t="n"/>
      <c r="B41" s="381" t="inlineStr">
        <is>
          <t>Основные материалы</t>
        </is>
      </c>
      <c r="C41" s="457" t="n"/>
      <c r="D41" s="457" t="n"/>
      <c r="E41" s="457" t="n"/>
      <c r="F41" s="457" t="n"/>
      <c r="G41" s="457" t="n"/>
      <c r="H41" s="458" t="n"/>
      <c r="I41" s="258" t="n"/>
      <c r="J41" s="258" t="n"/>
    </row>
    <row r="42" ht="51" customFormat="1" customHeight="1" s="301">
      <c r="A42" s="377" t="n">
        <v>15</v>
      </c>
      <c r="B42" s="377" t="inlineStr">
        <is>
          <t>21.2.03.05-0054</t>
        </is>
      </c>
      <c r="C42" s="385" t="inlineStr">
        <is>
          <t>Провода силовые для электрических установок на напряжение до 450 В с медной жилой марки: ПВ1, сечением 16 мм2</t>
        </is>
      </c>
      <c r="D42" s="377" t="inlineStr">
        <is>
          <t>1000 м</t>
        </is>
      </c>
      <c r="E42" s="456" t="n">
        <v>0.008</v>
      </c>
      <c r="F42" s="387" t="n">
        <v>12686.92</v>
      </c>
      <c r="G42" s="254">
        <f>ROUND(E42*F42,2)</f>
        <v/>
      </c>
      <c r="H42" s="253">
        <f>G42/$G$63</f>
        <v/>
      </c>
      <c r="I42" s="254">
        <f>ROUND(F42*'Прил. 10'!$D$13,2)</f>
        <v/>
      </c>
      <c r="J42" s="254">
        <f>ROUND(I42*E42,2)</f>
        <v/>
      </c>
    </row>
    <row r="43" ht="25.5" customFormat="1" customHeight="1" s="301">
      <c r="A43" s="377" t="n">
        <v>16</v>
      </c>
      <c r="B43" s="377" t="inlineStr">
        <is>
          <t>07.2.07.04-0007</t>
        </is>
      </c>
      <c r="C43" s="385" t="inlineStr">
        <is>
          <t>Конструкции стальные индивидуальные решетчатые сварные, масса до 0,1 т</t>
        </is>
      </c>
      <c r="D43" s="377" t="inlineStr">
        <is>
          <t>т</t>
        </is>
      </c>
      <c r="E43" s="456" t="n">
        <v>0.004</v>
      </c>
      <c r="F43" s="387" t="n">
        <v>11500</v>
      </c>
      <c r="G43" s="254">
        <f>ROUND(E43*F43,2)</f>
        <v/>
      </c>
      <c r="H43" s="253">
        <f>G43/$G$63</f>
        <v/>
      </c>
      <c r="I43" s="254">
        <f>ROUND(F43*'Прил. 10'!$D$13,2)</f>
        <v/>
      </c>
      <c r="J43" s="254">
        <f>ROUND(I43*E43,2)</f>
        <v/>
      </c>
    </row>
    <row r="44" ht="14.25" customFormat="1" customHeight="1" s="301">
      <c r="A44" s="377" t="n">
        <v>17</v>
      </c>
      <c r="B44" s="377" t="inlineStr">
        <is>
          <t>20.1.02.23-0082</t>
        </is>
      </c>
      <c r="C44" s="385" t="inlineStr">
        <is>
          <t>Перемычки гибкие, тип ПГС-50</t>
        </is>
      </c>
      <c r="D44" s="377" t="inlineStr">
        <is>
          <t>10 шт</t>
        </is>
      </c>
      <c r="E44" s="456" t="n">
        <v>0.3</v>
      </c>
      <c r="F44" s="387" t="n">
        <v>39</v>
      </c>
      <c r="G44" s="254">
        <f>ROUND(E44*F44,2)</f>
        <v/>
      </c>
      <c r="H44" s="253">
        <f>G44/$G$63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9" t="n"/>
      <c r="B45" s="260" t="n"/>
      <c r="C45" s="261" t="inlineStr">
        <is>
          <t>Итого основные материалы</t>
        </is>
      </c>
      <c r="D45" s="379" t="n"/>
      <c r="E45" s="459" t="n"/>
      <c r="F45" s="265" t="n"/>
      <c r="G45" s="265">
        <f>SUM(G42:G44)</f>
        <v/>
      </c>
      <c r="H45" s="253">
        <f>G45/$G$63</f>
        <v/>
      </c>
      <c r="I45" s="254" t="n"/>
      <c r="J45" s="265">
        <f>SUM(J42:J44)</f>
        <v/>
      </c>
    </row>
    <row r="46" hidden="1" outlineLevel="1" ht="14.25" customFormat="1" customHeight="1" s="301">
      <c r="A46" s="377" t="n">
        <v>18</v>
      </c>
      <c r="B46" s="377" t="inlineStr">
        <is>
          <t>01.7.15.03-0042</t>
        </is>
      </c>
      <c r="C46" s="385" t="inlineStr">
        <is>
          <t>Болты с гайками и шайбами строительные</t>
        </is>
      </c>
      <c r="D46" s="377" t="inlineStr">
        <is>
          <t>кг</t>
        </is>
      </c>
      <c r="E46" s="456" t="n">
        <v>0.4855</v>
      </c>
      <c r="F46" s="387" t="n">
        <v>9.039999999999999</v>
      </c>
      <c r="G46" s="254">
        <f>ROUND(E46*F46,2)</f>
        <v/>
      </c>
      <c r="H46" s="253">
        <f>G46/$G$63</f>
        <v/>
      </c>
      <c r="I46" s="254">
        <f>ROUND(F46*'Прил. 10'!$D$13,2)</f>
        <v/>
      </c>
      <c r="J46" s="254">
        <f>ROUND(I46*E46,2)</f>
        <v/>
      </c>
    </row>
    <row r="47" hidden="1" outlineLevel="1" ht="14.25" customFormat="1" customHeight="1" s="301">
      <c r="A47" s="377" t="n">
        <v>19</v>
      </c>
      <c r="B47" s="377" t="inlineStr">
        <is>
          <t>01.7.15.07-0014</t>
        </is>
      </c>
      <c r="C47" s="385" t="inlineStr">
        <is>
          <t>Дюбели распорные полипропиленовые</t>
        </is>
      </c>
      <c r="D47" s="377" t="inlineStr">
        <is>
          <t>100 шт</t>
        </is>
      </c>
      <c r="E47" s="456" t="n">
        <v>0.0438</v>
      </c>
      <c r="F47" s="387" t="n">
        <v>86</v>
      </c>
      <c r="G47" s="254">
        <f>ROUND(E47*F47,2)</f>
        <v/>
      </c>
      <c r="H47" s="253">
        <f>G47/$G$63</f>
        <v/>
      </c>
      <c r="I47" s="254">
        <f>ROUND(F47*'Прил. 10'!$D$13,2)</f>
        <v/>
      </c>
      <c r="J47" s="254">
        <f>ROUND(I47*E47,2)</f>
        <v/>
      </c>
    </row>
    <row r="48" hidden="1" outlineLevel="1" ht="14.25" customFormat="1" customHeight="1" s="301">
      <c r="A48" s="377" t="n">
        <v>20</v>
      </c>
      <c r="B48" s="377" t="inlineStr">
        <is>
          <t>14.4.02.09-0001</t>
        </is>
      </c>
      <c r="C48" s="385" t="inlineStr">
        <is>
          <t>Краска</t>
        </is>
      </c>
      <c r="D48" s="377" t="inlineStr">
        <is>
          <t>кг</t>
        </is>
      </c>
      <c r="E48" s="456" t="n">
        <v>0.1198</v>
      </c>
      <c r="F48" s="387" t="n">
        <v>28.6</v>
      </c>
      <c r="G48" s="254">
        <f>ROUND(E48*F48,2)</f>
        <v/>
      </c>
      <c r="H48" s="253">
        <f>G48/$G$63</f>
        <v/>
      </c>
      <c r="I48" s="254">
        <f>ROUND(F48*'Прил. 10'!$D$13,2)</f>
        <v/>
      </c>
      <c r="J48" s="254">
        <f>ROUND(I48*E48,2)</f>
        <v/>
      </c>
    </row>
    <row r="49" hidden="1" outlineLevel="1" ht="14.25" customFormat="1" customHeight="1" s="301">
      <c r="A49" s="377" t="n">
        <v>21</v>
      </c>
      <c r="B49" s="377" t="inlineStr">
        <is>
          <t>20.2.08.01-0004</t>
        </is>
      </c>
      <c r="C49" s="385" t="inlineStr">
        <is>
          <t>DIN-рейка оцинкованная 600 мм</t>
        </is>
      </c>
      <c r="D49" s="377" t="inlineStr">
        <is>
          <t>100 шт</t>
        </is>
      </c>
      <c r="E49" s="456" t="n">
        <v>0.01</v>
      </c>
      <c r="F49" s="387" t="n">
        <v>325</v>
      </c>
      <c r="G49" s="254">
        <f>ROUND(E49*F49,2)</f>
        <v/>
      </c>
      <c r="H49" s="253">
        <f>G49/$G$63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7" t="n">
        <v>22</v>
      </c>
      <c r="B50" s="377" t="inlineStr">
        <is>
          <t>01.7.11.07-0034</t>
        </is>
      </c>
      <c r="C50" s="385" t="inlineStr">
        <is>
          <t>Электроды сварочные Э42А, диаметр 4 мм</t>
        </is>
      </c>
      <c r="D50" s="377" t="inlineStr">
        <is>
          <t>кг</t>
        </is>
      </c>
      <c r="E50" s="456" t="n">
        <v>0.24684</v>
      </c>
      <c r="F50" s="387" t="n">
        <v>10.57</v>
      </c>
      <c r="G50" s="254">
        <f>ROUND(E50*F50,2)</f>
        <v/>
      </c>
      <c r="H50" s="253">
        <f>G50/$G$63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77" t="n">
        <v>23</v>
      </c>
      <c r="B51" s="377" t="inlineStr">
        <is>
          <t>20.1.02.14-0001</t>
        </is>
      </c>
      <c r="C51" s="385" t="inlineStr">
        <is>
          <t>Серьга</t>
        </is>
      </c>
      <c r="D51" s="377" t="inlineStr">
        <is>
          <t>шт</t>
        </is>
      </c>
      <c r="E51" s="456" t="n">
        <v>0.18</v>
      </c>
      <c r="F51" s="387" t="n">
        <v>10.54</v>
      </c>
      <c r="G51" s="254">
        <f>ROUND(E51*F51,2)</f>
        <v/>
      </c>
      <c r="H51" s="253">
        <f>G51/$G$63</f>
        <v/>
      </c>
      <c r="I51" s="254">
        <f>ROUND(F51*'Прил. 10'!$D$13,2)</f>
        <v/>
      </c>
      <c r="J51" s="254">
        <f>ROUND(I51*E51,2)</f>
        <v/>
      </c>
    </row>
    <row r="52" hidden="1" outlineLevel="1" ht="38.25" customFormat="1" customHeight="1" s="301">
      <c r="A52" s="377" t="n">
        <v>24</v>
      </c>
      <c r="B52" s="377" t="inlineStr">
        <is>
          <t>01.7.06.05-0041</t>
        </is>
      </c>
      <c r="C52" s="385" t="inlineStr">
        <is>
          <t>Лента изоляционная прорезиненная односторонняя, ширина 20 мм, толщина 0,25-0,35 мм</t>
        </is>
      </c>
      <c r="D52" s="377" t="inlineStr">
        <is>
          <t>кг</t>
        </is>
      </c>
      <c r="E52" s="456" t="n">
        <v>0.06</v>
      </c>
      <c r="F52" s="387" t="n">
        <v>30.4</v>
      </c>
      <c r="G52" s="254">
        <f>ROUND(E52*F52,2)</f>
        <v/>
      </c>
      <c r="H52" s="253">
        <f>G52/$G$63</f>
        <v/>
      </c>
      <c r="I52" s="254">
        <f>ROUND(F52*'Прил. 10'!$D$13,2)</f>
        <v/>
      </c>
      <c r="J52" s="254">
        <f>ROUND(I52*E52,2)</f>
        <v/>
      </c>
    </row>
    <row r="53" hidden="1" outlineLevel="1" ht="25.5" customFormat="1" customHeight="1" s="301">
      <c r="A53" s="377" t="n">
        <v>25</v>
      </c>
      <c r="B53" s="377" t="inlineStr">
        <is>
          <t>999-9950</t>
        </is>
      </c>
      <c r="C53" s="385" t="inlineStr">
        <is>
          <t>Вспомогательные ненормируемые ресурсы (2% от Оплаты труда рабочих)</t>
        </is>
      </c>
      <c r="D53" s="377" t="inlineStr">
        <is>
          <t>руб</t>
        </is>
      </c>
      <c r="E53" s="456" t="n">
        <v>1.17574</v>
      </c>
      <c r="F53" s="387" t="n">
        <v>1</v>
      </c>
      <c r="G53" s="254">
        <f>ROUND(E53*F53,2)</f>
        <v/>
      </c>
      <c r="H53" s="253">
        <f>G53/$G$63</f>
        <v/>
      </c>
      <c r="I53" s="254">
        <f>ROUND(F53*'Прил. 10'!$D$13,2)</f>
        <v/>
      </c>
      <c r="J53" s="254">
        <f>ROUND(I53*E53,2)</f>
        <v/>
      </c>
    </row>
    <row r="54" hidden="1" outlineLevel="1" ht="25.5" customFormat="1" customHeight="1" s="301">
      <c r="A54" s="377" t="n">
        <v>26</v>
      </c>
      <c r="B54" s="377" t="inlineStr">
        <is>
          <t>01.7.15.03-0031</t>
        </is>
      </c>
      <c r="C54" s="385" t="inlineStr">
        <is>
          <t>Болты с гайками и шайбами оцинкованные, диаметр 6 мм</t>
        </is>
      </c>
      <c r="D54" s="377" t="inlineStr">
        <is>
          <t>кг</t>
        </is>
      </c>
      <c r="E54" s="456" t="n">
        <v>0.035</v>
      </c>
      <c r="F54" s="387" t="n">
        <v>28.22</v>
      </c>
      <c r="G54" s="254">
        <f>ROUND(E54*F54,2)</f>
        <v/>
      </c>
      <c r="H54" s="253">
        <f>G54/$G$63</f>
        <v/>
      </c>
      <c r="I54" s="254">
        <f>ROUND(F54*'Прил. 10'!$D$13,2)</f>
        <v/>
      </c>
      <c r="J54" s="254">
        <f>ROUND(I54*E54,2)</f>
        <v/>
      </c>
    </row>
    <row r="55" hidden="1" outlineLevel="1" ht="14.25" customFormat="1" customHeight="1" s="301">
      <c r="A55" s="377" t="n">
        <v>27</v>
      </c>
      <c r="B55" s="377" t="inlineStr">
        <is>
          <t>01.3.01.02-0002</t>
        </is>
      </c>
      <c r="C55" s="385" t="inlineStr">
        <is>
          <t>Вазелин технический</t>
        </is>
      </c>
      <c r="D55" s="377" t="inlineStr">
        <is>
          <t>кг</t>
        </is>
      </c>
      <c r="E55" s="456" t="n">
        <v>0.021</v>
      </c>
      <c r="F55" s="387" t="n">
        <v>44.97</v>
      </c>
      <c r="G55" s="254">
        <f>ROUND(E55*F55,2)</f>
        <v/>
      </c>
      <c r="H55" s="253">
        <f>G55/$G$63</f>
        <v/>
      </c>
      <c r="I55" s="254">
        <f>ROUND(F55*'Прил. 10'!$D$13,2)</f>
        <v/>
      </c>
      <c r="J55" s="254">
        <f>ROUND(I55*E55,2)</f>
        <v/>
      </c>
    </row>
    <row r="56" hidden="1" outlineLevel="1" ht="14.25" customFormat="1" customHeight="1" s="301">
      <c r="A56" s="377" t="n">
        <v>28</v>
      </c>
      <c r="B56" s="377" t="inlineStr">
        <is>
          <t>14.4.03.17-0011</t>
        </is>
      </c>
      <c r="C56" s="385" t="inlineStr">
        <is>
          <t>Лак электроизоляционный 318</t>
        </is>
      </c>
      <c r="D56" s="377" t="inlineStr">
        <is>
          <t>кг</t>
        </is>
      </c>
      <c r="E56" s="456" t="n">
        <v>0.026</v>
      </c>
      <c r="F56" s="387" t="n">
        <v>35.63</v>
      </c>
      <c r="G56" s="254">
        <f>ROUND(E56*F56,2)</f>
        <v/>
      </c>
      <c r="H56" s="253">
        <f>G56/$G$63</f>
        <v/>
      </c>
      <c r="I56" s="254">
        <f>ROUND(F56*'Прил. 10'!$D$13,2)</f>
        <v/>
      </c>
      <c r="J56" s="254">
        <f>ROUND(I56*E56,2)</f>
        <v/>
      </c>
    </row>
    <row r="57" hidden="1" outlineLevel="1" ht="14.25" customFormat="1" customHeight="1" s="301">
      <c r="A57" s="377" t="n">
        <v>29</v>
      </c>
      <c r="B57" s="377" t="inlineStr">
        <is>
          <t>01.7.20.04-0005</t>
        </is>
      </c>
      <c r="C57" s="385" t="inlineStr">
        <is>
          <t>Нитки швейные</t>
        </is>
      </c>
      <c r="D57" s="377" t="inlineStr">
        <is>
          <t>кг</t>
        </is>
      </c>
      <c r="E57" s="456" t="n">
        <v>0.004</v>
      </c>
      <c r="F57" s="387" t="n">
        <v>133.05</v>
      </c>
      <c r="G57" s="254">
        <f>ROUND(E57*F57,2)</f>
        <v/>
      </c>
      <c r="H57" s="253">
        <f>G57/$G$63</f>
        <v/>
      </c>
      <c r="I57" s="254">
        <f>ROUND(F57*'Прил. 10'!$D$13,2)</f>
        <v/>
      </c>
      <c r="J57" s="254">
        <f>ROUND(I57*E57,2)</f>
        <v/>
      </c>
    </row>
    <row r="58" hidden="1" outlineLevel="1" ht="25.5" customFormat="1" customHeight="1" s="301">
      <c r="A58" s="377" t="n">
        <v>30</v>
      </c>
      <c r="B58" s="377" t="inlineStr">
        <is>
          <t>01.7.15.04-0011</t>
        </is>
      </c>
      <c r="C58" s="385" t="inlineStr">
        <is>
          <t>Винты с полукруглой головкой, длина 50 мм</t>
        </is>
      </c>
      <c r="D58" s="377" t="inlineStr">
        <is>
          <t>т</t>
        </is>
      </c>
      <c r="E58" s="456" t="n">
        <v>3.46e-05</v>
      </c>
      <c r="F58" s="387" t="n">
        <v>12430</v>
      </c>
      <c r="G58" s="254">
        <f>ROUND(E58*F58,2)</f>
        <v/>
      </c>
      <c r="H58" s="253">
        <f>G58/$G$63</f>
        <v/>
      </c>
      <c r="I58" s="254">
        <f>ROUND(F58*'Прил. 10'!$D$13,2)</f>
        <v/>
      </c>
      <c r="J58" s="254">
        <f>ROUND(I58*E58,2)</f>
        <v/>
      </c>
    </row>
    <row r="59" hidden="1" outlineLevel="1" ht="14.25" customFormat="1" customHeight="1" s="301">
      <c r="A59" s="377" t="n">
        <v>31</v>
      </c>
      <c r="B59" s="377" t="inlineStr">
        <is>
          <t>01.7.02.07-0011</t>
        </is>
      </c>
      <c r="C59" s="385" t="inlineStr">
        <is>
          <t>Прессшпан листовой, марка А</t>
        </is>
      </c>
      <c r="D59" s="377" t="inlineStr">
        <is>
          <t>кг</t>
        </is>
      </c>
      <c r="E59" s="456" t="n">
        <v>0.0044</v>
      </c>
      <c r="F59" s="387" t="n">
        <v>47.57</v>
      </c>
      <c r="G59" s="254">
        <f>ROUND(E59*F59,2)</f>
        <v/>
      </c>
      <c r="H59" s="253">
        <f>G59/$G$63</f>
        <v/>
      </c>
      <c r="I59" s="254">
        <f>ROUND(F59*'Прил. 10'!$D$13,2)</f>
        <v/>
      </c>
      <c r="J59" s="254">
        <f>ROUND(I59*E59,2)</f>
        <v/>
      </c>
    </row>
    <row r="60" hidden="1" outlineLevel="1" ht="14.25" customFormat="1" customHeight="1" s="301">
      <c r="A60" s="377" t="n">
        <v>32</v>
      </c>
      <c r="B60" s="377" t="inlineStr">
        <is>
          <t>20.2.09.13-0011</t>
        </is>
      </c>
      <c r="C60" s="385" t="inlineStr">
        <is>
          <t>Муфты</t>
        </is>
      </c>
      <c r="D60" s="377" t="inlineStr">
        <is>
          <t>шт</t>
        </is>
      </c>
      <c r="E60" s="456" t="n">
        <v>0.036</v>
      </c>
      <c r="F60" s="387" t="n">
        <v>5</v>
      </c>
      <c r="G60" s="254">
        <f>ROUND(E60*F60,2)</f>
        <v/>
      </c>
      <c r="H60" s="253">
        <f>G60/$G$63</f>
        <v/>
      </c>
      <c r="I60" s="254">
        <f>ROUND(F60*'Прил. 10'!$D$13,2)</f>
        <v/>
      </c>
      <c r="J60" s="254">
        <f>ROUND(I60*E60,2)</f>
        <v/>
      </c>
    </row>
    <row r="61" hidden="1" outlineLevel="1" ht="14.25" customFormat="1" customHeight="1" s="301">
      <c r="A61" s="377" t="n">
        <v>33</v>
      </c>
      <c r="B61" s="377" t="inlineStr">
        <is>
          <t>01.7.02.09-0002</t>
        </is>
      </c>
      <c r="C61" s="385" t="inlineStr">
        <is>
          <t>Шпагат бумажный</t>
        </is>
      </c>
      <c r="D61" s="377" t="inlineStr">
        <is>
          <t>кг</t>
        </is>
      </c>
      <c r="E61" s="456" t="n">
        <v>0.006</v>
      </c>
      <c r="F61" s="387" t="n">
        <v>11.5</v>
      </c>
      <c r="G61" s="254">
        <f>ROUND(E61*F61,2)</f>
        <v/>
      </c>
      <c r="H61" s="253">
        <f>G61/$G$63</f>
        <v/>
      </c>
      <c r="I61" s="254">
        <f>ROUND(F61*'Прил. 10'!$D$13,2)</f>
        <v/>
      </c>
      <c r="J61" s="254">
        <f>ROUND(I61*E61,2)</f>
        <v/>
      </c>
    </row>
    <row r="62" collapsed="1" ht="14.25" customFormat="1" customHeight="1" s="301">
      <c r="A62" s="377" t="n"/>
      <c r="B62" s="377" t="n"/>
      <c r="C62" s="385" t="inlineStr">
        <is>
          <t>Итого прочие материалы</t>
        </is>
      </c>
      <c r="D62" s="377" t="n"/>
      <c r="E62" s="386" t="n"/>
      <c r="F62" s="387" t="n"/>
      <c r="G62" s="254">
        <f>SUM(G46:G61)</f>
        <v/>
      </c>
      <c r="H62" s="253">
        <f>G62/$G$63</f>
        <v/>
      </c>
      <c r="I62" s="254" t="n"/>
      <c r="J62" s="254">
        <f>SUM(J46:J61)</f>
        <v/>
      </c>
    </row>
    <row r="63" ht="14.25" customFormat="1" customHeight="1" s="301">
      <c r="A63" s="377" t="n"/>
      <c r="B63" s="377" t="n"/>
      <c r="C63" s="366" t="inlineStr">
        <is>
          <t>Итого по разделу «Материалы»</t>
        </is>
      </c>
      <c r="D63" s="377" t="n"/>
      <c r="E63" s="386" t="n"/>
      <c r="F63" s="387" t="n"/>
      <c r="G63" s="254">
        <f>G45+G62</f>
        <v/>
      </c>
      <c r="H63" s="388">
        <f>G63/$G$63</f>
        <v/>
      </c>
      <c r="I63" s="254" t="n"/>
      <c r="J63" s="254">
        <f>J45+J62</f>
        <v/>
      </c>
    </row>
    <row r="64" ht="14.25" customFormat="1" customHeight="1" s="301">
      <c r="A64" s="377" t="n"/>
      <c r="B64" s="377" t="n"/>
      <c r="C64" s="385" t="inlineStr">
        <is>
          <t>ИТОГО ПО РМ</t>
        </is>
      </c>
      <c r="D64" s="377" t="n"/>
      <c r="E64" s="386" t="n"/>
      <c r="F64" s="387" t="n"/>
      <c r="G64" s="254">
        <f>G19+G31+G63</f>
        <v/>
      </c>
      <c r="H64" s="388" t="n"/>
      <c r="I64" s="254" t="n"/>
      <c r="J64" s="254">
        <f>J19+J31+J63</f>
        <v/>
      </c>
    </row>
    <row r="65" ht="14.25" customFormat="1" customHeight="1" s="301">
      <c r="A65" s="377" t="n"/>
      <c r="B65" s="377" t="n"/>
      <c r="C65" s="385" t="inlineStr">
        <is>
          <t>Накладные расходы</t>
        </is>
      </c>
      <c r="D65" s="174">
        <f>ROUND(G65/(G$21+$G$19),2)</f>
        <v/>
      </c>
      <c r="E65" s="386" t="n"/>
      <c r="F65" s="387" t="n"/>
      <c r="G65" s="254" t="n">
        <v>147.89</v>
      </c>
      <c r="H65" s="388" t="n"/>
      <c r="I65" s="254" t="n"/>
      <c r="J65" s="254">
        <f>ROUND(D65*(J19+J21),2)</f>
        <v/>
      </c>
    </row>
    <row r="66" ht="14.25" customFormat="1" customHeight="1" s="301">
      <c r="A66" s="377" t="n"/>
      <c r="B66" s="377" t="n"/>
      <c r="C66" s="385" t="inlineStr">
        <is>
          <t>Сметная прибыль</t>
        </is>
      </c>
      <c r="D66" s="174">
        <f>ROUND(G66/(G$19+G$21),2)</f>
        <v/>
      </c>
      <c r="E66" s="386" t="n"/>
      <c r="F66" s="387" t="n"/>
      <c r="G66" s="254" t="n">
        <v>74.15000000000001</v>
      </c>
      <c r="H66" s="388" t="n"/>
      <c r="I66" s="254" t="n"/>
      <c r="J66" s="254">
        <f>ROUND(D66*(J19+J21),2)</f>
        <v/>
      </c>
    </row>
    <row r="67" ht="14.25" customFormat="1" customHeight="1" s="301">
      <c r="A67" s="377" t="n"/>
      <c r="B67" s="377" t="n"/>
      <c r="C67" s="385" t="inlineStr">
        <is>
          <t>Итого СМР (с НР и СП)</t>
        </is>
      </c>
      <c r="D67" s="377" t="n"/>
      <c r="E67" s="386" t="n"/>
      <c r="F67" s="387" t="n"/>
      <c r="G67" s="254">
        <f>G19+G31+G63+G65+G66</f>
        <v/>
      </c>
      <c r="H67" s="388" t="n"/>
      <c r="I67" s="254" t="n"/>
      <c r="J67" s="254">
        <f>J19+J31+J63+J65+J66</f>
        <v/>
      </c>
    </row>
    <row r="68" ht="14.25" customFormat="1" customHeight="1" s="301">
      <c r="A68" s="377" t="n"/>
      <c r="B68" s="377" t="n"/>
      <c r="C68" s="385" t="inlineStr">
        <is>
          <t>ВСЕГО СМР + ОБОРУДОВАНИЕ</t>
        </is>
      </c>
      <c r="D68" s="377" t="n"/>
      <c r="E68" s="386" t="n"/>
      <c r="F68" s="387" t="n"/>
      <c r="G68" s="254">
        <f>G67+G38</f>
        <v/>
      </c>
      <c r="H68" s="388" t="n"/>
      <c r="I68" s="254" t="n"/>
      <c r="J68" s="254">
        <f>J67+J38</f>
        <v/>
      </c>
    </row>
    <row r="69" ht="34.5" customFormat="1" customHeight="1" s="301">
      <c r="A69" s="377" t="n"/>
      <c r="B69" s="377" t="n"/>
      <c r="C69" s="385" t="inlineStr">
        <is>
          <t>ИТОГО ПОКАЗАТЕЛЬ НА ЕД. ИЗМ.</t>
        </is>
      </c>
      <c r="D69" s="377" t="inlineStr">
        <is>
          <t>ед.</t>
        </is>
      </c>
      <c r="E69" s="460" t="n">
        <v>1</v>
      </c>
      <c r="F69" s="387" t="n"/>
      <c r="G69" s="254">
        <f>G68/E69</f>
        <v/>
      </c>
      <c r="H69" s="388" t="n"/>
      <c r="I69" s="254" t="n"/>
      <c r="J69" s="254">
        <f>J68/E69</f>
        <v/>
      </c>
    </row>
    <row r="71" ht="14.25" customFormat="1" customHeight="1" s="301">
      <c r="A71" s="291" t="inlineStr">
        <is>
          <t>Составил ______________________    Д.Ю. Нефедова</t>
        </is>
      </c>
    </row>
    <row r="72" ht="14.25" customFormat="1" customHeight="1" s="301">
      <c r="A72" s="300" t="inlineStr">
        <is>
          <t xml:space="preserve">                         (подпись, инициалы, фамилия)</t>
        </is>
      </c>
      <c r="G72" s="285" t="n"/>
    </row>
    <row r="73" ht="14.25" customFormat="1" customHeight="1" s="301">
      <c r="A73" s="291" t="n"/>
    </row>
    <row r="74" ht="14.25" customFormat="1" customHeight="1" s="301">
      <c r="A74" s="291" t="inlineStr">
        <is>
          <t>Проверил ______________________        А.В. Костянецкая</t>
        </is>
      </c>
    </row>
    <row r="75" ht="14.25" customFormat="1" customHeight="1" s="301">
      <c r="A75" s="300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B41:H41"/>
    <mergeCell ref="A7:H7"/>
    <mergeCell ref="B22:H22"/>
    <mergeCell ref="B9:B10"/>
    <mergeCell ref="D9:D10"/>
    <mergeCell ref="B12:H12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Установка 3-ф ПУ в РУ 0,4 кВ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3">
      <c r="A9" s="231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77" t="n"/>
      <c r="B10" s="366" t="n"/>
      <c r="C10" s="385" t="inlineStr">
        <is>
          <t>ИТОГО ИНЖЕНЕРНОЕ ОБОРУДОВАНИЕ</t>
        </is>
      </c>
      <c r="D10" s="366" t="n"/>
      <c r="E10" s="170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77" t="n">
        <v>1</v>
      </c>
      <c r="B12" s="385">
        <f>'Прил.5 Расчет СМР и ОБ'!B34</f>
        <v/>
      </c>
      <c r="C12" s="385">
        <f>'Прил.5 Расчет СМР и ОБ'!C34</f>
        <v/>
      </c>
      <c r="D12" s="385">
        <f>'Прил.5 Расчет СМР и ОБ'!D34</f>
        <v/>
      </c>
      <c r="E12" s="385">
        <f>'Прил.5 Расчет СМР и ОБ'!E34</f>
        <v/>
      </c>
      <c r="F12" s="385">
        <f>'Прил.5 Расчет СМР и ОБ'!F34</f>
        <v/>
      </c>
      <c r="G12" s="387">
        <f>ROUND(E12*F12,2)</f>
        <v/>
      </c>
    </row>
    <row r="13" ht="25.5" customHeight="1" s="303">
      <c r="A13" s="377" t="n">
        <v>2</v>
      </c>
      <c r="B13" s="385">
        <f>'Прил.5 Расчет СМР и ОБ'!B35</f>
        <v/>
      </c>
      <c r="C13" s="385">
        <f>'Прил.5 Расчет СМР и ОБ'!C35</f>
        <v/>
      </c>
      <c r="D13" s="385">
        <f>'Прил.5 Расчет СМР и ОБ'!D35</f>
        <v/>
      </c>
      <c r="E13" s="385">
        <f>'Прил.5 Расчет СМР и ОБ'!E35</f>
        <v/>
      </c>
      <c r="F13" s="385">
        <f>'Прил.5 Расчет СМР и ОБ'!F35</f>
        <v/>
      </c>
      <c r="G13" s="387">
        <f>ROUND(E13*F13,2)</f>
        <v/>
      </c>
    </row>
    <row r="14" ht="25.5" customHeight="1" s="303">
      <c r="A14" s="377" t="n"/>
      <c r="B14" s="385" t="n"/>
      <c r="C14" s="385" t="inlineStr">
        <is>
          <t>ИТОГО ТЕХНОЛОГИЧЕСКОЕ ОБОРУДОВАНИЕ</t>
        </is>
      </c>
      <c r="D14" s="385" t="n"/>
      <c r="E14" s="397" t="n"/>
      <c r="F14" s="387" t="n"/>
      <c r="G14" s="254">
        <f>SUM(G12:G13)</f>
        <v/>
      </c>
    </row>
    <row r="15" ht="19.5" customHeight="1" s="303">
      <c r="A15" s="377" t="n"/>
      <c r="B15" s="385" t="n"/>
      <c r="C15" s="385" t="inlineStr">
        <is>
          <t>Всего по разделу «Оборудование»</t>
        </is>
      </c>
      <c r="D15" s="385" t="n"/>
      <c r="E15" s="397" t="n"/>
      <c r="F15" s="387" t="n"/>
      <c r="G15" s="254">
        <f>G10+G14</f>
        <v/>
      </c>
    </row>
    <row r="16">
      <c r="A16" s="302" t="n"/>
      <c r="B16" s="297" t="n"/>
      <c r="C16" s="302" t="n"/>
      <c r="D16" s="302" t="n"/>
      <c r="E16" s="302" t="n"/>
      <c r="F16" s="302" t="n"/>
      <c r="G16" s="302" t="n"/>
    </row>
    <row r="17">
      <c r="A17" s="291" t="inlineStr">
        <is>
          <t>Составил ______________________    Д.Ю. Нефедова</t>
        </is>
      </c>
      <c r="B17" s="301" t="n"/>
      <c r="C17" s="301" t="n"/>
      <c r="D17" s="302" t="n"/>
      <c r="E17" s="302" t="n"/>
      <c r="F17" s="302" t="n"/>
      <c r="G17" s="302" t="n"/>
    </row>
    <row r="18">
      <c r="A18" s="300" t="inlineStr">
        <is>
          <t xml:space="preserve">                         (подпись, инициалы, фамилия)</t>
        </is>
      </c>
      <c r="B18" s="301" t="n"/>
      <c r="C18" s="301" t="n"/>
      <c r="D18" s="302" t="n"/>
      <c r="E18" s="302" t="n"/>
      <c r="F18" s="302" t="n"/>
      <c r="G18" s="302" t="n"/>
    </row>
    <row r="19">
      <c r="A19" s="291" t="n"/>
      <c r="B19" s="301" t="n"/>
      <c r="C19" s="301" t="n"/>
      <c r="D19" s="302" t="n"/>
      <c r="E19" s="302" t="n"/>
      <c r="F19" s="302" t="n"/>
      <c r="G19" s="302" t="n"/>
    </row>
    <row r="20">
      <c r="A20" s="291" t="inlineStr">
        <is>
          <t>Проверил ______________________        А.В. Костянецкая</t>
        </is>
      </c>
      <c r="B20" s="301" t="n"/>
      <c r="C20" s="301" t="n"/>
      <c r="D20" s="302" t="n"/>
      <c r="E20" s="302" t="n"/>
      <c r="F20" s="302" t="n"/>
      <c r="G20" s="302" t="n"/>
    </row>
    <row r="21">
      <c r="A21" s="300" t="inlineStr">
        <is>
          <t xml:space="preserve">                        (подпись, инициалы, фамилия)</t>
        </is>
      </c>
      <c r="B21" s="301" t="n"/>
      <c r="C21" s="301" t="n"/>
      <c r="D21" s="302" t="n"/>
      <c r="E21" s="302" t="n"/>
      <c r="F21" s="302" t="n"/>
      <c r="G21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3">
      <c r="A11" s="377" t="inlineStr">
        <is>
          <t>А1-16</t>
        </is>
      </c>
      <c r="B11" s="37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443" t="n"/>
    </row>
    <row r="8">
      <c r="B8" s="443" t="n"/>
      <c r="C8" s="443" t="n"/>
      <c r="D8" s="443" t="n"/>
      <c r="E8" s="443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13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5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5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5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5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5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2025-01-24T11:51:46Z</dcterms:modified>
  <cp:lastModifiedBy>Николай Трофименко</cp:lastModifiedBy>
  <cp:lastPrinted>2023-12-01T08:48:37Z</cp:lastPrinted>
</cp:coreProperties>
</file>