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нескольких 3-ф ПУ в шкафу, с организацией связи по RS-485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2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2" t="inlineStr">
        <is>
          <t>Наименование субъекта Российской Федерации</t>
        </is>
      </c>
      <c r="D13" s="337" t="inlineStr">
        <is>
          <t>Республика Калмыкия</t>
        </is>
      </c>
    </row>
    <row r="14">
      <c r="B14" s="364" t="n">
        <v>3</v>
      </c>
      <c r="C14" s="332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2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3ф ПУ в шкафу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2" t="inlineStr">
        <is>
          <t>строительно-монтажные работы</t>
        </is>
      </c>
      <c r="D18" s="204" t="n">
        <v>1.44</v>
      </c>
    </row>
    <row r="19" ht="15.75" customHeight="1" s="303">
      <c r="B19" s="206" t="inlineStr">
        <is>
          <t>6.2</t>
        </is>
      </c>
      <c r="C19" s="332" t="inlineStr">
        <is>
          <t>оборудование и инвентарь</t>
        </is>
      </c>
      <c r="D19" s="204" t="n">
        <v>13.43</v>
      </c>
    </row>
    <row r="20" ht="16.5" customHeight="1" s="303">
      <c r="B20" s="206" t="inlineStr">
        <is>
          <t>6.3</t>
        </is>
      </c>
      <c r="C20" s="332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2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3ф ПУ в шкафу</t>
        </is>
      </c>
      <c r="D12" s="331" t="inlineStr">
        <is>
          <t>02-01-01</t>
        </is>
      </c>
      <c r="E12" s="332" t="inlineStr">
        <is>
          <t>Установка ПКУ 10 кВ</t>
        </is>
      </c>
      <c r="F12" s="332" t="n"/>
      <c r="G12" s="333">
        <f>1.44</f>
        <v/>
      </c>
      <c r="H12" s="333">
        <f>13.43</f>
        <v/>
      </c>
      <c r="I12" s="333" t="n"/>
      <c r="J12" s="333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4" t="n"/>
      <c r="G13" s="335">
        <f>G12</f>
        <v/>
      </c>
      <c r="H13" s="335">
        <f>H12</f>
        <v/>
      </c>
      <c r="I13" s="335" t="n"/>
      <c r="J13" s="335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6">
        <f>G13</f>
        <v/>
      </c>
      <c r="H14" s="336">
        <f>H13</f>
        <v/>
      </c>
      <c r="I14" s="336" t="n"/>
      <c r="J14" s="336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48"/>
  <sheetViews>
    <sheetView view="pageBreakPreview" topLeftCell="A25" workbookViewId="0">
      <selection activeCell="C37" sqref="C3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Учет 0,4кВ в МКД. Установка нескольких 3-ф ПУ в шкафу, с организацией связи по RS-485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13.28</v>
      </c>
      <c r="G12" s="176" t="n"/>
      <c r="H12" s="450">
        <f>SUM(H13:H18)</f>
        <v/>
      </c>
      <c r="J12" s="305" t="n"/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51" t="n">
        <v>4.69</v>
      </c>
      <c r="G14" s="221" t="n">
        <v>9.92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68" t="inlineStr">
        <is>
          <t>Затраты труда машинистов</t>
        </is>
      </c>
      <c r="B19" s="444" t="n"/>
      <c r="C19" s="444" t="n"/>
      <c r="D19" s="444" t="n"/>
      <c r="E19" s="445" t="n"/>
      <c r="F19" s="369" t="n"/>
      <c r="G19" s="179" t="n"/>
      <c r="H19" s="450">
        <f>H20</f>
        <v/>
      </c>
    </row>
    <row r="20">
      <c r="A20" s="398" t="n">
        <v>7</v>
      </c>
      <c r="B20" s="370" t="n"/>
      <c r="C20" s="218" t="n">
        <v>2</v>
      </c>
      <c r="D20" s="219" t="inlineStr">
        <is>
          <t>Затраты труда машинистов</t>
        </is>
      </c>
      <c r="E20" s="398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69" t="inlineStr">
        <is>
          <t>Машины и механизмы</t>
        </is>
      </c>
      <c r="B21" s="444" t="n"/>
      <c r="C21" s="444" t="n"/>
      <c r="D21" s="444" t="n"/>
      <c r="E21" s="445" t="n"/>
      <c r="F21" s="369" t="n"/>
      <c r="G21" s="179" t="n"/>
      <c r="H21" s="450">
        <f>SUM(H22:H26)</f>
        <v/>
      </c>
    </row>
    <row r="22" ht="38.25" customHeight="1" s="303">
      <c r="A22" s="398" t="n">
        <v>8</v>
      </c>
      <c r="B22" s="370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8" t="inlineStr">
        <is>
          <t>маш.час</t>
        </is>
      </c>
      <c r="F22" s="398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>
      <c r="A23" s="398" t="n">
        <v>9</v>
      </c>
      <c r="B23" s="370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98" t="n">
        <v>10</v>
      </c>
      <c r="B24" s="370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8" t="n">
        <v>11</v>
      </c>
      <c r="B25" s="37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8" t="n">
        <v>12</v>
      </c>
      <c r="B26" s="370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8" t="inlineStr">
        <is>
          <t>маш.час</t>
        </is>
      </c>
      <c r="F26" s="398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ht="15" customHeight="1" s="303">
      <c r="A27" s="369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SUM(H28:H28)</f>
        <v/>
      </c>
    </row>
    <row r="28" ht="38.25" customHeight="1" s="303">
      <c r="A28" s="227" t="n">
        <v>13</v>
      </c>
      <c r="B28" s="370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№12.Учет 0,4 кВ. Учет в МКД. Трехфазный ПУ в шкафу.</t>
        </is>
      </c>
      <c r="E28" s="398" t="inlineStr">
        <is>
          <t>компл.</t>
        </is>
      </c>
      <c r="F28" s="398" t="n">
        <v>1</v>
      </c>
      <c r="G28" s="225" t="n">
        <v>2852.19</v>
      </c>
      <c r="H28" s="221">
        <f>ROUND(F28*G28,2)</f>
        <v/>
      </c>
      <c r="I28" s="226" t="n"/>
      <c r="J28" s="226" t="n"/>
      <c r="K28" s="226" t="n"/>
      <c r="L28" s="226" t="n"/>
    </row>
    <row r="29">
      <c r="A29" s="369" t="inlineStr">
        <is>
          <t>Материалы</t>
        </is>
      </c>
      <c r="B29" s="444" t="n"/>
      <c r="C29" s="444" t="n"/>
      <c r="D29" s="444" t="n"/>
      <c r="E29" s="445" t="n"/>
      <c r="F29" s="369" t="n"/>
      <c r="G29" s="179" t="n"/>
      <c r="H29" s="450">
        <f>SUM(H30:H41)</f>
        <v/>
      </c>
    </row>
    <row r="30">
      <c r="A30" s="227" t="n">
        <v>14</v>
      </c>
      <c r="B30" s="370" t="n"/>
      <c r="C30" s="218" t="inlineStr">
        <is>
          <t>25.2.01.01-0001</t>
        </is>
      </c>
      <c r="D30" s="219" t="inlineStr">
        <is>
          <t>Бирки-оконцеватели</t>
        </is>
      </c>
      <c r="E30" s="398" t="inlineStr">
        <is>
          <t>100 шт</t>
        </is>
      </c>
      <c r="F30" s="398" t="n">
        <v>0.1734</v>
      </c>
      <c r="G30" s="221" t="n">
        <v>63</v>
      </c>
      <c r="H30" s="221">
        <f>ROUND(F30*G30,2)</f>
        <v/>
      </c>
      <c r="I30" s="237" t="n"/>
      <c r="J30" s="226" t="n"/>
      <c r="K30" s="226" t="n"/>
    </row>
    <row r="31">
      <c r="A31" s="227" t="n">
        <v>15</v>
      </c>
      <c r="B31" s="370" t="n"/>
      <c r="C31" s="218" t="inlineStr">
        <is>
          <t>14.4.03.17-0101</t>
        </is>
      </c>
      <c r="D31" s="219" t="inlineStr">
        <is>
          <t>Лак канифольный КФ-965</t>
        </is>
      </c>
      <c r="E31" s="398" t="inlineStr">
        <is>
          <t>т</t>
        </is>
      </c>
      <c r="F31" s="398" t="n">
        <v>1.7e-05</v>
      </c>
      <c r="G31" s="221" t="n">
        <v>70200</v>
      </c>
      <c r="H31" s="221">
        <f>ROUND(F31*G31,2)</f>
        <v/>
      </c>
      <c r="I31" s="237" t="n"/>
      <c r="J31" s="226" t="n"/>
    </row>
    <row r="32">
      <c r="A32" s="227" t="n">
        <v>16</v>
      </c>
      <c r="B32" s="370" t="n"/>
      <c r="C32" s="218" t="inlineStr">
        <is>
          <t>01.7.06.07-0002</t>
        </is>
      </c>
      <c r="D32" s="219" t="inlineStr">
        <is>
          <t>Лента монтажная, тип ЛМ-5</t>
        </is>
      </c>
      <c r="E32" s="398" t="inlineStr">
        <is>
          <t>10 м</t>
        </is>
      </c>
      <c r="F32" s="398" t="n">
        <v>0.17</v>
      </c>
      <c r="G32" s="221" t="n">
        <v>6.9</v>
      </c>
      <c r="H32" s="221">
        <f>ROUND(F32*G32,2)</f>
        <v/>
      </c>
      <c r="I32" s="237" t="n"/>
      <c r="J32" s="226" t="n"/>
    </row>
    <row r="33">
      <c r="A33" s="227" t="n">
        <v>17</v>
      </c>
      <c r="B33" s="370" t="n"/>
      <c r="C33" s="218" t="inlineStr">
        <is>
          <t>01.7.11.07-0034</t>
        </is>
      </c>
      <c r="D33" s="219" t="inlineStr">
        <is>
          <t>Электроды сварочные Э42А, диаметр 4 мм</t>
        </is>
      </c>
      <c r="E33" s="398" t="inlineStr">
        <is>
          <t>кг</t>
        </is>
      </c>
      <c r="F33" s="398" t="n">
        <v>0.1</v>
      </c>
      <c r="G33" s="221" t="n">
        <v>10.57</v>
      </c>
      <c r="H33" s="221">
        <f>ROUND(F33*G33,2)</f>
        <v/>
      </c>
      <c r="I33" s="237" t="n"/>
      <c r="J33" s="226" t="n"/>
    </row>
    <row r="34" ht="25.5" customHeight="1" s="303">
      <c r="A34" s="227" t="n">
        <v>18</v>
      </c>
      <c r="B34" s="370" t="n"/>
      <c r="C34" s="218" t="inlineStr">
        <is>
          <t>01.7.06.05-0041</t>
        </is>
      </c>
      <c r="D34" s="219" t="inlineStr">
        <is>
          <t>Лента изоляционная прорезиненная односторонняя, ширина 20 мм, толщина 0,25-0,35 мм</t>
        </is>
      </c>
      <c r="E34" s="398" t="inlineStr">
        <is>
          <t>кг</t>
        </is>
      </c>
      <c r="F34" s="398" t="n">
        <v>0.034</v>
      </c>
      <c r="G34" s="221" t="n">
        <v>30.4</v>
      </c>
      <c r="H34" s="221">
        <f>ROUND(F34*G34,2)</f>
        <v/>
      </c>
      <c r="I34" s="237" t="n"/>
      <c r="J34" s="226" t="n"/>
    </row>
    <row r="35" ht="25.5" customHeight="1" s="303">
      <c r="A35" s="227" t="n">
        <v>19</v>
      </c>
      <c r="B35" s="370" t="n"/>
      <c r="C35" s="218" t="inlineStr">
        <is>
          <t>999-9950</t>
        </is>
      </c>
      <c r="D35" s="219" t="inlineStr">
        <is>
          <t>Вспомогательные ненормируемые ресурсы (2% от Оплаты труда рабочих)</t>
        </is>
      </c>
      <c r="E35" s="398" t="inlineStr">
        <is>
          <t>руб</t>
        </is>
      </c>
      <c r="F35" s="398" t="n">
        <v>0.9319</v>
      </c>
      <c r="G35" s="221" t="n">
        <v>1</v>
      </c>
      <c r="H35" s="221">
        <f>ROUND(F35*G35,2)</f>
        <v/>
      </c>
      <c r="I35" s="237" t="n"/>
      <c r="J35" s="226" t="n"/>
    </row>
    <row r="36" ht="25.5" customHeight="1" s="303">
      <c r="A36" s="227" t="n">
        <v>20</v>
      </c>
      <c r="B36" s="370" t="n"/>
      <c r="C36" s="218" t="inlineStr">
        <is>
          <t>10.3.02.03-0011</t>
        </is>
      </c>
      <c r="D36" s="219" t="inlineStr">
        <is>
          <t>Припои оловянно-свинцовые бессурьмянистые, марка ПОС30</t>
        </is>
      </c>
      <c r="E36" s="398" t="inlineStr">
        <is>
          <t>т</t>
        </is>
      </c>
      <c r="F36" s="398" t="n">
        <v>1.36e-05</v>
      </c>
      <c r="G36" s="221" t="n">
        <v>68050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70" t="n"/>
      <c r="C37" s="218" t="inlineStr">
        <is>
          <t>01.7.15.03-0042</t>
        </is>
      </c>
      <c r="D37" s="219" t="inlineStr">
        <is>
          <t>Болты с гайками и шайбами строительные</t>
        </is>
      </c>
      <c r="E37" s="398" t="inlineStr">
        <is>
          <t>кг</t>
        </is>
      </c>
      <c r="F37" s="398" t="n">
        <v>0.1</v>
      </c>
      <c r="G37" s="221" t="n">
        <v>9.039999999999999</v>
      </c>
      <c r="H37" s="221">
        <f>ROUND(F37*G37,2)</f>
        <v/>
      </c>
      <c r="I37" s="237" t="n"/>
      <c r="J37" s="226" t="n"/>
    </row>
    <row r="38">
      <c r="A38" s="227" t="n">
        <v>22</v>
      </c>
      <c r="B38" s="370" t="n"/>
      <c r="C38" s="218" t="inlineStr">
        <is>
          <t>01.3.01.02-0002</t>
        </is>
      </c>
      <c r="D38" s="219" t="inlineStr">
        <is>
          <t>Вазелин технический</t>
        </is>
      </c>
      <c r="E38" s="398" t="inlineStr">
        <is>
          <t>кг</t>
        </is>
      </c>
      <c r="F38" s="398" t="n">
        <v>0.017</v>
      </c>
      <c r="G38" s="221" t="n">
        <v>44.97</v>
      </c>
      <c r="H38" s="221">
        <f>ROUND(F38*G38,2)</f>
        <v/>
      </c>
      <c r="I38" s="237" t="n"/>
      <c r="J38" s="226" t="n"/>
    </row>
    <row r="39">
      <c r="A39" s="227" t="n">
        <v>23</v>
      </c>
      <c r="B39" s="370" t="n"/>
      <c r="C39" s="218" t="inlineStr">
        <is>
          <t>14.4.02.09-0001</t>
        </is>
      </c>
      <c r="D39" s="219" t="inlineStr">
        <is>
          <t>Краска</t>
        </is>
      </c>
      <c r="E39" s="398" t="inlineStr">
        <is>
          <t>кг</t>
        </is>
      </c>
      <c r="F39" s="398" t="n">
        <v>0.02</v>
      </c>
      <c r="G39" s="221" t="n">
        <v>28.6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01.7.20.04-0005</t>
        </is>
      </c>
      <c r="D40" s="219" t="inlineStr">
        <is>
          <t>Нитки швейные</t>
        </is>
      </c>
      <c r="E40" s="398" t="inlineStr">
        <is>
          <t>кг</t>
        </is>
      </c>
      <c r="F40" s="398" t="n">
        <v>0.0017</v>
      </c>
      <c r="G40" s="221" t="n">
        <v>133.05</v>
      </c>
      <c r="H40" s="221">
        <f>ROUND(F40*G40,2)</f>
        <v/>
      </c>
      <c r="I40" s="237" t="n"/>
      <c r="J40" s="226" t="n"/>
    </row>
    <row r="41">
      <c r="A41" s="227" t="n">
        <v>25</v>
      </c>
      <c r="B41" s="370" t="n"/>
      <c r="C41" s="218" t="inlineStr">
        <is>
          <t>01.7.02.09-0002</t>
        </is>
      </c>
      <c r="D41" s="219" t="inlineStr">
        <is>
          <t>Шпагат бумажный</t>
        </is>
      </c>
      <c r="E41" s="398" t="inlineStr">
        <is>
          <t>кг</t>
        </is>
      </c>
      <c r="F41" s="398" t="n">
        <v>0.0034</v>
      </c>
      <c r="G41" s="221" t="n">
        <v>11.5</v>
      </c>
      <c r="H41" s="221">
        <f>ROUND(F41*G41,2)</f>
        <v/>
      </c>
      <c r="I41" s="237" t="n"/>
      <c r="J41" s="226" t="n"/>
    </row>
    <row r="44">
      <c r="B44" s="305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5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29:E29"/>
    <mergeCell ref="D9:D10"/>
    <mergeCell ref="A12:E12"/>
    <mergeCell ref="E9:E10"/>
    <mergeCell ref="A3:H3"/>
    <mergeCell ref="F9:F10"/>
    <mergeCell ref="A9:A10"/>
    <mergeCell ref="A2:H2"/>
    <mergeCell ref="A19:E19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нескольких 3-ф ПУ в шкафу, с организацией связи по RS-485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ОБ'!J37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7"/>
  <sheetViews>
    <sheetView view="pageBreakPreview" topLeftCell="A38" workbookViewId="0">
      <selection activeCell="C64" sqref="C6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Учет 0,4кВ в МКД. Установка нескольких 3-ф ПУ в шкафу, с организацией связи по RS-485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1-4-2</t>
        </is>
      </c>
      <c r="C13" s="379" t="inlineStr">
        <is>
          <t>Затраты труда рабочих-строителей среднего разряда (4,2)</t>
        </is>
      </c>
      <c r="D13" s="380" t="inlineStr">
        <is>
          <t>чел.-ч.</t>
        </is>
      </c>
      <c r="E13" s="455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80" t="n">
        <v>8</v>
      </c>
      <c r="B24" s="244" t="inlineStr">
        <is>
          <t>91.18.01-007</t>
        </is>
      </c>
      <c r="C24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0" t="inlineStr">
        <is>
          <t>маш.час</t>
        </is>
      </c>
      <c r="E24" s="455" t="n">
        <v>0.19</v>
      </c>
      <c r="F24" s="382" t="n">
        <v>90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5" t="n">
        <v>0.06</v>
      </c>
      <c r="F25" s="382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91.17.04-233</t>
        </is>
      </c>
      <c r="C26" s="379" t="inlineStr">
        <is>
          <t>Установки для сварки ручной дуговой (постоянного тока)</t>
        </is>
      </c>
      <c r="D26" s="380" t="inlineStr">
        <is>
          <t>маш.час</t>
        </is>
      </c>
      <c r="E26" s="455" t="n">
        <v>0.61</v>
      </c>
      <c r="F26" s="382" t="n">
        <v>8.1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91.14.02-001</t>
        </is>
      </c>
      <c r="C28" s="379" t="inlineStr">
        <is>
          <t>Автомобили бортовые, грузоподъемность до 5 т</t>
        </is>
      </c>
      <c r="D28" s="380" t="inlineStr">
        <is>
          <t>маш.час</t>
        </is>
      </c>
      <c r="E28" s="455" t="n">
        <v>0.06</v>
      </c>
      <c r="F28" s="382" t="n">
        <v>65.70999999999999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91.04.01-041</t>
        </is>
      </c>
      <c r="C29" s="379" t="inlineStr">
        <is>
          <t>Молотки бурильные легкие при работе от передвижных компрессорных станций</t>
        </is>
      </c>
      <c r="D29" s="380" t="inlineStr">
        <is>
          <t>маш.час</t>
        </is>
      </c>
      <c r="E29" s="455" t="n">
        <v>0.19</v>
      </c>
      <c r="F29" s="382" t="n">
        <v>2.99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80" t="n"/>
      <c r="B31" s="380" t="n"/>
      <c r="C31" s="368" t="inlineStr">
        <is>
          <t>Итого по разделу «Машины и механизмы»</t>
        </is>
      </c>
      <c r="D31" s="380" t="n"/>
      <c r="E31" s="381" t="n"/>
      <c r="F31" s="254" t="n"/>
      <c r="G31" s="254">
        <f>G27+G30</f>
        <v/>
      </c>
      <c r="H31" s="383">
        <f>H27+H30</f>
        <v/>
      </c>
      <c r="I31" s="185" t="n"/>
      <c r="J31" s="254">
        <f>J27+J30</f>
        <v/>
      </c>
    </row>
    <row r="32" ht="14.25" customFormat="1" customHeight="1" s="301">
      <c r="A32" s="380" t="n"/>
      <c r="B32" s="368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80" t="n">
        <v>13</v>
      </c>
      <c r="B34" s="380" t="inlineStr">
        <is>
          <t>БЦ.48_2.19</t>
        </is>
      </c>
      <c r="C34" s="379" t="inlineStr">
        <is>
          <t>Учет 0,4 кВ. Учет в МКД. Трехфазный ПУ в шкафу.</t>
        </is>
      </c>
      <c r="D34" s="380" t="inlineStr">
        <is>
          <t>компл.</t>
        </is>
      </c>
      <c r="E34" s="456" t="n">
        <v>1</v>
      </c>
      <c r="F34" s="382">
        <f>ROUND(I34/'Прил. 10'!$D$14,2)</f>
        <v/>
      </c>
      <c r="G34" s="254">
        <f>ROUND(E34*F34,2)</f>
        <v/>
      </c>
      <c r="H34" s="253" t="n">
        <v>0</v>
      </c>
      <c r="I34" s="254" t="n">
        <v>19838.57</v>
      </c>
      <c r="J34" s="254">
        <f>ROUND(I34*E34,2)</f>
        <v/>
      </c>
    </row>
    <row r="35">
      <c r="A35" s="380" t="n"/>
      <c r="B35" s="380" t="n"/>
      <c r="C35" s="379" t="inlineStr">
        <is>
          <t>Итого основное оборудование</t>
        </is>
      </c>
      <c r="D35" s="380" t="n"/>
      <c r="E35" s="456" t="n"/>
      <c r="F35" s="382" t="n"/>
      <c r="G35" s="254">
        <f>SUM(G34:G34)</f>
        <v/>
      </c>
      <c r="H35" s="383">
        <f>SUM(H34:H34)</f>
        <v/>
      </c>
      <c r="I35" s="252" t="n"/>
      <c r="J35" s="254">
        <f>SUM(J34:J34)</f>
        <v/>
      </c>
      <c r="K35" s="301" t="n"/>
      <c r="L35" s="301" t="n"/>
    </row>
    <row r="36">
      <c r="A36" s="380" t="n"/>
      <c r="B36" s="380" t="n"/>
      <c r="C36" s="379" t="inlineStr">
        <is>
          <t>Итого прочее оборудование</t>
        </is>
      </c>
      <c r="D36" s="380" t="n"/>
      <c r="E36" s="455" t="n"/>
      <c r="F36" s="382" t="n"/>
      <c r="G36" s="254" t="n">
        <v>0</v>
      </c>
      <c r="H36" s="253" t="n">
        <v>0</v>
      </c>
      <c r="I36" s="252" t="n"/>
      <c r="J36" s="254" t="n">
        <v>0</v>
      </c>
      <c r="K36" s="301" t="n"/>
      <c r="L36" s="301" t="n"/>
    </row>
    <row r="37">
      <c r="A37" s="380" t="n"/>
      <c r="B37" s="380" t="n"/>
      <c r="C37" s="368" t="inlineStr">
        <is>
          <t>Итого по разделу «Оборудование»</t>
        </is>
      </c>
      <c r="D37" s="380" t="n"/>
      <c r="E37" s="381" t="n"/>
      <c r="F37" s="382" t="n"/>
      <c r="G37" s="254">
        <f>G35+G36</f>
        <v/>
      </c>
      <c r="H37" s="253">
        <f>H35+H36</f>
        <v/>
      </c>
      <c r="I37" s="252" t="n"/>
      <c r="J37" s="254">
        <f>J36+J35</f>
        <v/>
      </c>
      <c r="K37" s="301" t="n"/>
      <c r="L37" s="301" t="n"/>
    </row>
    <row r="38" ht="25.5" customHeight="1" s="303">
      <c r="A38" s="380" t="n"/>
      <c r="B38" s="380" t="n"/>
      <c r="C38" s="379" t="inlineStr">
        <is>
          <t>в том числе технологическое оборудование</t>
        </is>
      </c>
      <c r="D38" s="380" t="n"/>
      <c r="E38" s="456" t="n"/>
      <c r="F38" s="382" t="n"/>
      <c r="G38" s="254">
        <f>'Прил.6 Расчет ОБ'!G13</f>
        <v/>
      </c>
      <c r="H38" s="383" t="n"/>
      <c r="I38" s="252" t="n"/>
      <c r="J38" s="254">
        <f>J37</f>
        <v/>
      </c>
      <c r="K38" s="301" t="n"/>
      <c r="L38" s="301" t="n"/>
    </row>
    <row r="39" ht="14.25" customFormat="1" customHeight="1" s="301">
      <c r="A39" s="380" t="n"/>
      <c r="B39" s="368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187" t="n"/>
      <c r="J39" s="187" t="n"/>
    </row>
    <row r="40" ht="14.25" customFormat="1" customHeight="1" s="301">
      <c r="A40" s="375" t="n"/>
      <c r="B40" s="374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58" t="n"/>
      <c r="J40" s="258" t="n"/>
    </row>
    <row r="41" ht="14.25" customFormat="1" customHeight="1" s="301">
      <c r="A41" s="380" t="n">
        <v>14</v>
      </c>
      <c r="B41" s="380" t="inlineStr">
        <is>
          <t>25.2.01.01-0001</t>
        </is>
      </c>
      <c r="C41" s="379" t="inlineStr">
        <is>
          <t>Бирки-оконцеватели</t>
        </is>
      </c>
      <c r="D41" s="380" t="inlineStr">
        <is>
          <t>100 шт</t>
        </is>
      </c>
      <c r="E41" s="456" t="n">
        <v>0.1734</v>
      </c>
      <c r="F41" s="382" t="n">
        <v>63</v>
      </c>
      <c r="G41" s="254">
        <f>ROUND(E41*F41,2)</f>
        <v/>
      </c>
      <c r="H41" s="253">
        <f>G41/$G$55</f>
        <v/>
      </c>
      <c r="I41" s="254">
        <f>ROUND(F41*'Прил. 10'!$D$13,2)</f>
        <v/>
      </c>
      <c r="J41" s="254">
        <f>ROUND(I41*E41,2)</f>
        <v/>
      </c>
    </row>
    <row r="42" ht="14.25" customFormat="1" customHeight="1" s="301">
      <c r="A42" s="380" t="n">
        <v>15</v>
      </c>
      <c r="B42" s="380" t="inlineStr">
        <is>
          <t>14.4.03.17-0101</t>
        </is>
      </c>
      <c r="C42" s="379" t="inlineStr">
        <is>
          <t>Лак канифольный КФ-965</t>
        </is>
      </c>
      <c r="D42" s="380" t="inlineStr">
        <is>
          <t>т</t>
        </is>
      </c>
      <c r="E42" s="456" t="n">
        <v>1.7e-05</v>
      </c>
      <c r="F42" s="382" t="n">
        <v>70200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80" t="n">
        <v>16</v>
      </c>
      <c r="B43" s="380" t="inlineStr">
        <is>
          <t>01.7.06.07-0002</t>
        </is>
      </c>
      <c r="C43" s="379" t="inlineStr">
        <is>
          <t>Лента монтажная, тип ЛМ-5</t>
        </is>
      </c>
      <c r="D43" s="380" t="inlineStr">
        <is>
          <t>10 м</t>
        </is>
      </c>
      <c r="E43" s="456" t="n">
        <v>0.17</v>
      </c>
      <c r="F43" s="382" t="n">
        <v>6.9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80" t="n">
        <v>17</v>
      </c>
      <c r="B44" s="380" t="inlineStr">
        <is>
          <t>01.7.11.07-0034</t>
        </is>
      </c>
      <c r="C44" s="379" t="inlineStr">
        <is>
          <t>Электроды сварочные Э42А, диаметр 4 мм</t>
        </is>
      </c>
      <c r="D44" s="380" t="inlineStr">
        <is>
          <t>кг</t>
        </is>
      </c>
      <c r="E44" s="456" t="n">
        <v>0.1</v>
      </c>
      <c r="F44" s="382" t="n">
        <v>10.57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38.25" customFormat="1" customHeight="1" s="301">
      <c r="A45" s="380" t="n">
        <v>18</v>
      </c>
      <c r="B45" s="380" t="inlineStr">
        <is>
          <t>01.7.06.05-0041</t>
        </is>
      </c>
      <c r="C45" s="379" t="inlineStr">
        <is>
          <t>Лента изоляционная прорезиненная односторонняя, ширина 20 мм, толщина 0,25-0,35 мм</t>
        </is>
      </c>
      <c r="D45" s="380" t="inlineStr">
        <is>
          <t>кг</t>
        </is>
      </c>
      <c r="E45" s="456" t="n">
        <v>0.034</v>
      </c>
      <c r="F45" s="382" t="n">
        <v>30.4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25.5" customFormat="1" customHeight="1" s="301">
      <c r="A46" s="380" t="n">
        <v>19</v>
      </c>
      <c r="B46" s="380" t="inlineStr">
        <is>
          <t>999-9950</t>
        </is>
      </c>
      <c r="C46" s="379" t="inlineStr">
        <is>
          <t>Вспомогательные ненормируемые ресурсы (2% от Оплаты труда рабочих)</t>
        </is>
      </c>
      <c r="D46" s="380" t="inlineStr">
        <is>
          <t>руб</t>
        </is>
      </c>
      <c r="E46" s="456" t="n">
        <v>0.9319</v>
      </c>
      <c r="F46" s="382" t="n">
        <v>1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25.5" customFormat="1" customHeight="1" s="301">
      <c r="A47" s="380" t="n">
        <v>20</v>
      </c>
      <c r="B47" s="380" t="inlineStr">
        <is>
          <t>10.3.02.03-0011</t>
        </is>
      </c>
      <c r="C47" s="379" t="inlineStr">
        <is>
          <t>Припои оловянно-свинцовые бессурьмянистые, марка ПОС30</t>
        </is>
      </c>
      <c r="D47" s="380" t="inlineStr">
        <is>
          <t>т</t>
        </is>
      </c>
      <c r="E47" s="456" t="n">
        <v>1.36e-05</v>
      </c>
      <c r="F47" s="382" t="n">
        <v>68050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91" t="n"/>
      <c r="B48" s="260" t="n"/>
      <c r="C48" s="261" t="inlineStr">
        <is>
          <t>Итого основные материалы</t>
        </is>
      </c>
      <c r="D48" s="391" t="n"/>
      <c r="E48" s="459" t="n"/>
      <c r="F48" s="265" t="n"/>
      <c r="G48" s="265">
        <f>SUM(G41:G47)</f>
        <v/>
      </c>
      <c r="H48" s="253">
        <f>G48/$G$55</f>
        <v/>
      </c>
      <c r="I48" s="254" t="n"/>
      <c r="J48" s="265">
        <f>SUM(J41:J47)</f>
        <v/>
      </c>
    </row>
    <row r="49" hidden="1" outlineLevel="1" ht="14.25" customFormat="1" customHeight="1" s="301">
      <c r="A49" s="380" t="n">
        <v>21</v>
      </c>
      <c r="B49" s="380" t="inlineStr">
        <is>
          <t>01.7.15.03-0042</t>
        </is>
      </c>
      <c r="C49" s="379" t="inlineStr">
        <is>
          <t>Болты с гайками и шайбами строительные</t>
        </is>
      </c>
      <c r="D49" s="380" t="inlineStr">
        <is>
          <t>кг</t>
        </is>
      </c>
      <c r="E49" s="456" t="n">
        <v>0.1</v>
      </c>
      <c r="F49" s="382" t="n">
        <v>9.039999999999999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14.25" customFormat="1" customHeight="1" s="301">
      <c r="A50" s="380" t="n">
        <v>22</v>
      </c>
      <c r="B50" s="380" t="inlineStr">
        <is>
          <t>01.3.01.02-0002</t>
        </is>
      </c>
      <c r="C50" s="379" t="inlineStr">
        <is>
          <t>Вазелин технический</t>
        </is>
      </c>
      <c r="D50" s="380" t="inlineStr">
        <is>
          <t>кг</t>
        </is>
      </c>
      <c r="E50" s="456" t="n">
        <v>0.017</v>
      </c>
      <c r="F50" s="382" t="n">
        <v>44.97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80" t="n">
        <v>23</v>
      </c>
      <c r="B51" s="380" t="inlineStr">
        <is>
          <t>14.4.02.09-0001</t>
        </is>
      </c>
      <c r="C51" s="379" t="inlineStr">
        <is>
          <t>Краска</t>
        </is>
      </c>
      <c r="D51" s="380" t="inlineStr">
        <is>
          <t>кг</t>
        </is>
      </c>
      <c r="E51" s="456" t="n">
        <v>0.02</v>
      </c>
      <c r="F51" s="382" t="n">
        <v>28.6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80" t="n">
        <v>24</v>
      </c>
      <c r="B52" s="380" t="inlineStr">
        <is>
          <t>01.7.20.04-0005</t>
        </is>
      </c>
      <c r="C52" s="379" t="inlineStr">
        <is>
          <t>Нитки швейные</t>
        </is>
      </c>
      <c r="D52" s="380" t="inlineStr">
        <is>
          <t>кг</t>
        </is>
      </c>
      <c r="E52" s="456" t="n">
        <v>0.0017</v>
      </c>
      <c r="F52" s="382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80" t="n">
        <v>25</v>
      </c>
      <c r="B53" s="380" t="inlineStr">
        <is>
          <t>01.7.02.09-0002</t>
        </is>
      </c>
      <c r="C53" s="379" t="inlineStr">
        <is>
          <t>Шпагат бумажный</t>
        </is>
      </c>
      <c r="D53" s="380" t="inlineStr">
        <is>
          <t>кг</t>
        </is>
      </c>
      <c r="E53" s="456" t="n">
        <v>0.0034</v>
      </c>
      <c r="F53" s="382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80" t="n"/>
      <c r="B54" s="380" t="n"/>
      <c r="C54" s="379" t="inlineStr">
        <is>
          <t>Итого прочие материалы</t>
        </is>
      </c>
      <c r="D54" s="380" t="n"/>
      <c r="E54" s="381" t="n"/>
      <c r="F54" s="382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1">
      <c r="A55" s="380" t="n"/>
      <c r="B55" s="380" t="n"/>
      <c r="C55" s="368" t="inlineStr">
        <is>
          <t>Итого по разделу «Материалы»</t>
        </is>
      </c>
      <c r="D55" s="380" t="n"/>
      <c r="E55" s="381" t="n"/>
      <c r="F55" s="382" t="n"/>
      <c r="G55" s="254">
        <f>G48+G54</f>
        <v/>
      </c>
      <c r="H55" s="383">
        <f>G55/$G$55</f>
        <v/>
      </c>
      <c r="I55" s="254" t="n"/>
      <c r="J55" s="254">
        <f>J48+J54</f>
        <v/>
      </c>
    </row>
    <row r="56" ht="14.25" customFormat="1" customHeight="1" s="301">
      <c r="A56" s="380" t="n"/>
      <c r="B56" s="380" t="n"/>
      <c r="C56" s="379" t="inlineStr">
        <is>
          <t>ИТОГО ПО РМ</t>
        </is>
      </c>
      <c r="D56" s="380" t="n"/>
      <c r="E56" s="381" t="n"/>
      <c r="F56" s="382" t="n"/>
      <c r="G56" s="254">
        <f>G19+G31+G55</f>
        <v/>
      </c>
      <c r="H56" s="383" t="n"/>
      <c r="I56" s="254" t="n"/>
      <c r="J56" s="254">
        <f>J19+J31+J55</f>
        <v/>
      </c>
    </row>
    <row r="57" ht="14.25" customFormat="1" customHeight="1" s="301">
      <c r="A57" s="380" t="n"/>
      <c r="B57" s="380" t="n"/>
      <c r="C57" s="379" t="inlineStr">
        <is>
          <t>Накладные расходы</t>
        </is>
      </c>
      <c r="D57" s="174">
        <f>ROUND(G57/(G$21+$G$19),2)</f>
        <v/>
      </c>
      <c r="E57" s="381" t="n"/>
      <c r="F57" s="382" t="n"/>
      <c r="G57" s="254" t="n">
        <v>138.44</v>
      </c>
      <c r="H57" s="383" t="n"/>
      <c r="I57" s="254" t="n"/>
      <c r="J57" s="254">
        <f>ROUND(D57*(J19+J21),2)</f>
        <v/>
      </c>
    </row>
    <row r="58" ht="14.25" customFormat="1" customHeight="1" s="301">
      <c r="A58" s="380" t="n"/>
      <c r="B58" s="380" t="n"/>
      <c r="C58" s="379" t="inlineStr">
        <is>
          <t>Сметная прибыль</t>
        </is>
      </c>
      <c r="D58" s="174">
        <f>ROUND(G58/(G$19+G$21),2)</f>
        <v/>
      </c>
      <c r="E58" s="381" t="n"/>
      <c r="F58" s="382" t="n"/>
      <c r="G58" s="254" t="n">
        <v>69.25</v>
      </c>
      <c r="H58" s="383" t="n"/>
      <c r="I58" s="254" t="n"/>
      <c r="J58" s="254">
        <f>ROUND(D58*(J19+J21),2)</f>
        <v/>
      </c>
    </row>
    <row r="59" ht="14.25" customFormat="1" customHeight="1" s="301">
      <c r="A59" s="380" t="n"/>
      <c r="B59" s="380" t="n"/>
      <c r="C59" s="379" t="inlineStr">
        <is>
          <t>Итого СМР (с НР и СП)</t>
        </is>
      </c>
      <c r="D59" s="380" t="n"/>
      <c r="E59" s="381" t="n"/>
      <c r="F59" s="382" t="n"/>
      <c r="G59" s="254">
        <f>G19+G31+G55+G57+G58</f>
        <v/>
      </c>
      <c r="H59" s="383" t="n"/>
      <c r="I59" s="254" t="n"/>
      <c r="J59" s="254">
        <f>J19+J31+J55+J57+J58</f>
        <v/>
      </c>
    </row>
    <row r="60" ht="14.25" customFormat="1" customHeight="1" s="301">
      <c r="A60" s="380" t="n"/>
      <c r="B60" s="380" t="n"/>
      <c r="C60" s="379" t="inlineStr">
        <is>
          <t>ВСЕГО СМР + ОБОРУДОВАНИЕ</t>
        </is>
      </c>
      <c r="D60" s="380" t="n"/>
      <c r="E60" s="381" t="n"/>
      <c r="F60" s="382" t="n"/>
      <c r="G60" s="254">
        <f>G59+G37</f>
        <v/>
      </c>
      <c r="H60" s="383" t="n"/>
      <c r="I60" s="254" t="n"/>
      <c r="J60" s="254">
        <f>J59+J37</f>
        <v/>
      </c>
    </row>
    <row r="61" ht="34.5" customFormat="1" customHeight="1" s="301">
      <c r="A61" s="380" t="n"/>
      <c r="B61" s="380" t="n"/>
      <c r="C61" s="379" t="inlineStr">
        <is>
          <t>ИТОГО ПОКАЗАТЕЛЬ НА ЕД. ИЗМ.</t>
        </is>
      </c>
      <c r="D61" s="380" t="inlineStr">
        <is>
          <t>ед.</t>
        </is>
      </c>
      <c r="E61" s="460" t="n">
        <v>1</v>
      </c>
      <c r="F61" s="382" t="n"/>
      <c r="G61" s="254">
        <f>G60/E61</f>
        <v/>
      </c>
      <c r="H61" s="383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B32:H32"/>
    <mergeCell ref="E9:E10"/>
    <mergeCell ref="A7:H7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нескольких 3-ф ПУ в шкафу, с организацией связи по RS-485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80" t="n">
        <v>1</v>
      </c>
      <c r="B12" s="379">
        <f>'Прил.5 Расчет СМР и ОБ'!B34</f>
        <v/>
      </c>
      <c r="C12" s="379">
        <f>'Прил.5 Расчет СМР и ОБ'!C34</f>
        <v/>
      </c>
      <c r="D12" s="379">
        <f>'Прил.5 Расчет СМР и ОБ'!D34</f>
        <v/>
      </c>
      <c r="E12" s="379">
        <f>'Прил.5 Расчет СМР и ОБ'!E34</f>
        <v/>
      </c>
      <c r="F12" s="379">
        <f>'Прил.5 Расчет СМР и ОБ'!F34</f>
        <v/>
      </c>
      <c r="G12" s="382">
        <f>ROUND(E12*F12,2)</f>
        <v/>
      </c>
    </row>
    <row r="13" ht="25.5" customHeight="1" s="303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4">
        <f>SUM(G12:G12)</f>
        <v/>
      </c>
    </row>
    <row r="14" ht="19.5" customHeight="1" s="303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А1-27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2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2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2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2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2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2025-01-24T11:51:52Z</dcterms:modified>
  <cp:lastModifiedBy>Николай Трофименко</cp:lastModifiedBy>
  <cp:lastPrinted>2023-12-01T08:55:02Z</cp:lastPrinted>
</cp:coreProperties>
</file>