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3'!$A$1:$H$69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ОБ'!$A$1:$J$83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7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1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1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20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top"/>
    </xf>
    <xf numFmtId="4" fontId="4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0" fontId="17" fillId="0" borderId="6" applyAlignment="1" pivotButton="0" quotePrefix="0" xfId="0">
      <alignment vertical="center" wrapText="1"/>
    </xf>
    <xf numFmtId="0" fontId="17" fillId="0" borderId="7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applyAlignment="1" pivotButton="0" quotePrefix="0" xfId="0">
      <alignment horizontal="center"/>
    </xf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0" pivotButton="0" quotePrefix="0" xfId="0"/>
    <xf numFmtId="0" fontId="0" fillId="0" borderId="11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  <xf numFmtId="170" fontId="17" fillId="0" borderId="5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4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5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6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8" zoomScale="55" zoomScaleNormal="55" zoomScaleSheetLayoutView="55" workbookViewId="0">
      <selection activeCell="C28" sqref="C28"/>
    </sheetView>
  </sheetViews>
  <sheetFormatPr baseColWidth="8" defaultColWidth="9.140625" defaultRowHeight="15.75"/>
  <cols>
    <col width="9.140625" customWidth="1" style="188" min="1" max="2"/>
    <col width="51.7109375" customWidth="1" style="188" min="3" max="3"/>
    <col width="47" customWidth="1" style="188" min="4" max="4"/>
    <col width="37.42578125" customWidth="1" style="188" min="5" max="5"/>
    <col width="9.140625" customWidth="1" style="188" min="6" max="6"/>
  </cols>
  <sheetData>
    <row r="3">
      <c r="B3" s="229" t="inlineStr">
        <is>
          <t>Приложение № 1</t>
        </is>
      </c>
    </row>
    <row r="4">
      <c r="B4" s="230" t="inlineStr">
        <is>
          <t>Сравнительная таблица отбора объекта-представителя</t>
        </is>
      </c>
    </row>
    <row r="5" ht="84" customHeight="1" s="186">
      <c r="B5" s="23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86">
      <c r="B6" s="139" t="n"/>
      <c r="C6" s="139" t="n"/>
      <c r="D6" s="139" t="n"/>
    </row>
    <row r="7" ht="64.5" customHeight="1" s="186">
      <c r="B7" s="231" t="inlineStr">
        <is>
          <t>Наименование разрабатываемого показателя УНЦ - Установка пункта коммерческого учета (ПКУ) ЭЭ класса напряжения 6-15 кВ на опоре ВЛ (с выносными датчиками тока и напряжения)</t>
        </is>
      </c>
    </row>
    <row r="8" ht="31.5" customHeight="1" s="186">
      <c r="B8" s="231" t="inlineStr">
        <is>
          <t>Сопоставимый уровень цен: 3 кв. 2019 г.</t>
        </is>
      </c>
    </row>
    <row r="9" ht="15.75" customHeight="1" s="186">
      <c r="B9" s="231" t="inlineStr">
        <is>
          <t>Единица измерения  — 1 ед.</t>
        </is>
      </c>
    </row>
    <row r="10">
      <c r="B10" s="231" t="n"/>
    </row>
    <row r="11">
      <c r="B11" s="235" t="inlineStr">
        <is>
          <t>№ п/п</t>
        </is>
      </c>
      <c r="C11" s="235" t="inlineStr">
        <is>
          <t>Параметр</t>
        </is>
      </c>
      <c r="D11" s="235" t="inlineStr">
        <is>
          <t xml:space="preserve">Объект-представитель </t>
        </is>
      </c>
      <c r="E11" s="140" t="n"/>
    </row>
    <row r="12" ht="96.75" customHeight="1" s="186">
      <c r="B12" s="235" t="n">
        <v>1</v>
      </c>
      <c r="C12" s="214" t="inlineStr">
        <is>
          <t>Наименование объекта-представителя</t>
        </is>
      </c>
      <c r="D12" s="235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235" t="n">
        <v>2</v>
      </c>
      <c r="C13" s="214" t="inlineStr">
        <is>
          <t>Наименование субъекта Российской Федерации</t>
        </is>
      </c>
      <c r="D13" s="219" t="inlineStr">
        <is>
          <t>Республика Калмыкия</t>
        </is>
      </c>
    </row>
    <row r="14">
      <c r="B14" s="235" t="n">
        <v>3</v>
      </c>
      <c r="C14" s="214" t="inlineStr">
        <is>
          <t>Климатический район и подрайон</t>
        </is>
      </c>
      <c r="D14" s="235" t="inlineStr">
        <is>
          <t>IVГ</t>
        </is>
      </c>
    </row>
    <row r="15">
      <c r="B15" s="235" t="n">
        <v>4</v>
      </c>
      <c r="C15" s="214" t="inlineStr">
        <is>
          <t>Мощность объекта</t>
        </is>
      </c>
      <c r="D15" s="235" t="n">
        <v>1</v>
      </c>
    </row>
    <row r="16" ht="63" customHeight="1" s="186">
      <c r="B16" s="235" t="n">
        <v>5</v>
      </c>
      <c r="C16" s="14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5" t="inlineStr">
        <is>
          <t>ПКУ ЭЭ класса напряжения 6-15 кВ на опоре ВЛ (с выносными датчиками тока и напряжения)</t>
        </is>
      </c>
    </row>
    <row r="17" ht="79.5" customHeight="1" s="186">
      <c r="B17" s="235" t="n">
        <v>6</v>
      </c>
      <c r="C17" s="14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4">
        <f>D18+D19</f>
        <v/>
      </c>
      <c r="E17" s="145" t="n"/>
    </row>
    <row r="18">
      <c r="B18" s="146" t="inlineStr">
        <is>
          <t>6.1</t>
        </is>
      </c>
      <c r="C18" s="214" t="inlineStr">
        <is>
          <t>строительно-монтажные работы</t>
        </is>
      </c>
      <c r="D18" s="144" t="n">
        <v>18.509668</v>
      </c>
    </row>
    <row r="19" ht="15.75" customHeight="1" s="186">
      <c r="B19" s="146" t="inlineStr">
        <is>
          <t>6.2</t>
        </is>
      </c>
      <c r="C19" s="214" t="inlineStr">
        <is>
          <t>оборудование и инвентарь</t>
        </is>
      </c>
      <c r="D19" s="144" t="n">
        <v>367.5608169</v>
      </c>
    </row>
    <row r="20" ht="16.5" customHeight="1" s="186">
      <c r="B20" s="146" t="inlineStr">
        <is>
          <t>6.3</t>
        </is>
      </c>
      <c r="C20" s="214" t="inlineStr">
        <is>
          <t>пусконаладочные работы</t>
        </is>
      </c>
      <c r="D20" s="144" t="n"/>
    </row>
    <row r="21" ht="35.25" customHeight="1" s="186">
      <c r="B21" s="146" t="inlineStr">
        <is>
          <t>6.4</t>
        </is>
      </c>
      <c r="C21" s="147" t="inlineStr">
        <is>
          <t>прочие и лимитированные затраты</t>
        </is>
      </c>
      <c r="D21" s="144" t="n"/>
    </row>
    <row r="22">
      <c r="B22" s="235" t="n">
        <v>7</v>
      </c>
      <c r="C22" s="147" t="inlineStr">
        <is>
          <t>Сопоставимый уровень цен</t>
        </is>
      </c>
      <c r="D22" s="148" t="inlineStr">
        <is>
          <t>3 кв. 2019 г.</t>
        </is>
      </c>
      <c r="E22" s="149" t="n"/>
    </row>
    <row r="23" ht="123" customHeight="1" s="186">
      <c r="B23" s="235" t="n">
        <v>8</v>
      </c>
      <c r="C23" s="15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4">
        <f>D17</f>
        <v/>
      </c>
      <c r="E23" s="145" t="n"/>
    </row>
    <row r="24" ht="60.75" customHeight="1" s="186">
      <c r="B24" s="235" t="n">
        <v>9</v>
      </c>
      <c r="C24" s="143" t="inlineStr">
        <is>
          <t>Приведенная сметная стоимость на единицу мощности, тыс. руб. (строка 8/строку 4)</t>
        </is>
      </c>
      <c r="D24" s="144">
        <f>D23/D15</f>
        <v/>
      </c>
      <c r="E24" s="149" t="n"/>
    </row>
    <row r="25" ht="48" customHeight="1" s="186">
      <c r="B25" s="235" t="n">
        <v>10</v>
      </c>
      <c r="C25" s="214" t="inlineStr">
        <is>
          <t>Примечание</t>
        </is>
      </c>
      <c r="D25" s="235" t="n"/>
    </row>
    <row r="26">
      <c r="B26" s="151" t="n"/>
      <c r="C26" s="152" t="n"/>
      <c r="D26" s="152" t="n"/>
    </row>
    <row r="27" ht="37.5" customHeight="1" s="186">
      <c r="B27" s="115" t="n"/>
    </row>
    <row r="28">
      <c r="B28" s="188" t="inlineStr">
        <is>
          <t>Составил ______________________    Д.Ю. Нефедова</t>
        </is>
      </c>
    </row>
    <row r="29">
      <c r="B29" s="115" t="inlineStr">
        <is>
          <t xml:space="preserve">                         (подпись, инициалы, фамилия)</t>
        </is>
      </c>
    </row>
    <row r="31">
      <c r="B31" s="188" t="inlineStr">
        <is>
          <t>Проверил ______________________        А.В. Костянецкая</t>
        </is>
      </c>
    </row>
    <row r="32">
      <c r="B32" s="11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188" min="1" max="1"/>
    <col width="9.140625" customWidth="1" style="188" min="2" max="2"/>
    <col width="35.28515625" customWidth="1" style="188" min="3" max="3"/>
    <col width="13.85546875" customWidth="1" style="188" min="4" max="4"/>
    <col width="24.85546875" customWidth="1" style="188" min="5" max="5"/>
    <col width="15.5703125" customWidth="1" style="188" min="6" max="6"/>
    <col width="14.85546875" customWidth="1" style="188" min="7" max="7"/>
    <col width="16.7109375" customWidth="1" style="188" min="8" max="8"/>
    <col width="13" customWidth="1" style="188" min="9" max="10"/>
    <col width="9.140625" customWidth="1" style="188" min="11" max="11"/>
  </cols>
  <sheetData>
    <row r="3">
      <c r="B3" s="229" t="inlineStr">
        <is>
          <t>Приложение № 2</t>
        </is>
      </c>
    </row>
    <row r="4">
      <c r="B4" s="230" t="inlineStr">
        <is>
          <t>Расчет стоимости основных видов работ для выбора объекта-представителя</t>
        </is>
      </c>
    </row>
    <row r="5">
      <c r="B5" s="112" t="n"/>
      <c r="C5" s="112" t="n"/>
      <c r="D5" s="112" t="n"/>
      <c r="E5" s="112" t="n"/>
      <c r="F5" s="112" t="n"/>
      <c r="G5" s="112" t="n"/>
      <c r="H5" s="112" t="n"/>
      <c r="I5" s="112" t="n"/>
      <c r="J5" s="112" t="n"/>
    </row>
    <row r="6" ht="29.25" customHeight="1" s="186">
      <c r="B6" s="231">
        <f>'Прил.1 Сравнит табл'!B7:D7</f>
        <v/>
      </c>
    </row>
    <row r="7">
      <c r="B7" s="231">
        <f>'Прил.1 Сравнит табл'!B9:D9</f>
        <v/>
      </c>
    </row>
    <row r="8" ht="18.75" customHeight="1" s="186">
      <c r="B8" s="106" t="n"/>
    </row>
    <row r="9" ht="15.75" customHeight="1" s="186">
      <c r="B9" s="235" t="inlineStr">
        <is>
          <t>№ п/п</t>
        </is>
      </c>
      <c r="C9" s="23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5" t="inlineStr">
        <is>
          <t>Объект-представитель 1</t>
        </is>
      </c>
      <c r="E9" s="326" t="n"/>
      <c r="F9" s="326" t="n"/>
      <c r="G9" s="326" t="n"/>
      <c r="H9" s="326" t="n"/>
      <c r="I9" s="326" t="n"/>
      <c r="J9" s="327" t="n"/>
    </row>
    <row r="10" ht="15.75" customHeight="1" s="186">
      <c r="B10" s="328" t="n"/>
      <c r="C10" s="328" t="n"/>
      <c r="D10" s="235" t="inlineStr">
        <is>
          <t>Номер сметы</t>
        </is>
      </c>
      <c r="E10" s="235" t="inlineStr">
        <is>
          <t>Наименование сметы</t>
        </is>
      </c>
      <c r="F10" s="235" t="inlineStr">
        <is>
          <t>Сметная стоимость в уровне цен 3 кв. 2019г., тыс. руб.</t>
        </is>
      </c>
      <c r="G10" s="326" t="n"/>
      <c r="H10" s="326" t="n"/>
      <c r="I10" s="326" t="n"/>
      <c r="J10" s="327" t="n"/>
    </row>
    <row r="11" ht="81" customHeight="1" s="186">
      <c r="B11" s="329" t="n"/>
      <c r="C11" s="329" t="n"/>
      <c r="D11" s="329" t="n"/>
      <c r="E11" s="329" t="n"/>
      <c r="F11" s="236" t="inlineStr">
        <is>
          <t>Строительные работы</t>
        </is>
      </c>
      <c r="G11" s="236" t="inlineStr">
        <is>
          <t>Монтажные работы</t>
        </is>
      </c>
      <c r="H11" s="236" t="inlineStr">
        <is>
          <t>Оборудование</t>
        </is>
      </c>
      <c r="I11" s="236" t="inlineStr">
        <is>
          <t>Прочее</t>
        </is>
      </c>
      <c r="J11" s="236" t="inlineStr">
        <is>
          <t>Всего</t>
        </is>
      </c>
    </row>
    <row r="12" ht="59.25" customHeight="1" s="186">
      <c r="B12" s="235" t="n">
        <v>1</v>
      </c>
      <c r="C12" s="235" t="inlineStr">
        <is>
          <t>ПКУ ЭЭ класса напряжения 6-15 кВ на опоре ВЛ (с выносными датчиками тока и напряжения)</t>
        </is>
      </c>
      <c r="D12" s="213" t="inlineStr">
        <is>
          <t>02-01-01</t>
        </is>
      </c>
      <c r="E12" s="214" t="inlineStr">
        <is>
          <t>Установка ПКУ 10 кВ</t>
        </is>
      </c>
      <c r="F12" s="214" t="n"/>
      <c r="G12" s="215" t="n">
        <v>18.509668</v>
      </c>
      <c r="H12" s="215" t="n">
        <v>367.5608169</v>
      </c>
      <c r="I12" s="215" t="n"/>
      <c r="J12" s="215" t="n">
        <v>386.0704849</v>
      </c>
    </row>
    <row r="13" ht="15.75" customHeight="1" s="186">
      <c r="B13" s="233" t="inlineStr">
        <is>
          <t>Всего по объекту:</t>
        </is>
      </c>
      <c r="C13" s="330" t="n"/>
      <c r="D13" s="330" t="n"/>
      <c r="E13" s="331" t="n"/>
      <c r="F13" s="216" t="n"/>
      <c r="G13" s="217" t="n">
        <v>18.509668</v>
      </c>
      <c r="H13" s="217" t="n">
        <v>367.5608169</v>
      </c>
      <c r="I13" s="217" t="n"/>
      <c r="J13" s="217" t="n">
        <v>386.0704849</v>
      </c>
    </row>
    <row r="14">
      <c r="B14" s="234" t="inlineStr">
        <is>
          <t>Всего по объекту в сопоставимом уровне цен 3 кв. 2019г:</t>
        </is>
      </c>
      <c r="C14" s="326" t="n"/>
      <c r="D14" s="326" t="n"/>
      <c r="E14" s="327" t="n"/>
      <c r="F14" s="113" t="n"/>
      <c r="G14" s="218" t="n">
        <v>18.509668</v>
      </c>
      <c r="H14" s="218" t="n">
        <v>367.5608169</v>
      </c>
      <c r="I14" s="218" t="n"/>
      <c r="J14" s="218" t="n">
        <v>386.0704849</v>
      </c>
    </row>
    <row r="15" ht="15" customHeight="1" s="186"/>
    <row r="16" ht="15" customHeight="1" s="186"/>
    <row r="17" ht="15" customHeight="1" s="186"/>
    <row r="18" ht="15" customHeight="1" s="186">
      <c r="C18" s="4" t="inlineStr">
        <is>
          <t>Составил ______________________     Д.Ю. Нефедова</t>
        </is>
      </c>
      <c r="D18" s="12" t="n"/>
      <c r="E18" s="12" t="n"/>
    </row>
    <row r="19" ht="15" customHeight="1" s="186">
      <c r="C19" s="114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 s="186">
      <c r="C20" s="4" t="n"/>
      <c r="D20" s="12" t="n"/>
      <c r="E20" s="12" t="n"/>
    </row>
    <row r="21" ht="15" customHeight="1" s="186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 s="186">
      <c r="C22" s="114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 s="186"/>
    <row r="24" ht="15" customHeight="1" s="186"/>
    <row r="25" ht="15" customHeight="1" s="186"/>
    <row r="26" ht="15" customHeight="1" s="186"/>
    <row r="27" ht="15" customHeight="1" s="186"/>
    <row r="28" ht="15" customHeight="1" s="186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69"/>
  <sheetViews>
    <sheetView view="pageBreakPreview" topLeftCell="A49" workbookViewId="0">
      <selection activeCell="D67" sqref="D67"/>
    </sheetView>
  </sheetViews>
  <sheetFormatPr baseColWidth="8" defaultColWidth="9.140625" defaultRowHeight="15.75"/>
  <cols>
    <col width="9.140625" customWidth="1" style="188" min="1" max="1"/>
    <col width="12.5703125" customWidth="1" style="188" min="2" max="2"/>
    <col width="22.42578125" customWidth="1" style="188" min="3" max="3"/>
    <col width="49.7109375" customWidth="1" style="188" min="4" max="4"/>
    <col width="10.140625" customWidth="1" style="188" min="5" max="5"/>
    <col width="20.7109375" customWidth="1" style="188" min="6" max="6"/>
    <col width="20" customWidth="1" style="188" min="7" max="7"/>
    <col width="16.7109375" customWidth="1" style="188" min="8" max="8"/>
    <col width="9.140625" customWidth="1" style="188" min="9" max="9"/>
    <col width="13.140625" customWidth="1" style="188" min="10" max="10"/>
    <col width="15" customWidth="1" style="188" min="11" max="11"/>
    <col width="9.140625" customWidth="1" style="188" min="12" max="12"/>
    <col width="11.28515625" customWidth="1" style="188" min="13" max="13"/>
    <col width="9.140625" customWidth="1" style="188" min="14" max="14"/>
  </cols>
  <sheetData>
    <row r="2">
      <c r="A2" s="229" t="inlineStr">
        <is>
          <t xml:space="preserve">Приложение № 3 </t>
        </is>
      </c>
    </row>
    <row r="3">
      <c r="A3" s="230" t="inlineStr">
        <is>
          <t>Объектная ресурсная ведомость</t>
        </is>
      </c>
    </row>
    <row r="4" ht="18.75" customHeight="1" s="186">
      <c r="A4" s="153" t="n"/>
      <c r="B4" s="153" t="n"/>
      <c r="C4" s="23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1" t="n"/>
    </row>
    <row r="6" ht="33.75" customHeight="1" s="186">
      <c r="A6" s="237" t="inlineStr">
        <is>
          <t>Наименование разрабатываемого показателя УНЦ - Установка пункта коммерческого учета (ПКУ) ЭЭ класса напряжения 6-15 кВ на опоре ВЛ (с выносными датчиками тока и напряжения)</t>
        </is>
      </c>
    </row>
    <row r="7" ht="33.75" customHeight="1" s="186">
      <c r="A7" s="237" t="n"/>
      <c r="B7" s="237" t="n"/>
      <c r="C7" s="237" t="n"/>
      <c r="D7" s="237" t="n"/>
      <c r="E7" s="237" t="n"/>
      <c r="F7" s="237" t="n"/>
      <c r="G7" s="237" t="n"/>
      <c r="H7" s="237" t="n"/>
      <c r="I7" s="188" t="n"/>
      <c r="J7" s="188" t="n"/>
      <c r="K7" s="188" t="n"/>
      <c r="L7" s="188" t="n"/>
      <c r="M7" s="188" t="n"/>
      <c r="N7" s="188" t="n"/>
    </row>
    <row r="8">
      <c r="A8" s="154" t="n"/>
      <c r="B8" s="154" t="n"/>
      <c r="C8" s="154" t="n"/>
      <c r="D8" s="154" t="n"/>
      <c r="E8" s="154" t="n"/>
      <c r="F8" s="154" t="n"/>
      <c r="G8" s="154" t="n"/>
      <c r="H8" s="154" t="n"/>
    </row>
    <row r="9" ht="38.25" customHeight="1" s="186">
      <c r="A9" s="235" t="inlineStr">
        <is>
          <t>п/п</t>
        </is>
      </c>
      <c r="B9" s="235" t="inlineStr">
        <is>
          <t>№ЛСР</t>
        </is>
      </c>
      <c r="C9" s="235" t="inlineStr">
        <is>
          <t>Код ресурса</t>
        </is>
      </c>
      <c r="D9" s="235" t="inlineStr">
        <is>
          <t>Наименование ресурса</t>
        </is>
      </c>
      <c r="E9" s="235" t="inlineStr">
        <is>
          <t>Ед. изм.</t>
        </is>
      </c>
      <c r="F9" s="235" t="inlineStr">
        <is>
          <t>Кол-во единиц по данным объекта-представителя</t>
        </is>
      </c>
      <c r="G9" s="235" t="inlineStr">
        <is>
          <t>Сметная стоимость в ценах на 01.01.2000 (руб.)</t>
        </is>
      </c>
      <c r="H9" s="327" t="n"/>
    </row>
    <row r="10" ht="40.5" customHeight="1" s="186">
      <c r="A10" s="329" t="n"/>
      <c r="B10" s="329" t="n"/>
      <c r="C10" s="329" t="n"/>
      <c r="D10" s="329" t="n"/>
      <c r="E10" s="329" t="n"/>
      <c r="F10" s="329" t="n"/>
      <c r="G10" s="235" t="inlineStr">
        <is>
          <t>на ед.изм.</t>
        </is>
      </c>
      <c r="H10" s="235" t="inlineStr">
        <is>
          <t>общая</t>
        </is>
      </c>
    </row>
    <row r="11">
      <c r="A11" s="236" t="n">
        <v>1</v>
      </c>
      <c r="B11" s="236" t="n"/>
      <c r="C11" s="236" t="n">
        <v>2</v>
      </c>
      <c r="D11" s="236" t="inlineStr">
        <is>
          <t>З</t>
        </is>
      </c>
      <c r="E11" s="236" t="n">
        <v>4</v>
      </c>
      <c r="F11" s="236" t="n">
        <v>5</v>
      </c>
      <c r="G11" s="236" t="n">
        <v>6</v>
      </c>
      <c r="H11" s="236" t="n">
        <v>7</v>
      </c>
    </row>
    <row r="12" customFormat="1" s="156">
      <c r="A12" s="240" t="inlineStr">
        <is>
          <t>Затраты труда рабочих</t>
        </is>
      </c>
      <c r="B12" s="326" t="n"/>
      <c r="C12" s="326" t="n"/>
      <c r="D12" s="326" t="n"/>
      <c r="E12" s="327" t="n"/>
      <c r="F12" s="332" t="n">
        <v>172.87</v>
      </c>
      <c r="G12" s="10" t="n"/>
      <c r="H12" s="332">
        <f>SUM(H13:H24)</f>
        <v/>
      </c>
      <c r="J12" s="188" t="n"/>
    </row>
    <row r="13">
      <c r="A13" s="269" t="n">
        <v>1</v>
      </c>
      <c r="B13" s="123" t="n"/>
      <c r="C13" s="128" t="inlineStr">
        <is>
          <t>10-3-2</t>
        </is>
      </c>
      <c r="D13" s="129" t="inlineStr">
        <is>
          <t>Инженер II категории</t>
        </is>
      </c>
      <c r="E13" s="269" t="inlineStr">
        <is>
          <t>чел.-ч</t>
        </is>
      </c>
      <c r="F13" s="333" t="n">
        <v>67.79000000000001</v>
      </c>
      <c r="G13" s="124" t="n">
        <v>14.09</v>
      </c>
      <c r="H13" s="124">
        <f>ROUND(F13*G13,2)</f>
        <v/>
      </c>
      <c r="M13" s="334" t="n"/>
    </row>
    <row r="14">
      <c r="A14" s="269" t="n">
        <v>2</v>
      </c>
      <c r="B14" s="123" t="n"/>
      <c r="C14" s="128" t="inlineStr">
        <is>
          <t>10-3-1</t>
        </is>
      </c>
      <c r="D14" s="129" t="inlineStr">
        <is>
          <t>Инженер I категории</t>
        </is>
      </c>
      <c r="E14" s="269" t="inlineStr">
        <is>
          <t>чел.-ч</t>
        </is>
      </c>
      <c r="F14" s="333" t="n">
        <v>28.6</v>
      </c>
      <c r="G14" s="124" t="n">
        <v>15.49</v>
      </c>
      <c r="H14" s="124">
        <f>ROUND(F14*G14,2)</f>
        <v/>
      </c>
      <c r="M14" s="334" t="n"/>
    </row>
    <row r="15">
      <c r="A15" s="269" t="n">
        <v>3</v>
      </c>
      <c r="B15" s="123" t="n"/>
      <c r="C15" s="128" t="inlineStr">
        <is>
          <t>1-3-8</t>
        </is>
      </c>
      <c r="D15" s="129" t="inlineStr">
        <is>
          <t>Затраты труда рабочих (ср 3,8)</t>
        </is>
      </c>
      <c r="E15" s="269" t="inlineStr">
        <is>
          <t>чел.-ч</t>
        </is>
      </c>
      <c r="F15" s="333" t="n">
        <v>23.29</v>
      </c>
      <c r="G15" s="124" t="n">
        <v>9.4</v>
      </c>
      <c r="H15" s="124">
        <f>ROUND(F15*G15,2)</f>
        <v/>
      </c>
      <c r="M15" s="334" t="n"/>
    </row>
    <row r="16">
      <c r="A16" s="269" t="n">
        <v>4</v>
      </c>
      <c r="B16" s="123" t="n"/>
      <c r="C16" s="128" t="inlineStr">
        <is>
          <t>10-2-1</t>
        </is>
      </c>
      <c r="D16" s="129" t="inlineStr">
        <is>
          <t>Ведущий инженер</t>
        </is>
      </c>
      <c r="E16" s="269" t="inlineStr">
        <is>
          <t>чел.-ч</t>
        </is>
      </c>
      <c r="F16" s="333" t="n">
        <v>11.74</v>
      </c>
      <c r="G16" s="124" t="n">
        <v>16.93</v>
      </c>
      <c r="H16" s="124">
        <f>ROUND(F16*G16,2)</f>
        <v/>
      </c>
      <c r="M16" s="334" t="n"/>
    </row>
    <row r="17">
      <c r="A17" s="269" t="n">
        <v>5</v>
      </c>
      <c r="B17" s="123" t="n"/>
      <c r="C17" s="128" t="inlineStr">
        <is>
          <t>10-4-2</t>
        </is>
      </c>
      <c r="D17" s="129" t="inlineStr">
        <is>
          <t>Техник II категории</t>
        </is>
      </c>
      <c r="E17" s="269" t="inlineStr">
        <is>
          <t>чел.-ч</t>
        </is>
      </c>
      <c r="F17" s="333" t="n">
        <v>13.02</v>
      </c>
      <c r="G17" s="124" t="n">
        <v>9.17</v>
      </c>
      <c r="H17" s="124">
        <f>ROUND(F17*G17,2)</f>
        <v/>
      </c>
      <c r="M17" s="334" t="n"/>
    </row>
    <row r="18">
      <c r="A18" s="269" t="n">
        <v>6</v>
      </c>
      <c r="B18" s="123" t="n"/>
      <c r="C18" s="128" t="inlineStr">
        <is>
          <t>10-3-3</t>
        </is>
      </c>
      <c r="D18" s="129" t="inlineStr">
        <is>
          <t>Инженер III категории</t>
        </is>
      </c>
      <c r="E18" s="269" t="inlineStr">
        <is>
          <t>чел.-ч</t>
        </is>
      </c>
      <c r="F18" s="333" t="n">
        <v>8.199999999999999</v>
      </c>
      <c r="G18" s="124" t="n">
        <v>12.69</v>
      </c>
      <c r="H18" s="124">
        <f>ROUND(F18*G18,2)</f>
        <v/>
      </c>
      <c r="M18" s="334" t="n"/>
    </row>
    <row r="19">
      <c r="A19" s="269" t="n">
        <v>7</v>
      </c>
      <c r="B19" s="123" t="n"/>
      <c r="C19" s="128" t="inlineStr">
        <is>
          <t>1-4-0</t>
        </is>
      </c>
      <c r="D19" s="129" t="inlineStr">
        <is>
          <t>Затраты труда рабочих (ср 4)</t>
        </is>
      </c>
      <c r="E19" s="269" t="inlineStr">
        <is>
          <t>чел.-ч</t>
        </is>
      </c>
      <c r="F19" s="333" t="n">
        <v>8.16</v>
      </c>
      <c r="G19" s="124" t="n">
        <v>9.619999999999999</v>
      </c>
      <c r="H19" s="124">
        <f>ROUND(F19*G19,2)</f>
        <v/>
      </c>
      <c r="M19" s="334" t="n"/>
    </row>
    <row r="20">
      <c r="A20" s="269" t="n">
        <v>8</v>
      </c>
      <c r="B20" s="123" t="n"/>
      <c r="C20" s="128" t="inlineStr">
        <is>
          <t>1-3-9</t>
        </is>
      </c>
      <c r="D20" s="129" t="inlineStr">
        <is>
          <t>Затраты труда рабочих (ср 3,9)</t>
        </is>
      </c>
      <c r="E20" s="269" t="inlineStr">
        <is>
          <t>чел.-ч</t>
        </is>
      </c>
      <c r="F20" s="333" t="n">
        <v>4.02</v>
      </c>
      <c r="G20" s="124" t="n">
        <v>9.51</v>
      </c>
      <c r="H20" s="124">
        <f>ROUND(F20*G20,2)</f>
        <v/>
      </c>
      <c r="M20" s="334" t="n"/>
    </row>
    <row r="21">
      <c r="A21" s="269" t="n">
        <v>9</v>
      </c>
      <c r="B21" s="123" t="n"/>
      <c r="C21" s="128" t="inlineStr">
        <is>
          <t>1-3-0</t>
        </is>
      </c>
      <c r="D21" s="129" t="inlineStr">
        <is>
          <t>Затраты труда рабочих (ср 3)</t>
        </is>
      </c>
      <c r="E21" s="269" t="inlineStr">
        <is>
          <t>чел.-ч</t>
        </is>
      </c>
      <c r="F21" s="333" t="n">
        <v>4</v>
      </c>
      <c r="G21" s="124" t="n">
        <v>8.529999999999999</v>
      </c>
      <c r="H21" s="124">
        <f>ROUND(F21*G21,2)</f>
        <v/>
      </c>
      <c r="M21" s="334" t="n"/>
    </row>
    <row r="22">
      <c r="A22" s="269" t="n">
        <v>10</v>
      </c>
      <c r="B22" s="123" t="n"/>
      <c r="C22" s="128" t="inlineStr">
        <is>
          <t>1-4-2</t>
        </is>
      </c>
      <c r="D22" s="129" t="inlineStr">
        <is>
          <t>Затраты труда рабочих (ср 4,2)</t>
        </is>
      </c>
      <c r="E22" s="269" t="inlineStr">
        <is>
          <t>чел.-ч</t>
        </is>
      </c>
      <c r="F22" s="333" t="n">
        <v>2.58</v>
      </c>
      <c r="G22" s="124" t="n">
        <v>9.92</v>
      </c>
      <c r="H22" s="124">
        <f>ROUND(F22*G22,2)</f>
        <v/>
      </c>
      <c r="M22" s="334" t="n"/>
    </row>
    <row r="23">
      <c r="A23" s="269" t="n">
        <v>11</v>
      </c>
      <c r="B23" s="123" t="n"/>
      <c r="C23" s="128" t="inlineStr">
        <is>
          <t>1-6-0</t>
        </is>
      </c>
      <c r="D23" s="129" t="inlineStr">
        <is>
          <t>Затраты труда рабочих (ср 6)</t>
        </is>
      </c>
      <c r="E23" s="269" t="inlineStr">
        <is>
          <t>чел.-ч</t>
        </is>
      </c>
      <c r="F23" s="333" t="n">
        <v>1.04</v>
      </c>
      <c r="G23" s="124" t="n">
        <v>12.92</v>
      </c>
      <c r="H23" s="124">
        <f>ROUND(F23*G23,2)</f>
        <v/>
      </c>
      <c r="M23" s="334" t="n"/>
    </row>
    <row r="24">
      <c r="A24" s="269" t="n">
        <v>12</v>
      </c>
      <c r="B24" s="123" t="n"/>
      <c r="C24" s="128" t="inlineStr">
        <is>
          <t>10-4-1</t>
        </is>
      </c>
      <c r="D24" s="129" t="inlineStr">
        <is>
          <t>Техник I категории</t>
        </is>
      </c>
      <c r="E24" s="269" t="inlineStr">
        <is>
          <t>чел.-ч</t>
        </is>
      </c>
      <c r="F24" s="333" t="n">
        <v>0.43</v>
      </c>
      <c r="G24" s="124" t="n">
        <v>10.21</v>
      </c>
      <c r="H24" s="124">
        <f>ROUND(F24*G24,2)</f>
        <v/>
      </c>
      <c r="M24" s="334" t="n"/>
    </row>
    <row r="25">
      <c r="A25" s="239" t="inlineStr">
        <is>
          <t>Затраты труда машинистов</t>
        </is>
      </c>
      <c r="B25" s="326" t="n"/>
      <c r="C25" s="326" t="n"/>
      <c r="D25" s="326" t="n"/>
      <c r="E25" s="327" t="n"/>
      <c r="F25" s="240" t="n"/>
      <c r="G25" s="125" t="n"/>
      <c r="H25" s="332">
        <f>H26</f>
        <v/>
      </c>
    </row>
    <row r="26">
      <c r="A26" s="269" t="n">
        <v>13</v>
      </c>
      <c r="B26" s="241" t="n"/>
      <c r="C26" s="128" t="n">
        <v>2</v>
      </c>
      <c r="D26" s="129" t="inlineStr">
        <is>
          <t>Затраты труда машинистов</t>
        </is>
      </c>
      <c r="E26" s="269" t="inlineStr">
        <is>
          <t>чел.-ч</t>
        </is>
      </c>
      <c r="F26" s="333" t="n">
        <v>2.26</v>
      </c>
      <c r="G26" s="124" t="n"/>
      <c r="H26" s="335" t="n">
        <v>26.57</v>
      </c>
    </row>
    <row r="27" customFormat="1" s="156">
      <c r="A27" s="240" t="inlineStr">
        <is>
          <t>Машины и механизмы</t>
        </is>
      </c>
      <c r="B27" s="326" t="n"/>
      <c r="C27" s="326" t="n"/>
      <c r="D27" s="326" t="n"/>
      <c r="E27" s="327" t="n"/>
      <c r="F27" s="240" t="n"/>
      <c r="G27" s="125" t="n"/>
      <c r="H27" s="332">
        <f>SUM(H28:H34)</f>
        <v/>
      </c>
      <c r="J27" s="188" t="n"/>
    </row>
    <row r="28" ht="25.5" customHeight="1" s="186">
      <c r="A28" s="269" t="n">
        <v>14</v>
      </c>
      <c r="B28" s="241" t="n"/>
      <c r="C28" s="128" t="inlineStr">
        <is>
          <t>91.06.03-058</t>
        </is>
      </c>
      <c r="D28" s="129" t="inlineStr">
        <is>
          <t>Лебедки электрические тяговым усилием 156,96 кН (16 т)</t>
        </is>
      </c>
      <c r="E28" s="269" t="inlineStr">
        <is>
          <t>маш.час</t>
        </is>
      </c>
      <c r="F28" s="269" t="n">
        <v>1</v>
      </c>
      <c r="G28" s="160" t="n">
        <v>131.44</v>
      </c>
      <c r="H28" s="124">
        <f>ROUND(F28*G28,2)</f>
        <v/>
      </c>
      <c r="I28" s="135" t="n"/>
      <c r="J28" s="135" t="n"/>
      <c r="L28" s="135" t="n"/>
    </row>
    <row r="29" ht="25.5" customHeight="1" s="186">
      <c r="A29" s="269" t="n">
        <v>15</v>
      </c>
      <c r="B29" s="241" t="n"/>
      <c r="C29" s="128" t="inlineStr">
        <is>
          <t>91.05.05-015</t>
        </is>
      </c>
      <c r="D29" s="129" t="inlineStr">
        <is>
          <t>Краны на автомобильном ходу, грузоподъемность 16 т</t>
        </is>
      </c>
      <c r="E29" s="269" t="inlineStr">
        <is>
          <t>маш.час</t>
        </is>
      </c>
      <c r="F29" s="269" t="n">
        <v>0.48</v>
      </c>
      <c r="G29" s="160" t="n">
        <v>115.4</v>
      </c>
      <c r="H29" s="124">
        <f>ROUND(F29*G29,2)</f>
        <v/>
      </c>
      <c r="I29" s="135" t="n"/>
      <c r="J29" s="135" t="n"/>
      <c r="K29" s="135" t="n"/>
      <c r="L29" s="135" t="n"/>
    </row>
    <row r="30" ht="25.5" customHeight="1" s="186">
      <c r="A30" s="269" t="n">
        <v>16</v>
      </c>
      <c r="B30" s="241" t="n"/>
      <c r="C30" s="128" t="inlineStr">
        <is>
          <t>91.17.04-233</t>
        </is>
      </c>
      <c r="D30" s="129" t="inlineStr">
        <is>
          <t>Установки для сварки ручной дуговой (постоянного тока)</t>
        </is>
      </c>
      <c r="E30" s="269" t="inlineStr">
        <is>
          <t>маш.час</t>
        </is>
      </c>
      <c r="F30" s="269" t="n">
        <v>4.7</v>
      </c>
      <c r="G30" s="160" t="n">
        <v>8.1</v>
      </c>
      <c r="H30" s="124">
        <f>ROUND(F30*G30,2)</f>
        <v/>
      </c>
      <c r="I30" s="135" t="n"/>
      <c r="J30" s="135" t="n"/>
      <c r="K30" s="135" t="n"/>
      <c r="L30" s="135" t="n"/>
    </row>
    <row r="31">
      <c r="A31" s="269" t="n">
        <v>17</v>
      </c>
      <c r="B31" s="241" t="n"/>
      <c r="C31" s="128" t="inlineStr">
        <is>
          <t>91.14.02-001</t>
        </is>
      </c>
      <c r="D31" s="129" t="inlineStr">
        <is>
          <t>Автомобили бортовые, грузоподъемность до 5 т</t>
        </is>
      </c>
      <c r="E31" s="269" t="inlineStr">
        <is>
          <t>маш.час</t>
        </is>
      </c>
      <c r="F31" s="269" t="n">
        <v>0.48</v>
      </c>
      <c r="G31" s="160" t="n">
        <v>65.70999999999999</v>
      </c>
      <c r="H31" s="124">
        <f>ROUND(F31*G31,2)</f>
        <v/>
      </c>
      <c r="I31" s="135" t="n"/>
      <c r="J31" s="135" t="n"/>
      <c r="K31" s="135" t="n"/>
      <c r="L31" s="135" t="n"/>
    </row>
    <row r="32" ht="38.25" customHeight="1" s="186">
      <c r="A32" s="269" t="n">
        <v>18</v>
      </c>
      <c r="B32" s="241" t="n"/>
      <c r="C32" s="128" t="inlineStr">
        <is>
          <t>91.18.01-007</t>
        </is>
      </c>
      <c r="D32" s="12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69" t="inlineStr">
        <is>
          <t>маш.час</t>
        </is>
      </c>
      <c r="F32" s="269" t="n">
        <v>0.19</v>
      </c>
      <c r="G32" s="160" t="n">
        <v>90</v>
      </c>
      <c r="H32" s="124">
        <f>ROUND(F32*G32,2)</f>
        <v/>
      </c>
      <c r="I32" s="135" t="n"/>
      <c r="J32" s="135" t="n"/>
      <c r="K32" s="135" t="n"/>
      <c r="L32" s="135" t="n"/>
    </row>
    <row r="33">
      <c r="A33" s="269" t="n">
        <v>19</v>
      </c>
      <c r="B33" s="241" t="n"/>
      <c r="C33" s="128" t="inlineStr">
        <is>
          <t>91.06.06-042</t>
        </is>
      </c>
      <c r="D33" s="129" t="inlineStr">
        <is>
          <t>Подъемники гидравлические, высота подъема 10 м</t>
        </is>
      </c>
      <c r="E33" s="269" t="inlineStr">
        <is>
          <t>маш.час</t>
        </is>
      </c>
      <c r="F33" s="269" t="n">
        <v>0.1</v>
      </c>
      <c r="G33" s="160" t="n">
        <v>29.6</v>
      </c>
      <c r="H33" s="124">
        <f>ROUND(F33*G33,2)</f>
        <v/>
      </c>
      <c r="I33" s="135" t="n"/>
      <c r="J33" s="135" t="n"/>
      <c r="K33" s="135" t="n"/>
      <c r="L33" s="135" t="n"/>
    </row>
    <row r="34" ht="25.5" customHeight="1" s="186">
      <c r="A34" s="269" t="n">
        <v>20</v>
      </c>
      <c r="B34" s="241" t="n"/>
      <c r="C34" s="128" t="inlineStr">
        <is>
          <t>91.04.01-041</t>
        </is>
      </c>
      <c r="D34" s="129" t="inlineStr">
        <is>
          <t>Молотки бурильные легкие при работе от передвижных компрессорных станций</t>
        </is>
      </c>
      <c r="E34" s="269" t="inlineStr">
        <is>
          <t>маш.час</t>
        </is>
      </c>
      <c r="F34" s="269" t="n">
        <v>0.19</v>
      </c>
      <c r="G34" s="160" t="n">
        <v>2.99</v>
      </c>
      <c r="H34" s="124">
        <f>ROUND(F34*G34,2)</f>
        <v/>
      </c>
      <c r="I34" s="135" t="n"/>
      <c r="J34" s="135" t="n"/>
      <c r="K34" s="135" t="n"/>
      <c r="L34" s="135" t="n"/>
    </row>
    <row r="35" ht="15" customHeight="1" s="186">
      <c r="A35" s="240" t="inlineStr">
        <is>
          <t>Оборудование</t>
        </is>
      </c>
      <c r="B35" s="326" t="n"/>
      <c r="C35" s="326" t="n"/>
      <c r="D35" s="326" t="n"/>
      <c r="E35" s="327" t="n"/>
      <c r="F35" s="10" t="n"/>
      <c r="G35" s="10" t="n"/>
      <c r="H35" s="332">
        <f>SUM(H36:H37)</f>
        <v/>
      </c>
    </row>
    <row r="36" ht="51" customHeight="1" s="186">
      <c r="A36" s="161" t="n">
        <v>21</v>
      </c>
      <c r="B36" s="241" t="n"/>
      <c r="C36" s="128" t="inlineStr">
        <is>
          <t>Прайс из СД ОП</t>
        </is>
      </c>
      <c r="D36" s="129" t="inlineStr">
        <is>
          <t>Марка и тип оборудования в соответствии с ТТР №18.Учет 6 (10) кВ. Пункт учета, устанавливаемый на опоре ВЛ (с выносными датчиками тока и напря- жения).</t>
        </is>
      </c>
      <c r="E36" s="269" t="inlineStr">
        <is>
          <t>компл.</t>
        </is>
      </c>
      <c r="F36" s="269" t="n">
        <v>1</v>
      </c>
      <c r="G36" s="160" t="n">
        <v>78017.49000000001</v>
      </c>
      <c r="H36" s="124">
        <f>ROUND(F36*G36,2)</f>
        <v/>
      </c>
      <c r="I36" s="135" t="n"/>
      <c r="J36" s="135" t="n"/>
      <c r="K36" s="135" t="n"/>
      <c r="L36" s="135" t="n"/>
    </row>
    <row r="37" ht="25.5" customHeight="1" s="186">
      <c r="A37" s="161" t="n">
        <v>22</v>
      </c>
      <c r="B37" s="241" t="n"/>
      <c r="C37" s="128" t="inlineStr">
        <is>
          <t>62.1.01.09-0010</t>
        </is>
      </c>
      <c r="D37" s="129" t="inlineStr">
        <is>
          <t>Выключатели автоматические: «IEK» ВА47-29 2Р 10А, характеристика С</t>
        </is>
      </c>
      <c r="E37" s="269" t="inlineStr">
        <is>
          <t>шт</t>
        </is>
      </c>
      <c r="F37" s="269" t="n">
        <v>1</v>
      </c>
      <c r="G37" s="160" t="n">
        <v>20.9</v>
      </c>
      <c r="H37" s="124">
        <f>ROUND(F37*G37,2)</f>
        <v/>
      </c>
      <c r="I37" s="135" t="n"/>
      <c r="J37" s="135" t="n"/>
      <c r="K37" s="135" t="n"/>
      <c r="L37" s="135" t="n"/>
    </row>
    <row r="38">
      <c r="A38" s="240" t="inlineStr">
        <is>
          <t>Материалы</t>
        </is>
      </c>
      <c r="B38" s="326" t="n"/>
      <c r="C38" s="326" t="n"/>
      <c r="D38" s="326" t="n"/>
      <c r="E38" s="327" t="n"/>
      <c r="F38" s="240" t="n"/>
      <c r="G38" s="125" t="n"/>
      <c r="H38" s="332">
        <f>SUM(H39:H62)</f>
        <v/>
      </c>
    </row>
    <row r="39" ht="25.5" customHeight="1" s="186">
      <c r="A39" s="161" t="n">
        <v>23</v>
      </c>
      <c r="B39" s="241" t="n"/>
      <c r="C39" s="128" t="inlineStr">
        <is>
          <t>21.1.04.01-0003</t>
        </is>
      </c>
      <c r="D39" s="129" t="inlineStr">
        <is>
          <t>Кабель (витая пара) UTP 2х2х0,52 категория 5е (внешний)</t>
        </is>
      </c>
      <c r="E39" s="269" t="inlineStr">
        <is>
          <t>1000 м</t>
        </is>
      </c>
      <c r="F39" s="269" t="n">
        <v>0.025</v>
      </c>
      <c r="G39" s="124" t="n">
        <v>1468.2</v>
      </c>
      <c r="H39" s="124">
        <f>ROUND(F39*G39,2)</f>
        <v/>
      </c>
      <c r="I39" s="136" t="n"/>
      <c r="J39" s="135" t="n"/>
      <c r="K39" s="135" t="n"/>
    </row>
    <row r="40" ht="25.5" customHeight="1" s="186">
      <c r="A40" s="161" t="n">
        <v>24</v>
      </c>
      <c r="B40" s="241" t="n"/>
      <c r="C40" s="128" t="inlineStr">
        <is>
          <t>07.2.07.04-0007</t>
        </is>
      </c>
      <c r="D40" s="129" t="inlineStr">
        <is>
          <t>Конструкции стальные индивидуальные решетчатые сварные, масса до 0,1 т</t>
        </is>
      </c>
      <c r="E40" s="269" t="inlineStr">
        <is>
          <t>т</t>
        </is>
      </c>
      <c r="F40" s="269" t="n">
        <v>0.003</v>
      </c>
      <c r="G40" s="124" t="n">
        <v>11500</v>
      </c>
      <c r="H40" s="124">
        <f>ROUND(F40*G40,2)</f>
        <v/>
      </c>
      <c r="I40" s="136" t="n"/>
      <c r="J40" s="135" t="n"/>
    </row>
    <row r="41" ht="18" customHeight="1" s="186">
      <c r="A41" s="161" t="n">
        <v>25</v>
      </c>
      <c r="B41" s="241" t="n"/>
      <c r="C41" s="128" t="inlineStr">
        <is>
          <t>01.7.11.07-0034</t>
        </is>
      </c>
      <c r="D41" s="129" t="inlineStr">
        <is>
          <t>Электроды сварочные Э42А, диаметр 4 мм</t>
        </is>
      </c>
      <c r="E41" s="269" t="inlineStr">
        <is>
          <t>кг</t>
        </is>
      </c>
      <c r="F41" s="269" t="n">
        <v>2.59</v>
      </c>
      <c r="G41" s="124" t="n">
        <v>10.57</v>
      </c>
      <c r="H41" s="124">
        <f>ROUND(F41*G41,2)</f>
        <v/>
      </c>
      <c r="I41" s="136" t="n"/>
      <c r="J41" s="135" t="n"/>
    </row>
    <row r="42">
      <c r="A42" s="161" t="n">
        <v>26</v>
      </c>
      <c r="B42" s="241" t="n"/>
      <c r="C42" s="128" t="inlineStr">
        <is>
          <t>01.7.02.07-0011</t>
        </is>
      </c>
      <c r="D42" s="129" t="inlineStr">
        <is>
          <t>Прессшпан листовой, марка А</t>
        </is>
      </c>
      <c r="E42" s="269" t="inlineStr">
        <is>
          <t>кг</t>
        </is>
      </c>
      <c r="F42" s="269" t="n">
        <v>0.468</v>
      </c>
      <c r="G42" s="124" t="n">
        <v>47.57</v>
      </c>
      <c r="H42" s="124">
        <f>ROUND(F42*G42,2)</f>
        <v/>
      </c>
      <c r="I42" s="136" t="n"/>
      <c r="J42" s="135" t="n"/>
    </row>
    <row r="43" ht="18" customHeight="1" s="186">
      <c r="A43" s="161" t="n">
        <v>27</v>
      </c>
      <c r="B43" s="241" t="n"/>
      <c r="C43" s="128" t="inlineStr">
        <is>
          <t>999-9950</t>
        </is>
      </c>
      <c r="D43" s="129" t="inlineStr">
        <is>
          <t>Вспомогательные ненормируемые ресурсы (2% от Оплаты труда рабочих)</t>
        </is>
      </c>
      <c r="E43" s="269" t="inlineStr">
        <is>
          <t>руб</t>
        </is>
      </c>
      <c r="F43" s="269" t="n">
        <v>16.9876</v>
      </c>
      <c r="G43" s="124" t="n">
        <v>1</v>
      </c>
      <c r="H43" s="124">
        <f>ROUND(F43*G43,2)</f>
        <v/>
      </c>
      <c r="I43" s="136" t="n"/>
      <c r="J43" s="135" t="n"/>
    </row>
    <row r="44" ht="18" customHeight="1" s="186">
      <c r="A44" s="161" t="n">
        <v>28</v>
      </c>
      <c r="B44" s="241" t="n"/>
      <c r="C44" s="128" t="inlineStr">
        <is>
          <t>20.1.02.23-0082</t>
        </is>
      </c>
      <c r="D44" s="129" t="inlineStr">
        <is>
          <t>Перемычки гибкие, тип ПГС-50</t>
        </is>
      </c>
      <c r="E44" s="269" t="inlineStr">
        <is>
          <t>10 шт</t>
        </is>
      </c>
      <c r="F44" s="269" t="n">
        <v>0.3</v>
      </c>
      <c r="G44" s="124" t="n">
        <v>39</v>
      </c>
      <c r="H44" s="124">
        <f>ROUND(F44*G44,2)</f>
        <v/>
      </c>
      <c r="I44" s="136" t="n"/>
      <c r="J44" s="135" t="n"/>
    </row>
    <row r="45" ht="18" customHeight="1" s="186">
      <c r="A45" s="161" t="n">
        <v>29</v>
      </c>
      <c r="B45" s="241" t="n"/>
      <c r="C45" s="128" t="inlineStr">
        <is>
          <t>14.4.02.09-0001</t>
        </is>
      </c>
      <c r="D45" s="129" t="inlineStr">
        <is>
          <t>Краска</t>
        </is>
      </c>
      <c r="E45" s="269" t="inlineStr">
        <is>
          <t>кг</t>
        </is>
      </c>
      <c r="F45" s="269" t="n">
        <v>0.204</v>
      </c>
      <c r="G45" s="124" t="n">
        <v>28.6</v>
      </c>
      <c r="H45" s="124">
        <f>ROUND(F45*G45,2)</f>
        <v/>
      </c>
      <c r="I45" s="136" t="n"/>
      <c r="J45" s="135" t="n"/>
    </row>
    <row r="46" ht="18" customHeight="1" s="186">
      <c r="A46" s="161" t="n">
        <v>30</v>
      </c>
      <c r="B46" s="241" t="n"/>
      <c r="C46" s="128" t="inlineStr">
        <is>
          <t>01.7.15.04-0011</t>
        </is>
      </c>
      <c r="D46" s="129" t="inlineStr">
        <is>
          <t>Винты с полукруглой головкой, длина 50 мм</t>
        </is>
      </c>
      <c r="E46" s="269" t="inlineStr">
        <is>
          <t>т</t>
        </is>
      </c>
      <c r="F46" s="269" t="n">
        <v>0.0004408</v>
      </c>
      <c r="G46" s="124" t="n">
        <v>12430</v>
      </c>
      <c r="H46" s="124">
        <f>ROUND(F46*G46,2)</f>
        <v/>
      </c>
      <c r="I46" s="136" t="n"/>
      <c r="J46" s="135" t="n"/>
      <c r="K46" s="135" t="n"/>
    </row>
    <row r="47">
      <c r="A47" s="161" t="n">
        <v>31</v>
      </c>
      <c r="B47" s="241" t="n"/>
      <c r="C47" s="128" t="inlineStr">
        <is>
          <t>21.1.04.01-1042</t>
        </is>
      </c>
      <c r="D47" s="129" t="inlineStr">
        <is>
          <t>Кабель витая пара U/UTP 1х2х0,52, категория 5e</t>
        </is>
      </c>
      <c r="E47" s="269" t="inlineStr">
        <is>
          <t>1000 м</t>
        </is>
      </c>
      <c r="F47" s="269" t="n">
        <v>0.008</v>
      </c>
      <c r="G47" s="124" t="n">
        <v>654.95</v>
      </c>
      <c r="H47" s="124">
        <f>ROUND(F47*G47,2)</f>
        <v/>
      </c>
      <c r="I47" s="136" t="n"/>
      <c r="J47" s="135" t="n"/>
    </row>
    <row r="48" ht="25.5" customHeight="1" s="186">
      <c r="A48" s="161" t="n">
        <v>32</v>
      </c>
      <c r="B48" s="241" t="n"/>
      <c r="C48" s="128" t="inlineStr">
        <is>
          <t>21.2.03.05-0045</t>
        </is>
      </c>
      <c r="D48" s="129" t="inlineStr">
        <is>
          <t>Провод силовой установочный с медными жилами ПВ1 1,5-450</t>
        </is>
      </c>
      <c r="E48" s="269" t="inlineStr">
        <is>
          <t>1000 м</t>
        </is>
      </c>
      <c r="F48" s="269" t="n">
        <v>0.003</v>
      </c>
      <c r="G48" s="124" t="n">
        <v>1335.52</v>
      </c>
      <c r="H48" s="124">
        <f>ROUND(F48*G48,2)</f>
        <v/>
      </c>
      <c r="I48" s="136" t="n"/>
      <c r="J48" s="135" t="n"/>
    </row>
    <row r="49">
      <c r="A49" s="161" t="n">
        <v>33</v>
      </c>
      <c r="B49" s="241" t="n"/>
      <c r="C49" s="128" t="inlineStr">
        <is>
          <t>01.7.15.07-0014</t>
        </is>
      </c>
      <c r="D49" s="129" t="inlineStr">
        <is>
          <t>Дюбели распорные полипропиленовые</t>
        </is>
      </c>
      <c r="E49" s="269" t="inlineStr">
        <is>
          <t>100 шт</t>
        </is>
      </c>
      <c r="F49" s="269" t="n">
        <v>0.042</v>
      </c>
      <c r="G49" s="124" t="n">
        <v>86</v>
      </c>
      <c r="H49" s="124">
        <f>ROUND(F49*G49,2)</f>
        <v/>
      </c>
      <c r="I49" s="136" t="n"/>
      <c r="J49" s="135" t="n"/>
    </row>
    <row r="50">
      <c r="A50" s="161" t="n">
        <v>34</v>
      </c>
      <c r="B50" s="241" t="n"/>
      <c r="C50" s="128" t="inlineStr">
        <is>
          <t>01.7.15.03-0042</t>
        </is>
      </c>
      <c r="D50" s="129" t="inlineStr">
        <is>
          <t>Болты с гайками и шайбами строительные</t>
        </is>
      </c>
      <c r="E50" s="269" t="inlineStr">
        <is>
          <t>кг</t>
        </is>
      </c>
      <c r="F50" s="269" t="n">
        <v>0.247</v>
      </c>
      <c r="G50" s="124" t="n">
        <v>9.039999999999999</v>
      </c>
      <c r="H50" s="124">
        <f>ROUND(F50*G50,2)</f>
        <v/>
      </c>
      <c r="I50" s="136" t="n"/>
      <c r="J50" s="135" t="n"/>
    </row>
    <row r="51">
      <c r="A51" s="161" t="n">
        <v>35</v>
      </c>
      <c r="B51" s="241" t="n"/>
      <c r="C51" s="128" t="inlineStr">
        <is>
          <t>25.2.01.01-0017</t>
        </is>
      </c>
      <c r="D51" s="129" t="inlineStr">
        <is>
          <t>Бирки маркировочные пластмассовые</t>
        </is>
      </c>
      <c r="E51" s="269" t="inlineStr">
        <is>
          <t>100 шт</t>
        </is>
      </c>
      <c r="F51" s="269" t="n">
        <v>0.06</v>
      </c>
      <c r="G51" s="124" t="n">
        <v>30.74</v>
      </c>
      <c r="H51" s="124">
        <f>ROUND(F51*G51,2)</f>
        <v/>
      </c>
      <c r="I51" s="136" t="n"/>
      <c r="J51" s="135" t="n"/>
    </row>
    <row r="52">
      <c r="A52" s="161" t="n">
        <v>36</v>
      </c>
      <c r="B52" s="241" t="n"/>
      <c r="C52" s="128" t="inlineStr">
        <is>
          <t>01.7.20.04-0003</t>
        </is>
      </c>
      <c r="D52" s="129" t="inlineStr">
        <is>
          <t>Нитки суровые</t>
        </is>
      </c>
      <c r="E52" s="269" t="inlineStr">
        <is>
          <t>кг</t>
        </is>
      </c>
      <c r="F52" s="269" t="n">
        <v>0.01</v>
      </c>
      <c r="G52" s="124" t="n">
        <v>155</v>
      </c>
      <c r="H52" s="124">
        <f>ROUND(F52*G52,2)</f>
        <v/>
      </c>
      <c r="I52" s="136" t="n"/>
      <c r="J52" s="135" t="n"/>
    </row>
    <row r="53" ht="25.5" customHeight="1" s="186">
      <c r="A53" s="161" t="n">
        <v>37</v>
      </c>
      <c r="B53" s="241" t="n"/>
      <c r="C53" s="128" t="inlineStr">
        <is>
          <t>01.7.06.05-0041</t>
        </is>
      </c>
      <c r="D53" s="129" t="inlineStr">
        <is>
          <t>Лента изоляционная прорезиненная односторонняя, ширина 20 мм, толщина 0,25-0,35 мм</t>
        </is>
      </c>
      <c r="E53" s="269" t="inlineStr">
        <is>
          <t>кг</t>
        </is>
      </c>
      <c r="F53" s="269" t="n">
        <v>0.036</v>
      </c>
      <c r="G53" s="124" t="n">
        <v>30.4</v>
      </c>
      <c r="H53" s="124">
        <f>ROUND(F53*G53,2)</f>
        <v/>
      </c>
      <c r="I53" s="136" t="n"/>
      <c r="J53" s="135" t="n"/>
    </row>
    <row r="54">
      <c r="A54" s="161" t="n">
        <v>38</v>
      </c>
      <c r="B54" s="241" t="n"/>
      <c r="C54" s="128" t="inlineStr">
        <is>
          <t>14.4.03.17-0011</t>
        </is>
      </c>
      <c r="D54" s="129" t="inlineStr">
        <is>
          <t>Лак электроизоляционный 318</t>
        </is>
      </c>
      <c r="E54" s="269" t="inlineStr">
        <is>
          <t>кг</t>
        </is>
      </c>
      <c r="F54" s="269" t="n">
        <v>0.028</v>
      </c>
      <c r="G54" s="124" t="n">
        <v>35.63</v>
      </c>
      <c r="H54" s="124">
        <f>ROUND(F54*G54,2)</f>
        <v/>
      </c>
      <c r="I54" s="136" t="n"/>
      <c r="J54" s="135" t="n"/>
    </row>
    <row r="55" ht="25.5" customHeight="1" s="186">
      <c r="A55" s="161" t="n">
        <v>39</v>
      </c>
      <c r="B55" s="241" t="n"/>
      <c r="C55" s="128" t="inlineStr">
        <is>
          <t>01.7.15.03-0031</t>
        </is>
      </c>
      <c r="D55" s="129" t="inlineStr">
        <is>
          <t>Болты с гайками и шайбами оцинкованные, диаметр 6 мм</t>
        </is>
      </c>
      <c r="E55" s="269" t="inlineStr">
        <is>
          <t>кг</t>
        </is>
      </c>
      <c r="F55" s="269" t="n">
        <v>0.035</v>
      </c>
      <c r="G55" s="124" t="n">
        <v>28.22</v>
      </c>
      <c r="H55" s="124">
        <f>ROUND(F55*G55,2)</f>
        <v/>
      </c>
      <c r="I55" s="136" t="n"/>
      <c r="J55" s="135" t="n"/>
    </row>
    <row r="56">
      <c r="A56" s="161" t="n">
        <v>40</v>
      </c>
      <c r="B56" s="241" t="n"/>
      <c r="C56" s="128" t="inlineStr">
        <is>
          <t>01.3.01.02-0002</t>
        </is>
      </c>
      <c r="D56" s="129" t="inlineStr">
        <is>
          <t>Вазелин технический</t>
        </is>
      </c>
      <c r="E56" s="269" t="inlineStr">
        <is>
          <t>кг</t>
        </is>
      </c>
      <c r="F56" s="269" t="n">
        <v>0.018</v>
      </c>
      <c r="G56" s="124" t="n">
        <v>44.97</v>
      </c>
      <c r="H56" s="124">
        <f>ROUND(F56*G56,2)</f>
        <v/>
      </c>
      <c r="I56" s="136" t="n"/>
      <c r="J56" s="135" t="n"/>
    </row>
    <row r="57" ht="25.5" customHeight="1" s="186">
      <c r="A57" s="161" t="n">
        <v>41</v>
      </c>
      <c r="B57" s="241" t="n"/>
      <c r="C57" s="128" t="inlineStr">
        <is>
          <t>10.3.02.03-0012</t>
        </is>
      </c>
      <c r="D57" s="129" t="inlineStr">
        <is>
          <t>Припои оловянно-свинцовые бессурьмянистые, марка ПОС40</t>
        </is>
      </c>
      <c r="E57" s="269" t="inlineStr">
        <is>
          <t>т</t>
        </is>
      </c>
      <c r="F57" s="269" t="n">
        <v>1e-05</v>
      </c>
      <c r="G57" s="124" t="n">
        <v>65750</v>
      </c>
      <c r="H57" s="124">
        <f>ROUND(F57*G57,2)</f>
        <v/>
      </c>
      <c r="I57" s="136" t="n"/>
      <c r="J57" s="135" t="n"/>
    </row>
    <row r="58" ht="38.25" customHeight="1" s="186">
      <c r="A58" s="161" t="n">
        <v>42</v>
      </c>
      <c r="B58" s="241" t="n"/>
      <c r="C58" s="128" t="inlineStr">
        <is>
          <t>01.7.06.05-0042</t>
        </is>
      </c>
      <c r="D58" s="129" t="inlineStr">
        <is>
          <t>Лента липкая изоляционная на поликасиновом компаунде, ширина 20-30 мм, толщина от 0,14 до 0,19 мм</t>
        </is>
      </c>
      <c r="E58" s="269" t="inlineStr">
        <is>
          <t>кг</t>
        </is>
      </c>
      <c r="F58" s="269" t="n">
        <v>0.005</v>
      </c>
      <c r="G58" s="124" t="n">
        <v>91.29000000000001</v>
      </c>
      <c r="H58" s="124">
        <f>ROUND(F58*G58,2)</f>
        <v/>
      </c>
      <c r="I58" s="136" t="n"/>
      <c r="J58" s="135" t="n"/>
    </row>
    <row r="59" ht="18" customHeight="1" s="186">
      <c r="A59" s="161" t="n">
        <v>43</v>
      </c>
      <c r="B59" s="241" t="n"/>
      <c r="C59" s="128" t="inlineStr">
        <is>
          <t>01.7.20.04-0005</t>
        </is>
      </c>
      <c r="D59" s="129" t="inlineStr">
        <is>
          <t>Нитки швейные</t>
        </is>
      </c>
      <c r="E59" s="269" t="inlineStr">
        <is>
          <t>кг</t>
        </is>
      </c>
      <c r="F59" s="269" t="n">
        <v>0.003</v>
      </c>
      <c r="G59" s="124" t="n">
        <v>133.05</v>
      </c>
      <c r="H59" s="124">
        <f>ROUND(F59*G59,2)</f>
        <v/>
      </c>
      <c r="I59" s="136" t="n"/>
      <c r="J59" s="135" t="n"/>
    </row>
    <row r="60" ht="18" customHeight="1" s="186">
      <c r="A60" s="161" t="n">
        <v>44</v>
      </c>
      <c r="B60" s="241" t="n"/>
      <c r="C60" s="128" t="inlineStr">
        <is>
          <t>01.7.02.09-0002</t>
        </is>
      </c>
      <c r="D60" s="129" t="inlineStr">
        <is>
          <t>Шпагат бумажный</t>
        </is>
      </c>
      <c r="E60" s="269" t="inlineStr">
        <is>
          <t>кг</t>
        </is>
      </c>
      <c r="F60" s="269" t="n">
        <v>0.003</v>
      </c>
      <c r="G60" s="124" t="n">
        <v>11.5</v>
      </c>
      <c r="H60" s="124">
        <f>ROUND(F60*G60,2)</f>
        <v/>
      </c>
      <c r="I60" s="136" t="n"/>
      <c r="J60" s="135" t="n"/>
    </row>
    <row r="61" ht="18" customHeight="1" s="186">
      <c r="A61" s="161" t="n">
        <v>45</v>
      </c>
      <c r="B61" s="241" t="n"/>
      <c r="C61" s="128" t="inlineStr">
        <is>
          <t>01.7.03.04-0001</t>
        </is>
      </c>
      <c r="D61" s="129" t="inlineStr">
        <is>
          <t>Электроэнергия</t>
        </is>
      </c>
      <c r="E61" s="269" t="inlineStr">
        <is>
          <t>кВт-ч</t>
        </is>
      </c>
      <c r="F61" s="269" t="n">
        <v>0.06</v>
      </c>
      <c r="G61" s="124" t="n">
        <v>0.4</v>
      </c>
      <c r="H61" s="124">
        <f>ROUND(F61*G61,2)</f>
        <v/>
      </c>
      <c r="I61" s="136" t="n"/>
      <c r="J61" s="135" t="n"/>
    </row>
    <row r="62" ht="18" customHeight="1" s="186">
      <c r="A62" s="161" t="n">
        <v>46</v>
      </c>
      <c r="B62" s="241" t="n"/>
      <c r="C62" s="128" t="inlineStr">
        <is>
          <t>999-0005</t>
        </is>
      </c>
      <c r="D62" s="129" t="inlineStr">
        <is>
          <t>Масса</t>
        </is>
      </c>
      <c r="E62" s="269" t="inlineStr">
        <is>
          <t>т</t>
        </is>
      </c>
      <c r="F62" s="269" t="n">
        <v>0.001</v>
      </c>
      <c r="G62" s="124" t="n"/>
      <c r="H62" s="124">
        <f>ROUND(F62*G62,2)</f>
        <v/>
      </c>
      <c r="I62" s="136" t="n"/>
      <c r="J62" s="135" t="n"/>
    </row>
    <row r="65">
      <c r="B65" s="188" t="inlineStr">
        <is>
          <t>Составил ______________________     Д.Ю. Нефедова</t>
        </is>
      </c>
    </row>
    <row r="66">
      <c r="B66" s="115" t="inlineStr">
        <is>
          <t xml:space="preserve">                         (подпись, инициалы, фамилия)</t>
        </is>
      </c>
    </row>
    <row r="68">
      <c r="B68" s="188" t="inlineStr">
        <is>
          <t>Проверил ______________________        А.В. Костянецкая</t>
        </is>
      </c>
    </row>
    <row r="69">
      <c r="B69" s="11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E9:E10"/>
    <mergeCell ref="D9:D10"/>
    <mergeCell ref="A35:E35"/>
    <mergeCell ref="A38:E38"/>
    <mergeCell ref="A3:H3"/>
    <mergeCell ref="A9:A10"/>
    <mergeCell ref="F9:F10"/>
    <mergeCell ref="A25:E25"/>
    <mergeCell ref="A2:H2"/>
    <mergeCell ref="C4:H4"/>
    <mergeCell ref="G9:H9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40625" defaultRowHeight="15"/>
  <cols>
    <col width="4.140625" customWidth="1" style="186" min="1" max="1"/>
    <col width="36.28515625" customWidth="1" style="186" min="2" max="2"/>
    <col width="18.85546875" customWidth="1" style="186" min="3" max="3"/>
    <col width="18.28515625" customWidth="1" style="186" min="4" max="4"/>
    <col width="18.85546875" customWidth="1" style="186" min="5" max="5"/>
    <col width="11.42578125" customWidth="1" style="186" min="6" max="6"/>
    <col width="14.42578125" customWidth="1" style="186" min="7" max="7"/>
    <col width="13.5703125" customWidth="1" style="186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4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2" t="inlineStr">
        <is>
          <t>Ресурсная модель</t>
        </is>
      </c>
    </row>
    <row r="6">
      <c r="B6" s="162" t="n"/>
      <c r="C6" s="4" t="n"/>
      <c r="D6" s="4" t="n"/>
      <c r="E6" s="4" t="n"/>
    </row>
    <row r="7" ht="38.25" customHeight="1" s="186">
      <c r="B7" s="243" t="inlineStr">
        <is>
          <t>Наименование разрабатываемого показателя УНЦ — Установка пункта коммерческого учета (ПКУ) ЭЭ класса напряжения 6-15 кВ на опоре ВЛ (с выносными датчиками тока и напряжения)</t>
        </is>
      </c>
    </row>
    <row r="8">
      <c r="B8" s="244" t="inlineStr">
        <is>
          <t>Единица измерения  — 1 ед.</t>
        </is>
      </c>
    </row>
    <row r="9">
      <c r="B9" s="162" t="n"/>
      <c r="C9" s="4" t="n"/>
      <c r="D9" s="4" t="n"/>
      <c r="E9" s="4" t="n"/>
    </row>
    <row r="10" ht="51" customHeight="1" s="186">
      <c r="B10" s="251" t="inlineStr">
        <is>
          <t>Наименование</t>
        </is>
      </c>
      <c r="C10" s="251" t="inlineStr">
        <is>
          <t>Сметная стоимость в ценах на 01.01.2023
 (руб.)</t>
        </is>
      </c>
      <c r="D10" s="251" t="inlineStr">
        <is>
          <t>Удельный вес, 
(в СМР)</t>
        </is>
      </c>
      <c r="E10" s="251" t="inlineStr">
        <is>
          <t>Удельный вес, % 
(от всего по РМ)</t>
        </is>
      </c>
    </row>
    <row r="11">
      <c r="B11" s="117" t="inlineStr">
        <is>
          <t>Оплата труда рабочих</t>
        </is>
      </c>
      <c r="C11" s="163">
        <f>'Прил.5 Расчет СМР и ОБ'!J20</f>
        <v/>
      </c>
      <c r="D11" s="164">
        <f>C11/$C$24</f>
        <v/>
      </c>
      <c r="E11" s="164">
        <f>C11/$C$40</f>
        <v/>
      </c>
    </row>
    <row r="12">
      <c r="B12" s="117" t="inlineStr">
        <is>
          <t>Эксплуатация машин основных</t>
        </is>
      </c>
      <c r="C12" s="163">
        <f>'Прил.5 Расчет СМР и ОБ'!J29</f>
        <v/>
      </c>
      <c r="D12" s="164">
        <f>C12/$C$24</f>
        <v/>
      </c>
      <c r="E12" s="164">
        <f>C12/$C$40</f>
        <v/>
      </c>
    </row>
    <row r="13">
      <c r="B13" s="117" t="inlineStr">
        <is>
          <t>Эксплуатация машин прочих</t>
        </is>
      </c>
      <c r="C13" s="163">
        <f>'Прил.5 Расчет СМР и ОБ'!J33</f>
        <v/>
      </c>
      <c r="D13" s="164">
        <f>C13/$C$24</f>
        <v/>
      </c>
      <c r="E13" s="164">
        <f>C13/$C$40</f>
        <v/>
      </c>
    </row>
    <row r="14">
      <c r="B14" s="117" t="inlineStr">
        <is>
          <t>ЭКСПЛУАТАЦИЯ МАШИН, ВСЕГО:</t>
        </is>
      </c>
      <c r="C14" s="163">
        <f>C13+C12</f>
        <v/>
      </c>
      <c r="D14" s="164">
        <f>C14/$C$24</f>
        <v/>
      </c>
      <c r="E14" s="164">
        <f>C14/$C$40</f>
        <v/>
      </c>
    </row>
    <row r="15">
      <c r="B15" s="117" t="inlineStr">
        <is>
          <t>в том числе зарплата машинистов</t>
        </is>
      </c>
      <c r="C15" s="163">
        <f>'Прил.5 Расчет СМР и ОБ'!J22</f>
        <v/>
      </c>
      <c r="D15" s="164">
        <f>C15/$C$24</f>
        <v/>
      </c>
      <c r="E15" s="164">
        <f>C15/$C$40</f>
        <v/>
      </c>
    </row>
    <row r="16">
      <c r="B16" s="117" t="inlineStr">
        <is>
          <t>Материалы основные</t>
        </is>
      </c>
      <c r="C16" s="163">
        <f>'Прил.5 Расчет СМР и ОБ'!J53</f>
        <v/>
      </c>
      <c r="D16" s="164">
        <f>C16/$C$24</f>
        <v/>
      </c>
      <c r="E16" s="164">
        <f>C16/$C$40</f>
        <v/>
      </c>
    </row>
    <row r="17">
      <c r="B17" s="117" t="inlineStr">
        <is>
          <t>Материалы прочие</t>
        </is>
      </c>
      <c r="C17" s="163">
        <f>'Прил.5 Расчет СМР и ОБ'!J70</f>
        <v/>
      </c>
      <c r="D17" s="164">
        <f>C17/$C$24</f>
        <v/>
      </c>
      <c r="E17" s="164">
        <f>C17/$C$40</f>
        <v/>
      </c>
      <c r="G17" s="336" t="n"/>
    </row>
    <row r="18">
      <c r="B18" s="117" t="inlineStr">
        <is>
          <t>МАТЕРИАЛЫ, ВСЕГО:</t>
        </is>
      </c>
      <c r="C18" s="163">
        <f>C17+C16</f>
        <v/>
      </c>
      <c r="D18" s="164">
        <f>C18/$C$24</f>
        <v/>
      </c>
      <c r="E18" s="164">
        <f>C18/$C$40</f>
        <v/>
      </c>
    </row>
    <row r="19">
      <c r="B19" s="117" t="inlineStr">
        <is>
          <t>ИТОГО</t>
        </is>
      </c>
      <c r="C19" s="163">
        <f>C18+C14+C11</f>
        <v/>
      </c>
      <c r="D19" s="164" t="n"/>
      <c r="E19" s="117" t="n"/>
    </row>
    <row r="20">
      <c r="B20" s="117" t="inlineStr">
        <is>
          <t>Сметная прибыль, руб.</t>
        </is>
      </c>
      <c r="C20" s="163">
        <f>ROUND(C21*(C11+C15),2)</f>
        <v/>
      </c>
      <c r="D20" s="164">
        <f>C20/$C$24</f>
        <v/>
      </c>
      <c r="E20" s="164">
        <f>C20/$C$40</f>
        <v/>
      </c>
    </row>
    <row r="21">
      <c r="B21" s="117" t="inlineStr">
        <is>
          <t>Сметная прибыль, %</t>
        </is>
      </c>
      <c r="C21" s="166">
        <f>'Прил.5 Расчет СМР и ОБ'!D74</f>
        <v/>
      </c>
      <c r="D21" s="164" t="n"/>
      <c r="E21" s="117" t="n"/>
    </row>
    <row r="22">
      <c r="B22" s="117" t="inlineStr">
        <is>
          <t>Накладные расходы, руб.</t>
        </is>
      </c>
      <c r="C22" s="163">
        <f>ROUND(C23*(C11+C15),2)</f>
        <v/>
      </c>
      <c r="D22" s="164">
        <f>C22/$C$24</f>
        <v/>
      </c>
      <c r="E22" s="164">
        <f>C22/$C$40</f>
        <v/>
      </c>
    </row>
    <row r="23">
      <c r="B23" s="117" t="inlineStr">
        <is>
          <t>Накладные расходы, %</t>
        </is>
      </c>
      <c r="C23" s="166">
        <f>'Прил.5 Расчет СМР и ОБ'!D73</f>
        <v/>
      </c>
      <c r="D23" s="164" t="n"/>
      <c r="E23" s="117" t="n"/>
    </row>
    <row r="24">
      <c r="B24" s="117" t="inlineStr">
        <is>
          <t>ВСЕГО СМР с НР и СП</t>
        </is>
      </c>
      <c r="C24" s="163">
        <f>C19+C20+C22</f>
        <v/>
      </c>
      <c r="D24" s="164">
        <f>C24/$C$24</f>
        <v/>
      </c>
      <c r="E24" s="164">
        <f>C24/$C$40</f>
        <v/>
      </c>
    </row>
    <row r="25" ht="25.5" customHeight="1" s="186">
      <c r="B25" s="117" t="inlineStr">
        <is>
          <t>ВСЕГО стоимость оборудования, в том числе</t>
        </is>
      </c>
      <c r="C25" s="163">
        <f>'Прил.5 Расчет СМР и ОБ'!J41</f>
        <v/>
      </c>
      <c r="D25" s="164" t="n"/>
      <c r="E25" s="164">
        <f>C25/$C$40</f>
        <v/>
      </c>
    </row>
    <row r="26" ht="25.5" customHeight="1" s="186">
      <c r="B26" s="117" t="inlineStr">
        <is>
          <t>стоимость оборудования технологического</t>
        </is>
      </c>
      <c r="C26" s="163">
        <f>'Прил.5 Расчет СМР и ОБ'!J42</f>
        <v/>
      </c>
      <c r="D26" s="164" t="n"/>
      <c r="E26" s="164">
        <f>C26/$C$40</f>
        <v/>
      </c>
    </row>
    <row r="27">
      <c r="B27" s="117" t="inlineStr">
        <is>
          <t>ИТОГО (СМР + ОБОРУДОВАНИЕ)</t>
        </is>
      </c>
      <c r="C27" s="110">
        <f>C24+C25</f>
        <v/>
      </c>
      <c r="D27" s="164" t="n"/>
      <c r="E27" s="164">
        <f>C27/$C$40</f>
        <v/>
      </c>
    </row>
    <row r="28" ht="33" customHeight="1" s="186">
      <c r="B28" s="117" t="inlineStr">
        <is>
          <t>ПРОЧ. ЗАТР., УЧТЕННЫЕ ПОКАЗАТЕЛЕМ,  в том числе</t>
        </is>
      </c>
      <c r="C28" s="117" t="n"/>
      <c r="D28" s="117" t="n"/>
      <c r="E28" s="117" t="n"/>
      <c r="F28" s="167" t="n"/>
    </row>
    <row r="29" ht="25.5" customHeight="1" s="186">
      <c r="B29" s="117" t="inlineStr">
        <is>
          <t>Временные здания и сооружения - 2,5%</t>
        </is>
      </c>
      <c r="C29" s="110">
        <f>ROUND(C24*2.5%,2)</f>
        <v/>
      </c>
      <c r="D29" s="117" t="n"/>
      <c r="E29" s="164">
        <f>C29/$C$40</f>
        <v/>
      </c>
    </row>
    <row r="30" ht="38.25" customHeight="1" s="186">
      <c r="B30" s="117" t="inlineStr">
        <is>
          <t>Дополнительные затраты при производстве строительно-монтажных работ в зимнее время - 1,9%</t>
        </is>
      </c>
      <c r="C30" s="110">
        <f>ROUND((C24+C29)*1.9%,2)</f>
        <v/>
      </c>
      <c r="D30" s="117" t="n"/>
      <c r="E30" s="164">
        <f>C30/$C$40</f>
        <v/>
      </c>
      <c r="F30" s="167" t="n"/>
    </row>
    <row r="31">
      <c r="B31" s="117" t="inlineStr">
        <is>
          <t>Пусконаладочные работы</t>
        </is>
      </c>
      <c r="C31" s="110" t="n">
        <v>9896.16</v>
      </c>
      <c r="D31" s="117" t="n"/>
      <c r="E31" s="164">
        <f>C31/$C$40</f>
        <v/>
      </c>
    </row>
    <row r="32" ht="25.5" customHeight="1" s="186">
      <c r="B32" s="117" t="inlineStr">
        <is>
          <t>Затраты по перевозке работников к месту работы и обратно</t>
        </is>
      </c>
      <c r="C32" s="110">
        <f>ROUND(C27*0%,2)</f>
        <v/>
      </c>
      <c r="D32" s="117" t="n"/>
      <c r="E32" s="164">
        <f>C32/$C$40</f>
        <v/>
      </c>
    </row>
    <row r="33" ht="25.5" customHeight="1" s="186">
      <c r="B33" s="117" t="inlineStr">
        <is>
          <t>Затраты, связанные с осуществлением работ вахтовым методом</t>
        </is>
      </c>
      <c r="C33" s="110">
        <f>ROUND(C28*0%,2)</f>
        <v/>
      </c>
      <c r="D33" s="117" t="n"/>
      <c r="E33" s="164">
        <f>C33/$C$40</f>
        <v/>
      </c>
    </row>
    <row r="34" ht="51" customHeight="1" s="186">
      <c r="B34" s="11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10">
        <f>ROUND(C29*0%,2)</f>
        <v/>
      </c>
      <c r="D34" s="117" t="n"/>
      <c r="E34" s="164">
        <f>C34/$C$40</f>
        <v/>
      </c>
      <c r="H34" s="136" t="n"/>
    </row>
    <row r="35" ht="76.5" customHeight="1" s="186">
      <c r="B35" s="11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10">
        <f>ROUND(C30*0%,2)</f>
        <v/>
      </c>
      <c r="D35" s="117" t="n"/>
      <c r="E35" s="164">
        <f>C35/$C$40</f>
        <v/>
      </c>
    </row>
    <row r="36" ht="25.5" customHeight="1" s="186">
      <c r="B36" s="117" t="inlineStr">
        <is>
          <t>Строительный контроль и содержание службы заказчика - 2,14%</t>
        </is>
      </c>
      <c r="C36" s="110">
        <f>ROUND((C27+C32+C33+C34+C35+C29+C31+C30)*2.14%,2)</f>
        <v/>
      </c>
      <c r="D36" s="117" t="n"/>
      <c r="E36" s="164">
        <f>C36/$C$40</f>
        <v/>
      </c>
      <c r="L36" s="167" t="n"/>
    </row>
    <row r="37">
      <c r="B37" s="117" t="inlineStr">
        <is>
          <t>Авторский надзор - 0,2%</t>
        </is>
      </c>
      <c r="C37" s="110">
        <f>ROUND((C27+C32+C33+C34+C35+C29+C31+C30)*0.2%,2)</f>
        <v/>
      </c>
      <c r="D37" s="117" t="n"/>
      <c r="E37" s="164">
        <f>C37/$C$40</f>
        <v/>
      </c>
      <c r="L37" s="167" t="n"/>
    </row>
    <row r="38" ht="38.25" customHeight="1" s="186">
      <c r="B38" s="117" t="inlineStr">
        <is>
          <t>ИТОГО (СМР+ОБОРУДОВАНИЕ+ПРОЧ. ЗАТР., УЧТЕННЫЕ ПОКАЗАТЕЛЕМ)</t>
        </is>
      </c>
      <c r="C38" s="163">
        <f>C27+C32+C33+C34+C35+C29+C31+C30+C36+C37</f>
        <v/>
      </c>
      <c r="D38" s="117" t="n"/>
      <c r="E38" s="164">
        <f>C38/$C$40</f>
        <v/>
      </c>
    </row>
    <row r="39" ht="13.5" customHeight="1" s="186">
      <c r="B39" s="117" t="inlineStr">
        <is>
          <t>Непредвиденные расходы</t>
        </is>
      </c>
      <c r="C39" s="163">
        <f>ROUND(C38*3%,2)</f>
        <v/>
      </c>
      <c r="D39" s="117" t="n"/>
      <c r="E39" s="164">
        <f>C39/$C$38</f>
        <v/>
      </c>
    </row>
    <row r="40">
      <c r="B40" s="117" t="inlineStr">
        <is>
          <t>ВСЕГО:</t>
        </is>
      </c>
      <c r="C40" s="163">
        <f>C39+C38</f>
        <v/>
      </c>
      <c r="D40" s="117" t="n"/>
      <c r="E40" s="164">
        <f>C40/$C$40</f>
        <v/>
      </c>
    </row>
    <row r="41">
      <c r="B41" s="117" t="inlineStr">
        <is>
          <t>ИТОГО ПОКАЗАТЕЛЬ НА ЕД. ИЗМ.</t>
        </is>
      </c>
      <c r="C41" s="163">
        <f>C40/'Прил.5 Расчет СМР и ОБ'!E77</f>
        <v/>
      </c>
      <c r="D41" s="117" t="n"/>
      <c r="E41" s="117" t="n"/>
    </row>
    <row r="42">
      <c r="B42" s="116" t="n"/>
      <c r="C42" s="4" t="n"/>
      <c r="D42" s="4" t="n"/>
      <c r="E42" s="4" t="n"/>
    </row>
    <row r="43">
      <c r="B43" s="116" t="inlineStr">
        <is>
          <t>Составил ____________________________ Д.Ю. Нефедова</t>
        </is>
      </c>
      <c r="C43" s="4" t="n"/>
      <c r="D43" s="4" t="n"/>
      <c r="E43" s="4" t="n"/>
    </row>
    <row r="44">
      <c r="B44" s="116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16" t="n"/>
      <c r="C45" s="4" t="n"/>
      <c r="D45" s="4" t="n"/>
      <c r="E45" s="4" t="n"/>
    </row>
    <row r="46">
      <c r="B46" s="116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4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83"/>
  <sheetViews>
    <sheetView view="pageBreakPreview" topLeftCell="A39" workbookViewId="0">
      <selection activeCell="B63" sqref="B63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 s="186">
      <c r="H2" s="259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2" t="inlineStr">
        <is>
          <t>Расчет стоимости СМР и оборудования</t>
        </is>
      </c>
    </row>
    <row r="5" ht="12.75" customFormat="1" customHeight="1" s="4">
      <c r="A5" s="222" t="n"/>
      <c r="B5" s="222" t="n"/>
      <c r="C5" s="271" t="n"/>
      <c r="D5" s="222" t="n"/>
      <c r="E5" s="222" t="n"/>
      <c r="F5" s="222" t="n"/>
      <c r="G5" s="222" t="n"/>
      <c r="H5" s="222" t="n"/>
      <c r="I5" s="222" t="n"/>
      <c r="J5" s="222" t="n"/>
    </row>
    <row r="6" ht="27.75" customFormat="1" customHeight="1" s="4">
      <c r="A6" s="168" t="inlineStr">
        <is>
          <t>Наименование разрабатываемого показателя УНЦ</t>
        </is>
      </c>
      <c r="B6" s="169" t="n"/>
      <c r="C6" s="169" t="n"/>
      <c r="D6" s="263" t="inlineStr">
        <is>
          <t>Установка пункта коммерческого учета (ПКУ) ЭЭ класса напряжения 6-15 кВ на опоре ВЛ (с выносными датчиками тока и напряжения)</t>
        </is>
      </c>
    </row>
    <row r="7" ht="12.75" customFormat="1" customHeight="1" s="4">
      <c r="A7" s="225" t="inlineStr">
        <is>
          <t>Единица измерения  — 1 ед.</t>
        </is>
      </c>
      <c r="I7" s="243" t="n"/>
      <c r="J7" s="243" t="n"/>
    </row>
    <row r="8" ht="13.5" customFormat="1" customHeight="1" s="4">
      <c r="A8" s="225" t="n"/>
    </row>
    <row r="9" ht="27" customHeight="1" s="186">
      <c r="A9" s="251" t="inlineStr">
        <is>
          <t>№ пп.</t>
        </is>
      </c>
      <c r="B9" s="251" t="inlineStr">
        <is>
          <t>Код ресурса</t>
        </is>
      </c>
      <c r="C9" s="251" t="inlineStr">
        <is>
          <t>Наименование</t>
        </is>
      </c>
      <c r="D9" s="251" t="inlineStr">
        <is>
          <t>Ед. изм.</t>
        </is>
      </c>
      <c r="E9" s="251" t="inlineStr">
        <is>
          <t>Кол-во единиц по проектным данным</t>
        </is>
      </c>
      <c r="F9" s="251" t="inlineStr">
        <is>
          <t>Сметная стоимость в ценах на 01.01.2000 (руб.)</t>
        </is>
      </c>
      <c r="G9" s="327" t="n"/>
      <c r="H9" s="251" t="inlineStr">
        <is>
          <t>Удельный вес, %</t>
        </is>
      </c>
      <c r="I9" s="251" t="inlineStr">
        <is>
          <t>Сметная стоимость в ценах на 01.01.2023 (руб.)</t>
        </is>
      </c>
      <c r="J9" s="327" t="n"/>
      <c r="M9" s="12" t="n"/>
      <c r="N9" s="12" t="n"/>
    </row>
    <row r="10" ht="28.5" customHeight="1" s="186">
      <c r="A10" s="329" t="n"/>
      <c r="B10" s="329" t="n"/>
      <c r="C10" s="329" t="n"/>
      <c r="D10" s="329" t="n"/>
      <c r="E10" s="329" t="n"/>
      <c r="F10" s="251" t="inlineStr">
        <is>
          <t>на ед. изм.</t>
        </is>
      </c>
      <c r="G10" s="251" t="inlineStr">
        <is>
          <t>общая</t>
        </is>
      </c>
      <c r="H10" s="329" t="n"/>
      <c r="I10" s="251" t="inlineStr">
        <is>
          <t>на ед. изм.</t>
        </is>
      </c>
      <c r="J10" s="251" t="inlineStr">
        <is>
          <t>общая</t>
        </is>
      </c>
      <c r="M10" s="12" t="n"/>
      <c r="N10" s="12" t="n"/>
    </row>
    <row r="11">
      <c r="A11" s="251" t="n">
        <v>1</v>
      </c>
      <c r="B11" s="251" t="n">
        <v>2</v>
      </c>
      <c r="C11" s="251" t="n">
        <v>3</v>
      </c>
      <c r="D11" s="251" t="n">
        <v>4</v>
      </c>
      <c r="E11" s="251" t="n">
        <v>5</v>
      </c>
      <c r="F11" s="251" t="n">
        <v>6</v>
      </c>
      <c r="G11" s="251" t="n">
        <v>7</v>
      </c>
      <c r="H11" s="251" t="n">
        <v>8</v>
      </c>
      <c r="I11" s="246" t="n">
        <v>9</v>
      </c>
      <c r="J11" s="246" t="n">
        <v>10</v>
      </c>
      <c r="M11" s="12" t="n"/>
      <c r="N11" s="12" t="n"/>
    </row>
    <row r="12">
      <c r="A12" s="251" t="n"/>
      <c r="B12" s="239" t="inlineStr">
        <is>
          <t>Затраты труда рабочих-строителей</t>
        </is>
      </c>
      <c r="C12" s="326" t="n"/>
      <c r="D12" s="326" t="n"/>
      <c r="E12" s="326" t="n"/>
      <c r="F12" s="326" t="n"/>
      <c r="G12" s="326" t="n"/>
      <c r="H12" s="327" t="n"/>
      <c r="I12" s="132" t="n"/>
      <c r="J12" s="132" t="n"/>
    </row>
    <row r="13" ht="25.5" customHeight="1" s="186">
      <c r="A13" s="251" t="n">
        <v>1</v>
      </c>
      <c r="B13" s="137" t="inlineStr">
        <is>
          <t>1-3-8</t>
        </is>
      </c>
      <c r="C13" s="250" t="inlineStr">
        <is>
          <t>Затраты труда рабочих-строителей среднего разряда (3,8)</t>
        </is>
      </c>
      <c r="D13" s="251" t="inlineStr">
        <is>
          <t>чел.-ч.</t>
        </is>
      </c>
      <c r="E13" s="337">
        <f>G13/F13</f>
        <v/>
      </c>
      <c r="F13" s="26" t="n">
        <v>9.4</v>
      </c>
      <c r="G13" s="26">
        <f>'Прил. 3'!H15+'Прил. 3'!H19+'Прил. 3'!H20+'Прил. 3'!H21+'Прил. 3'!H22+'Прил. 3'!H23</f>
        <v/>
      </c>
      <c r="H13" s="170">
        <f>G13/$G$20</f>
        <v/>
      </c>
      <c r="I13" s="26">
        <f>'ФОТр.тек.'!E13</f>
        <v/>
      </c>
      <c r="J13" s="26">
        <f>ROUND(I13*E13,2)</f>
        <v/>
      </c>
    </row>
    <row r="14">
      <c r="A14" s="251" t="n">
        <v>2</v>
      </c>
      <c r="B14" s="137" t="inlineStr">
        <is>
          <t>10-2-1</t>
        </is>
      </c>
      <c r="C14" s="250" t="inlineStr">
        <is>
          <t>Ведущий инженер</t>
        </is>
      </c>
      <c r="D14" s="251" t="inlineStr">
        <is>
          <t>чел.-ч</t>
        </is>
      </c>
      <c r="E14" s="337">
        <f>G14/F14</f>
        <v/>
      </c>
      <c r="F14" s="26" t="n">
        <v>16.93</v>
      </c>
      <c r="G14" s="26">
        <f>'Прил. 3'!H16</f>
        <v/>
      </c>
      <c r="H14" s="170">
        <f>G14/$G$20</f>
        <v/>
      </c>
      <c r="I14" s="26">
        <f>'ФОТр.тек.'!E21</f>
        <v/>
      </c>
      <c r="J14" s="26">
        <f>ROUND(I14*E14,2)</f>
        <v/>
      </c>
    </row>
    <row r="15">
      <c r="A15" s="251" t="n">
        <v>3</v>
      </c>
      <c r="B15" s="137" t="inlineStr">
        <is>
          <t>10-3-1</t>
        </is>
      </c>
      <c r="C15" s="250" t="inlineStr">
        <is>
          <t>Инженер I категории</t>
        </is>
      </c>
      <c r="D15" s="251" t="inlineStr">
        <is>
          <t>чел.-ч</t>
        </is>
      </c>
      <c r="E15" s="337">
        <f>G15/F15</f>
        <v/>
      </c>
      <c r="F15" s="26" t="n">
        <v>15.49</v>
      </c>
      <c r="G15" s="26">
        <f>'Прил. 3'!H14</f>
        <v/>
      </c>
      <c r="H15" s="170">
        <f>G15/$G$20</f>
        <v/>
      </c>
      <c r="I15" s="26">
        <f>'ФОТр.тек.'!E29</f>
        <v/>
      </c>
      <c r="J15" s="26">
        <f>ROUND(I15*E15,2)</f>
        <v/>
      </c>
    </row>
    <row r="16">
      <c r="A16" s="251" t="n">
        <v>4</v>
      </c>
      <c r="B16" s="137" t="inlineStr">
        <is>
          <t>10-3-2</t>
        </is>
      </c>
      <c r="C16" s="250" t="inlineStr">
        <is>
          <t>Инженер II категории</t>
        </is>
      </c>
      <c r="D16" s="251" t="inlineStr">
        <is>
          <t>чел.-ч</t>
        </is>
      </c>
      <c r="E16" s="337">
        <f>G16/F16</f>
        <v/>
      </c>
      <c r="F16" s="26" t="n">
        <v>14.09</v>
      </c>
      <c r="G16" s="26">
        <f>'Прил. 3'!H13</f>
        <v/>
      </c>
      <c r="H16" s="170">
        <f>G16/$G$20</f>
        <v/>
      </c>
      <c r="I16" s="26">
        <f>'ФОТр.тек.'!E37</f>
        <v/>
      </c>
      <c r="J16" s="26">
        <f>ROUND(I16*E16,2)</f>
        <v/>
      </c>
    </row>
    <row r="17">
      <c r="A17" s="251" t="n">
        <v>5</v>
      </c>
      <c r="B17" s="137" t="inlineStr">
        <is>
          <t>10-3-3</t>
        </is>
      </c>
      <c r="C17" s="250" t="inlineStr">
        <is>
          <t>Инженер III категории</t>
        </is>
      </c>
      <c r="D17" s="251" t="inlineStr">
        <is>
          <t>чел.-ч</t>
        </is>
      </c>
      <c r="E17" s="337">
        <f>G17/F17</f>
        <v/>
      </c>
      <c r="F17" s="26" t="n">
        <v>12.69</v>
      </c>
      <c r="G17" s="26">
        <f>'Прил. 3'!H18</f>
        <v/>
      </c>
      <c r="H17" s="170">
        <f>G17/$G$20</f>
        <v/>
      </c>
      <c r="I17" s="26">
        <f>'ФОТр.тек.'!E45</f>
        <v/>
      </c>
      <c r="J17" s="26">
        <f>ROUND(I17*E17,2)</f>
        <v/>
      </c>
    </row>
    <row r="18">
      <c r="A18" s="251" t="n">
        <v>6</v>
      </c>
      <c r="B18" s="137" t="inlineStr">
        <is>
          <t>10-4-1</t>
        </is>
      </c>
      <c r="C18" s="250" t="inlineStr">
        <is>
          <t>Техник I категории</t>
        </is>
      </c>
      <c r="D18" s="251" t="inlineStr">
        <is>
          <t>чел.-ч</t>
        </is>
      </c>
      <c r="E18" s="337">
        <f>G18/F18</f>
        <v/>
      </c>
      <c r="F18" s="26" t="n">
        <v>10.21</v>
      </c>
      <c r="G18" s="26">
        <f>'Прил. 3'!H24</f>
        <v/>
      </c>
      <c r="H18" s="170">
        <f>G18/$G$20</f>
        <v/>
      </c>
      <c r="I18" s="26">
        <f>'ФОТр.тек.'!E53</f>
        <v/>
      </c>
      <c r="J18" s="26">
        <f>ROUND(I18*E18,2)</f>
        <v/>
      </c>
    </row>
    <row r="19">
      <c r="A19" s="251" t="n">
        <v>7</v>
      </c>
      <c r="B19" s="137" t="inlineStr">
        <is>
          <t>10-4-2</t>
        </is>
      </c>
      <c r="C19" s="250" t="inlineStr">
        <is>
          <t>Техник II категории</t>
        </is>
      </c>
      <c r="D19" s="251" t="inlineStr">
        <is>
          <t>чел.-ч</t>
        </is>
      </c>
      <c r="E19" s="337">
        <f>G19/F19</f>
        <v/>
      </c>
      <c r="F19" s="26" t="n">
        <v>9.17</v>
      </c>
      <c r="G19" s="26">
        <f>'Прил. 3'!H17</f>
        <v/>
      </c>
      <c r="H19" s="170">
        <f>G19/$G$20</f>
        <v/>
      </c>
      <c r="I19" s="26">
        <f>'ФОТр.тек.'!E61</f>
        <v/>
      </c>
      <c r="J19" s="26">
        <f>ROUND(I19*E19,2)</f>
        <v/>
      </c>
    </row>
    <row r="20" ht="25.5" customFormat="1" customHeight="1" s="12">
      <c r="A20" s="251" t="n"/>
      <c r="B20" s="251" t="n"/>
      <c r="C20" s="239" t="inlineStr">
        <is>
          <t>Итого по разделу "Затраты труда рабочих-строителей"</t>
        </is>
      </c>
      <c r="D20" s="251" t="inlineStr">
        <is>
          <t>чел.-ч.</t>
        </is>
      </c>
      <c r="E20" s="337">
        <f>SUM(E13:E19)</f>
        <v/>
      </c>
      <c r="F20" s="26" t="n"/>
      <c r="G20" s="26">
        <f>SUM(G13:G19)</f>
        <v/>
      </c>
      <c r="H20" s="254">
        <f>SUM(H13:H19)</f>
        <v/>
      </c>
      <c r="I20" s="132" t="n"/>
      <c r="J20" s="26">
        <f>SUM(J13:J19)</f>
        <v/>
      </c>
    </row>
    <row r="21" ht="14.25" customFormat="1" customHeight="1" s="12">
      <c r="A21" s="251" t="n"/>
      <c r="B21" s="250" t="inlineStr">
        <is>
          <t>Затраты труда машинистов</t>
        </is>
      </c>
      <c r="C21" s="326" t="n"/>
      <c r="D21" s="326" t="n"/>
      <c r="E21" s="326" t="n"/>
      <c r="F21" s="326" t="n"/>
      <c r="G21" s="326" t="n"/>
      <c r="H21" s="327" t="n"/>
      <c r="I21" s="132" t="n"/>
      <c r="J21" s="132" t="n"/>
    </row>
    <row r="22" ht="14.25" customFormat="1" customHeight="1" s="12">
      <c r="A22" s="251" t="n">
        <v>8</v>
      </c>
      <c r="B22" s="251" t="n">
        <v>2</v>
      </c>
      <c r="C22" s="250" t="inlineStr">
        <is>
          <t>Затраты труда машинистов</t>
        </is>
      </c>
      <c r="D22" s="251" t="inlineStr">
        <is>
          <t>чел.-ч.</t>
        </is>
      </c>
      <c r="E22" s="337">
        <f>'Прил. 3'!F26</f>
        <v/>
      </c>
      <c r="F22" s="26">
        <f>G22/E22</f>
        <v/>
      </c>
      <c r="G22" s="26">
        <f>'Прил. 3'!H25</f>
        <v/>
      </c>
      <c r="H22" s="254" t="n">
        <v>1</v>
      </c>
      <c r="I22" s="26">
        <f>ROUND(F22*'Прил. 10'!D11,2)</f>
        <v/>
      </c>
      <c r="J22" s="26">
        <f>ROUND(I22*E22,2)</f>
        <v/>
      </c>
    </row>
    <row r="23" ht="14.25" customFormat="1" customHeight="1" s="12">
      <c r="A23" s="251" t="n"/>
      <c r="B23" s="239" t="inlineStr">
        <is>
          <t>Машины и механизмы</t>
        </is>
      </c>
      <c r="C23" s="326" t="n"/>
      <c r="D23" s="326" t="n"/>
      <c r="E23" s="326" t="n"/>
      <c r="F23" s="326" t="n"/>
      <c r="G23" s="326" t="n"/>
      <c r="H23" s="327" t="n"/>
      <c r="I23" s="132" t="n"/>
      <c r="J23" s="132" t="n"/>
    </row>
    <row r="24" ht="14.25" customFormat="1" customHeight="1" s="12">
      <c r="A24" s="251" t="n"/>
      <c r="B24" s="250" t="inlineStr">
        <is>
          <t>Основные машины и механизмы</t>
        </is>
      </c>
      <c r="C24" s="326" t="n"/>
      <c r="D24" s="326" t="n"/>
      <c r="E24" s="326" t="n"/>
      <c r="F24" s="326" t="n"/>
      <c r="G24" s="326" t="n"/>
      <c r="H24" s="327" t="n"/>
      <c r="I24" s="132" t="n"/>
      <c r="J24" s="132" t="n"/>
    </row>
    <row r="25" ht="25.5" customFormat="1" customHeight="1" s="12">
      <c r="A25" s="251" t="n">
        <v>9</v>
      </c>
      <c r="B25" s="137" t="inlineStr">
        <is>
          <t>91.06.03-058</t>
        </is>
      </c>
      <c r="C25" s="250" t="inlineStr">
        <is>
          <t>Лебедки электрические тяговым усилием 156,96 кН (16 т)</t>
        </is>
      </c>
      <c r="D25" s="251" t="inlineStr">
        <is>
          <t>маш.час</t>
        </is>
      </c>
      <c r="E25" s="337" t="n">
        <v>1</v>
      </c>
      <c r="F25" s="253" t="n">
        <v>131.44</v>
      </c>
      <c r="G25" s="26">
        <f>ROUND(E25*F25,2)</f>
        <v/>
      </c>
      <c r="H25" s="170">
        <f>G25/$G$34</f>
        <v/>
      </c>
      <c r="I25" s="26">
        <f>ROUND(F25*'Прил. 10'!$D$12,2)</f>
        <v/>
      </c>
      <c r="J25" s="26">
        <f>ROUND(I25*E25,2)</f>
        <v/>
      </c>
    </row>
    <row r="26" ht="25.5" customFormat="1" customHeight="1" s="12">
      <c r="A26" s="251" t="n">
        <v>10</v>
      </c>
      <c r="B26" s="137" t="inlineStr">
        <is>
          <t>91.05.05-015</t>
        </is>
      </c>
      <c r="C26" s="250" t="inlineStr">
        <is>
          <t>Краны на автомобильном ходу, грузоподъемность 16 т</t>
        </is>
      </c>
      <c r="D26" s="251" t="inlineStr">
        <is>
          <t>маш.час</t>
        </is>
      </c>
      <c r="E26" s="337" t="n">
        <v>0.48</v>
      </c>
      <c r="F26" s="253" t="n">
        <v>115.4</v>
      </c>
      <c r="G26" s="26">
        <f>ROUND(E26*F26,2)</f>
        <v/>
      </c>
      <c r="H26" s="170">
        <f>G26/$G$34</f>
        <v/>
      </c>
      <c r="I26" s="26">
        <f>ROUND(F26*'Прил. 10'!$D$12,2)</f>
        <v/>
      </c>
      <c r="J26" s="26">
        <f>ROUND(I26*E26,2)</f>
        <v/>
      </c>
    </row>
    <row r="27" ht="25.5" customFormat="1" customHeight="1" s="12">
      <c r="A27" s="251" t="n">
        <v>11</v>
      </c>
      <c r="B27" s="137" t="inlineStr">
        <is>
          <t>91.17.04-233</t>
        </is>
      </c>
      <c r="C27" s="250" t="inlineStr">
        <is>
          <t>Установки для сварки ручной дуговой (постоянного тока)</t>
        </is>
      </c>
      <c r="D27" s="251" t="inlineStr">
        <is>
          <t>маш.час</t>
        </is>
      </c>
      <c r="E27" s="337" t="n">
        <v>4.7</v>
      </c>
      <c r="F27" s="253" t="n">
        <v>8.1</v>
      </c>
      <c r="G27" s="26">
        <f>ROUND(E27*F27,2)</f>
        <v/>
      </c>
      <c r="H27" s="170">
        <f>G27/$G$34</f>
        <v/>
      </c>
      <c r="I27" s="26">
        <f>ROUND(F27*'Прил. 10'!$D$12,2)</f>
        <v/>
      </c>
      <c r="J27" s="26">
        <f>ROUND(I27*E27,2)</f>
        <v/>
      </c>
    </row>
    <row r="28" ht="25.5" customFormat="1" customHeight="1" s="12">
      <c r="A28" s="251" t="n">
        <v>12</v>
      </c>
      <c r="B28" s="137" t="inlineStr">
        <is>
          <t>91.14.02-001</t>
        </is>
      </c>
      <c r="C28" s="250" t="inlineStr">
        <is>
          <t>Автомобили бортовые, грузоподъемность до 5 т</t>
        </is>
      </c>
      <c r="D28" s="251" t="inlineStr">
        <is>
          <t>маш.час</t>
        </is>
      </c>
      <c r="E28" s="337" t="n">
        <v>0.48</v>
      </c>
      <c r="F28" s="253" t="n">
        <v>65.70999999999999</v>
      </c>
      <c r="G28" s="26">
        <f>ROUND(E28*F28,2)</f>
        <v/>
      </c>
      <c r="H28" s="170">
        <f>G28/$G$34</f>
        <v/>
      </c>
      <c r="I28" s="26">
        <f>ROUND(F28*'Прил. 10'!$D$12,2)</f>
        <v/>
      </c>
      <c r="J28" s="26">
        <f>ROUND(I28*E28,2)</f>
        <v/>
      </c>
    </row>
    <row r="29" ht="14.25" customFormat="1" customHeight="1" s="12">
      <c r="A29" s="251" t="n"/>
      <c r="B29" s="251" t="n"/>
      <c r="C29" s="250" t="inlineStr">
        <is>
          <t>Итого основные машины и механизмы</t>
        </is>
      </c>
      <c r="D29" s="251" t="n"/>
      <c r="E29" s="337" t="n"/>
      <c r="F29" s="26" t="n"/>
      <c r="G29" s="26">
        <f>SUM(G25:G28)</f>
        <v/>
      </c>
      <c r="H29" s="254">
        <f>G29/G34</f>
        <v/>
      </c>
      <c r="I29" s="134" t="n"/>
      <c r="J29" s="26">
        <f>SUM(J25:J28)</f>
        <v/>
      </c>
    </row>
    <row r="30" hidden="1" outlineLevel="1" ht="51" customFormat="1" customHeight="1" s="12">
      <c r="A30" s="251" t="n">
        <v>13</v>
      </c>
      <c r="B30" s="137" t="inlineStr">
        <is>
          <t>91.18.01-007</t>
        </is>
      </c>
      <c r="C30" s="25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30" s="251" t="inlineStr">
        <is>
          <t>маш.час</t>
        </is>
      </c>
      <c r="E30" s="337" t="n">
        <v>0.19</v>
      </c>
      <c r="F30" s="253" t="n">
        <v>90</v>
      </c>
      <c r="G30" s="26">
        <f>ROUND(E30*F30,2)</f>
        <v/>
      </c>
      <c r="H30" s="170">
        <f>G30/$G$34</f>
        <v/>
      </c>
      <c r="I30" s="26">
        <f>ROUND(F30*'Прил. 10'!$D$12,2)</f>
        <v/>
      </c>
      <c r="J30" s="26">
        <f>ROUND(I30*E30,2)</f>
        <v/>
      </c>
    </row>
    <row r="31" hidden="1" outlineLevel="1" ht="25.5" customFormat="1" customHeight="1" s="12">
      <c r="A31" s="251" t="n">
        <v>14</v>
      </c>
      <c r="B31" s="137" t="inlineStr">
        <is>
          <t>91.06.06-042</t>
        </is>
      </c>
      <c r="C31" s="250" t="inlineStr">
        <is>
          <t>Подъемники гидравлические, высота подъема 10 м</t>
        </is>
      </c>
      <c r="D31" s="251" t="inlineStr">
        <is>
          <t>маш.час</t>
        </is>
      </c>
      <c r="E31" s="337" t="n">
        <v>0.1</v>
      </c>
      <c r="F31" s="253" t="n">
        <v>29.6</v>
      </c>
      <c r="G31" s="26">
        <f>ROUND(E31*F31,2)</f>
        <v/>
      </c>
      <c r="H31" s="170">
        <f>G31/$G$34</f>
        <v/>
      </c>
      <c r="I31" s="26">
        <f>ROUND(F31*'Прил. 10'!$D$12,2)</f>
        <v/>
      </c>
      <c r="J31" s="26">
        <f>ROUND(I31*E31,2)</f>
        <v/>
      </c>
    </row>
    <row r="32" hidden="1" outlineLevel="1" ht="25.5" customFormat="1" customHeight="1" s="12">
      <c r="A32" s="251" t="n">
        <v>15</v>
      </c>
      <c r="B32" s="137" t="inlineStr">
        <is>
          <t>91.04.01-041</t>
        </is>
      </c>
      <c r="C32" s="250" t="inlineStr">
        <is>
          <t>Молотки бурильные легкие при работе от передвижных компрессорных станций</t>
        </is>
      </c>
      <c r="D32" s="251" t="inlineStr">
        <is>
          <t>маш.час</t>
        </is>
      </c>
      <c r="E32" s="337" t="n">
        <v>0.19</v>
      </c>
      <c r="F32" s="253" t="n">
        <v>2.99</v>
      </c>
      <c r="G32" s="26">
        <f>ROUND(E32*F32,2)</f>
        <v/>
      </c>
      <c r="H32" s="170">
        <f>G32/$G$34</f>
        <v/>
      </c>
      <c r="I32" s="26">
        <f>ROUND(F32*'Прил. 10'!$D$12,2)</f>
        <v/>
      </c>
      <c r="J32" s="26">
        <f>ROUND(I32*E32,2)</f>
        <v/>
      </c>
    </row>
    <row r="33" collapsed="1" ht="14.25" customFormat="1" customHeight="1" s="12">
      <c r="A33" s="251" t="n"/>
      <c r="B33" s="251" t="n"/>
      <c r="C33" s="250" t="inlineStr">
        <is>
          <t>Итого прочие машины и механизмы</t>
        </is>
      </c>
      <c r="D33" s="251" t="n"/>
      <c r="E33" s="252" t="n"/>
      <c r="F33" s="26" t="n"/>
      <c r="G33" s="134">
        <f>SUM(G30:G32)</f>
        <v/>
      </c>
      <c r="H33" s="170">
        <f>G33/G34</f>
        <v/>
      </c>
      <c r="I33" s="26" t="n"/>
      <c r="J33" s="134">
        <f>SUM(J30:J32)</f>
        <v/>
      </c>
    </row>
    <row r="34" ht="25.5" customFormat="1" customHeight="1" s="12">
      <c r="A34" s="251" t="n"/>
      <c r="B34" s="251" t="n"/>
      <c r="C34" s="239" t="inlineStr">
        <is>
          <t>Итого по разделу «Машины и механизмы»</t>
        </is>
      </c>
      <c r="D34" s="251" t="n"/>
      <c r="E34" s="252" t="n"/>
      <c r="F34" s="26" t="n"/>
      <c r="G34" s="26">
        <f>G29+G33</f>
        <v/>
      </c>
      <c r="H34" s="254">
        <f>H29+H33</f>
        <v/>
      </c>
      <c r="I34" s="131" t="n"/>
      <c r="J34" s="26">
        <f>J29+J33</f>
        <v/>
      </c>
    </row>
    <row r="35" ht="14.25" customFormat="1" customHeight="1" s="12">
      <c r="A35" s="251" t="n"/>
      <c r="B35" s="239" t="inlineStr">
        <is>
          <t>Оборудование</t>
        </is>
      </c>
      <c r="C35" s="326" t="n"/>
      <c r="D35" s="326" t="n"/>
      <c r="E35" s="326" t="n"/>
      <c r="F35" s="326" t="n"/>
      <c r="G35" s="326" t="n"/>
      <c r="H35" s="327" t="n"/>
      <c r="I35" s="132" t="n"/>
      <c r="J35" s="132" t="n"/>
    </row>
    <row r="36">
      <c r="A36" s="251" t="n"/>
      <c r="B36" s="250" t="inlineStr">
        <is>
          <t>Основное оборудование</t>
        </is>
      </c>
      <c r="C36" s="326" t="n"/>
      <c r="D36" s="326" t="n"/>
      <c r="E36" s="326" t="n"/>
      <c r="F36" s="326" t="n"/>
      <c r="G36" s="326" t="n"/>
      <c r="H36" s="327" t="n"/>
      <c r="I36" s="132" t="n"/>
      <c r="J36" s="132" t="n"/>
    </row>
    <row r="37" ht="25.5" customFormat="1" customHeight="1" s="12">
      <c r="A37" s="251" t="n">
        <v>16</v>
      </c>
      <c r="B37" s="251" t="inlineStr">
        <is>
          <t>БЦ.47.18</t>
        </is>
      </c>
      <c r="C37" s="250" t="inlineStr">
        <is>
          <t>Учет 6 (10, 15) кВ. Пункт учета, устанавливаемый на опоре ВЛ.</t>
        </is>
      </c>
      <c r="D37" s="251" t="inlineStr">
        <is>
          <t>компл.</t>
        </is>
      </c>
      <c r="E37" s="338" t="n">
        <v>1</v>
      </c>
      <c r="F37" s="253">
        <f>ROUND(I37/'Прил. 10'!$D$14,2)</f>
        <v/>
      </c>
      <c r="G37" s="26">
        <f>ROUND(E37*F37,2)</f>
        <v/>
      </c>
      <c r="H37" s="170">
        <f>G37/$G$41</f>
        <v/>
      </c>
      <c r="I37" s="26" t="n">
        <v>542655</v>
      </c>
      <c r="J37" s="26">
        <f>ROUND(I37*E37,2)</f>
        <v/>
      </c>
    </row>
    <row r="38" ht="25.5" customFormat="1" customHeight="1" s="12">
      <c r="A38" s="251" t="n">
        <v>17</v>
      </c>
      <c r="B38" s="251" t="inlineStr">
        <is>
          <t>62.1.01.09-0010</t>
        </is>
      </c>
      <c r="C38" s="250" t="inlineStr">
        <is>
          <t>Выключатели автоматические: «IEK» ВА47-29 2Р 10А, характеристика С</t>
        </is>
      </c>
      <c r="D38" s="251" t="inlineStr">
        <is>
          <t>шт</t>
        </is>
      </c>
      <c r="E38" s="338" t="n">
        <v>1</v>
      </c>
      <c r="F38" s="253" t="n">
        <v>20.9</v>
      </c>
      <c r="G38" s="26">
        <f>ROUND(E38*F38,2)</f>
        <v/>
      </c>
      <c r="H38" s="170">
        <f>G38/$G$41</f>
        <v/>
      </c>
      <c r="I38" s="26">
        <f>ROUND(F38*'Прил. 10'!$D$14,2)</f>
        <v/>
      </c>
      <c r="J38" s="26">
        <f>ROUND(I38*E38,2)</f>
        <v/>
      </c>
    </row>
    <row r="39">
      <c r="A39" s="251" t="n"/>
      <c r="B39" s="251" t="n"/>
      <c r="C39" s="250" t="inlineStr">
        <is>
          <t>Итого основное оборудование</t>
        </is>
      </c>
      <c r="D39" s="251" t="n"/>
      <c r="E39" s="338" t="n"/>
      <c r="F39" s="253" t="n"/>
      <c r="G39" s="26">
        <f>SUM(G37:G38)</f>
        <v/>
      </c>
      <c r="H39" s="170">
        <f>SUM(H37:H38)</f>
        <v/>
      </c>
      <c r="I39" s="134" t="n"/>
      <c r="J39" s="26">
        <f>SUM(J37:J38)</f>
        <v/>
      </c>
    </row>
    <row r="40">
      <c r="A40" s="251" t="n"/>
      <c r="B40" s="251" t="n"/>
      <c r="C40" s="250" t="inlineStr">
        <is>
          <t>Итого прочее оборудование</t>
        </is>
      </c>
      <c r="D40" s="251" t="n"/>
      <c r="E40" s="337" t="n"/>
      <c r="F40" s="253" t="n"/>
      <c r="G40" s="26" t="n">
        <v>0</v>
      </c>
      <c r="H40" s="170" t="n">
        <v>0</v>
      </c>
      <c r="I40" s="134" t="n"/>
      <c r="J40" s="26" t="n">
        <v>0</v>
      </c>
    </row>
    <row r="41">
      <c r="A41" s="251" t="n"/>
      <c r="B41" s="251" t="n"/>
      <c r="C41" s="239" t="inlineStr">
        <is>
          <t>Итого по разделу «Оборудование»</t>
        </is>
      </c>
      <c r="D41" s="251" t="n"/>
      <c r="E41" s="252" t="n"/>
      <c r="F41" s="253" t="n"/>
      <c r="G41" s="26">
        <f>G39+G40</f>
        <v/>
      </c>
      <c r="H41" s="170">
        <f>H39+H40</f>
        <v/>
      </c>
      <c r="I41" s="134" t="n"/>
      <c r="J41" s="26">
        <f>J40+J39</f>
        <v/>
      </c>
    </row>
    <row r="42" ht="25.5" customHeight="1" s="186">
      <c r="A42" s="251" t="n"/>
      <c r="B42" s="251" t="n"/>
      <c r="C42" s="250" t="inlineStr">
        <is>
          <t>в том числе технологическое оборудование</t>
        </is>
      </c>
      <c r="D42" s="251" t="n"/>
      <c r="E42" s="338" t="n"/>
      <c r="F42" s="253" t="n"/>
      <c r="G42" s="26">
        <f>G41</f>
        <v/>
      </c>
      <c r="H42" s="254" t="n"/>
      <c r="I42" s="134" t="n"/>
      <c r="J42" s="26">
        <f>J41</f>
        <v/>
      </c>
    </row>
    <row r="43" ht="14.25" customFormat="1" customHeight="1" s="12">
      <c r="A43" s="251" t="n"/>
      <c r="B43" s="239" t="inlineStr">
        <is>
          <t>Материалы</t>
        </is>
      </c>
      <c r="C43" s="326" t="n"/>
      <c r="D43" s="326" t="n"/>
      <c r="E43" s="326" t="n"/>
      <c r="F43" s="326" t="n"/>
      <c r="G43" s="326" t="n"/>
      <c r="H43" s="327" t="n"/>
      <c r="I43" s="132" t="n"/>
      <c r="J43" s="132" t="n"/>
    </row>
    <row r="44" ht="14.25" customFormat="1" customHeight="1" s="12">
      <c r="A44" s="246" t="n"/>
      <c r="B44" s="245" t="inlineStr">
        <is>
          <t>Основные материалы</t>
        </is>
      </c>
      <c r="C44" s="339" t="n"/>
      <c r="D44" s="339" t="n"/>
      <c r="E44" s="339" t="n"/>
      <c r="F44" s="339" t="n"/>
      <c r="G44" s="339" t="n"/>
      <c r="H44" s="340" t="n"/>
      <c r="I44" s="171" t="n"/>
      <c r="J44" s="171" t="n"/>
    </row>
    <row r="45" ht="25.5" customFormat="1" customHeight="1" s="12">
      <c r="A45" s="251" t="n">
        <v>18</v>
      </c>
      <c r="B45" s="251" t="inlineStr">
        <is>
          <t>21.1.04.01-0003</t>
        </is>
      </c>
      <c r="C45" s="250" t="inlineStr">
        <is>
          <t>Кабель (витая пара) UTP 2х2х0,52 категория 5е (внешний)</t>
        </is>
      </c>
      <c r="D45" s="251" t="inlineStr">
        <is>
          <t>1000 м</t>
        </is>
      </c>
      <c r="E45" s="338" t="n">
        <v>0.025</v>
      </c>
      <c r="F45" s="253" t="n">
        <v>1468.2</v>
      </c>
      <c r="G45" s="26">
        <f>ROUND(E45*F45,2)</f>
        <v/>
      </c>
      <c r="H45" s="170">
        <f>G45/$G$71</f>
        <v/>
      </c>
      <c r="I45" s="26">
        <f>ROUND(F45*'Прил. 10'!$D$13,2)</f>
        <v/>
      </c>
      <c r="J45" s="26">
        <f>ROUND(I45*E45,2)</f>
        <v/>
      </c>
    </row>
    <row r="46" ht="25.5" customFormat="1" customHeight="1" s="12">
      <c r="A46" s="251" t="n">
        <v>19</v>
      </c>
      <c r="B46" s="251" t="inlineStr">
        <is>
          <t>07.2.07.04-0007</t>
        </is>
      </c>
      <c r="C46" s="250" t="inlineStr">
        <is>
          <t>Конструкции стальные индивидуальные решетчатые сварные, масса до 0,1 т</t>
        </is>
      </c>
      <c r="D46" s="251" t="inlineStr">
        <is>
          <t>т</t>
        </is>
      </c>
      <c r="E46" s="338" t="n">
        <v>0.003</v>
      </c>
      <c r="F46" s="253" t="n">
        <v>11500</v>
      </c>
      <c r="G46" s="26">
        <f>ROUND(E46*F46,2)</f>
        <v/>
      </c>
      <c r="H46" s="170">
        <f>G46/$G$71</f>
        <v/>
      </c>
      <c r="I46" s="26">
        <f>ROUND(F46*'Прил. 10'!$D$13,2)</f>
        <v/>
      </c>
      <c r="J46" s="26">
        <f>ROUND(I46*E46,2)</f>
        <v/>
      </c>
    </row>
    <row r="47" ht="25.5" customFormat="1" customHeight="1" s="12">
      <c r="A47" s="251" t="n">
        <v>20</v>
      </c>
      <c r="B47" s="251" t="inlineStr">
        <is>
          <t>01.7.11.07-0034</t>
        </is>
      </c>
      <c r="C47" s="250" t="inlineStr">
        <is>
          <t>Электроды сварочные Э42А, диаметр 4 мм</t>
        </is>
      </c>
      <c r="D47" s="251" t="inlineStr">
        <is>
          <t>кг</t>
        </is>
      </c>
      <c r="E47" s="338" t="n">
        <v>2.59</v>
      </c>
      <c r="F47" s="253" t="n">
        <v>10.57</v>
      </c>
      <c r="G47" s="26">
        <f>ROUND(E47*F47,2)</f>
        <v/>
      </c>
      <c r="H47" s="170">
        <f>G47/$G$71</f>
        <v/>
      </c>
      <c r="I47" s="26">
        <f>ROUND(F47*'Прил. 10'!$D$13,2)</f>
        <v/>
      </c>
      <c r="J47" s="26">
        <f>ROUND(I47*E47,2)</f>
        <v/>
      </c>
    </row>
    <row r="48" ht="14.25" customFormat="1" customHeight="1" s="12">
      <c r="A48" s="251" t="n">
        <v>21</v>
      </c>
      <c r="B48" s="251" t="inlineStr">
        <is>
          <t>01.7.02.07-0011</t>
        </is>
      </c>
      <c r="C48" s="250" t="inlineStr">
        <is>
          <t>Прессшпан листовой, марка А</t>
        </is>
      </c>
      <c r="D48" s="251" t="inlineStr">
        <is>
          <t>кг</t>
        </is>
      </c>
      <c r="E48" s="338" t="n">
        <v>0.468</v>
      </c>
      <c r="F48" s="253" t="n">
        <v>47.57</v>
      </c>
      <c r="G48" s="26">
        <f>ROUND(E48*F48,2)</f>
        <v/>
      </c>
      <c r="H48" s="170">
        <f>G48/$G$71</f>
        <v/>
      </c>
      <c r="I48" s="26">
        <f>ROUND(F48*'Прил. 10'!$D$13,2)</f>
        <v/>
      </c>
      <c r="J48" s="26">
        <f>ROUND(I48*E48,2)</f>
        <v/>
      </c>
    </row>
    <row r="49" ht="25.5" customFormat="1" customHeight="1" s="12">
      <c r="A49" s="251" t="n">
        <v>22</v>
      </c>
      <c r="B49" s="251" t="inlineStr">
        <is>
          <t>999-9950</t>
        </is>
      </c>
      <c r="C49" s="250" t="inlineStr">
        <is>
          <t>Вспомогательные ненормируемые ресурсы (2% от Оплаты труда рабочих)</t>
        </is>
      </c>
      <c r="D49" s="251" t="inlineStr">
        <is>
          <t>руб</t>
        </is>
      </c>
      <c r="E49" s="338" t="n">
        <v>16.9876</v>
      </c>
      <c r="F49" s="253" t="n">
        <v>1</v>
      </c>
      <c r="G49" s="26">
        <f>ROUND(E49*F49,2)</f>
        <v/>
      </c>
      <c r="H49" s="170">
        <f>G49/$G$71</f>
        <v/>
      </c>
      <c r="I49" s="26">
        <f>ROUND(F49*'Прил. 10'!$D$13,2)</f>
        <v/>
      </c>
      <c r="J49" s="26">
        <f>ROUND(I49*E49,2)</f>
        <v/>
      </c>
    </row>
    <row r="50" ht="14.25" customFormat="1" customHeight="1" s="12">
      <c r="A50" s="251" t="n">
        <v>23</v>
      </c>
      <c r="B50" s="251" t="inlineStr">
        <is>
          <t>20.1.02.23-0082</t>
        </is>
      </c>
      <c r="C50" s="250" t="inlineStr">
        <is>
          <t>Перемычки гибкие, тип ПГС-50</t>
        </is>
      </c>
      <c r="D50" s="251" t="inlineStr">
        <is>
          <t>10 шт</t>
        </is>
      </c>
      <c r="E50" s="338" t="n">
        <v>0.3</v>
      </c>
      <c r="F50" s="253" t="n">
        <v>39</v>
      </c>
      <c r="G50" s="26">
        <f>ROUND(E50*F50,2)</f>
        <v/>
      </c>
      <c r="H50" s="170">
        <f>G50/$G$71</f>
        <v/>
      </c>
      <c r="I50" s="26">
        <f>ROUND(F50*'Прил. 10'!$D$13,2)</f>
        <v/>
      </c>
      <c r="J50" s="26">
        <f>ROUND(I50*E50,2)</f>
        <v/>
      </c>
    </row>
    <row r="51" ht="14.25" customFormat="1" customHeight="1" s="12">
      <c r="A51" s="251" t="n">
        <v>24</v>
      </c>
      <c r="B51" s="251" t="inlineStr">
        <is>
          <t>14.4.02.09-0001</t>
        </is>
      </c>
      <c r="C51" s="250" t="inlineStr">
        <is>
          <t>Краска</t>
        </is>
      </c>
      <c r="D51" s="251" t="inlineStr">
        <is>
          <t>кг</t>
        </is>
      </c>
      <c r="E51" s="338" t="n">
        <v>0.204</v>
      </c>
      <c r="F51" s="253" t="n">
        <v>28.6</v>
      </c>
      <c r="G51" s="26">
        <f>ROUND(E51*F51,2)</f>
        <v/>
      </c>
      <c r="H51" s="170">
        <f>G51/$G$71</f>
        <v/>
      </c>
      <c r="I51" s="26">
        <f>ROUND(F51*'Прил. 10'!$D$13,2)</f>
        <v/>
      </c>
      <c r="J51" s="26">
        <f>ROUND(I51*E51,2)</f>
        <v/>
      </c>
    </row>
    <row r="52" ht="25.5" customFormat="1" customHeight="1" s="12">
      <c r="A52" s="251" t="n">
        <v>25</v>
      </c>
      <c r="B52" s="251" t="inlineStr">
        <is>
          <t>01.7.15.04-0011</t>
        </is>
      </c>
      <c r="C52" s="250" t="inlineStr">
        <is>
          <t>Винты с полукруглой головкой, длина 50 мм</t>
        </is>
      </c>
      <c r="D52" s="251" t="inlineStr">
        <is>
          <t>т</t>
        </is>
      </c>
      <c r="E52" s="338" t="n">
        <v>0.0004408</v>
      </c>
      <c r="F52" s="253" t="n">
        <v>12430</v>
      </c>
      <c r="G52" s="26">
        <f>ROUND(E52*F52,2)</f>
        <v/>
      </c>
      <c r="H52" s="170">
        <f>G52/$G$71</f>
        <v/>
      </c>
      <c r="I52" s="26">
        <f>ROUND(F52*'Прил. 10'!$D$13,2)</f>
        <v/>
      </c>
      <c r="J52" s="26">
        <f>ROUND(I52*E52,2)</f>
        <v/>
      </c>
    </row>
    <row r="53" ht="14.25" customFormat="1" customHeight="1" s="12">
      <c r="A53" s="262" t="n"/>
      <c r="B53" s="173" t="n"/>
      <c r="C53" s="174" t="inlineStr">
        <is>
          <t>Итого основные материалы</t>
        </is>
      </c>
      <c r="D53" s="262" t="n"/>
      <c r="E53" s="341" t="n"/>
      <c r="F53" s="176" t="n"/>
      <c r="G53" s="176">
        <f>SUM(G45:G52)</f>
        <v/>
      </c>
      <c r="H53" s="170">
        <f>G53/$G$71</f>
        <v/>
      </c>
      <c r="I53" s="26" t="n"/>
      <c r="J53" s="176">
        <f>SUM(J45:J52)</f>
        <v/>
      </c>
    </row>
    <row r="54" hidden="1" outlineLevel="1" ht="25.5" customFormat="1" customHeight="1" s="12">
      <c r="A54" s="251" t="n">
        <v>26</v>
      </c>
      <c r="B54" s="251" t="inlineStr">
        <is>
          <t>21.1.04.01-1042</t>
        </is>
      </c>
      <c r="C54" s="250" t="inlineStr">
        <is>
          <t>Кабель витая пара U/UTP 1х2х0,52, категория 5e</t>
        </is>
      </c>
      <c r="D54" s="251" t="inlineStr">
        <is>
          <t>1000 м</t>
        </is>
      </c>
      <c r="E54" s="338" t="n">
        <v>0.008</v>
      </c>
      <c r="F54" s="253" t="n">
        <v>654.95</v>
      </c>
      <c r="G54" s="26">
        <f>ROUND(E54*F54,2)</f>
        <v/>
      </c>
      <c r="H54" s="170">
        <f>G54/$G$71</f>
        <v/>
      </c>
      <c r="I54" s="26">
        <f>ROUND(F54*'Прил. 10'!$D$13,2)</f>
        <v/>
      </c>
      <c r="J54" s="26">
        <f>ROUND(I54*E54,2)</f>
        <v/>
      </c>
    </row>
    <row r="55" hidden="1" outlineLevel="1" ht="25.5" customFormat="1" customHeight="1" s="12">
      <c r="A55" s="251" t="n">
        <v>27</v>
      </c>
      <c r="B55" s="251" t="inlineStr">
        <is>
          <t>21.2.03.05-0045</t>
        </is>
      </c>
      <c r="C55" s="250" t="inlineStr">
        <is>
          <t>Провод силовой установочный с медными жилами ПВ1 1,5-450</t>
        </is>
      </c>
      <c r="D55" s="251" t="inlineStr">
        <is>
          <t>1000 м</t>
        </is>
      </c>
      <c r="E55" s="338" t="n">
        <v>0.003</v>
      </c>
      <c r="F55" s="253" t="n">
        <v>1335.52</v>
      </c>
      <c r="G55" s="26">
        <f>ROUND(E55*F55,2)</f>
        <v/>
      </c>
      <c r="H55" s="170">
        <f>G55/$G$71</f>
        <v/>
      </c>
      <c r="I55" s="26">
        <f>ROUND(F55*'Прил. 10'!$D$13,2)</f>
        <v/>
      </c>
      <c r="J55" s="26">
        <f>ROUND(I55*E55,2)</f>
        <v/>
      </c>
    </row>
    <row r="56" hidden="1" outlineLevel="1" ht="14.25" customFormat="1" customHeight="1" s="12">
      <c r="A56" s="251" t="n">
        <v>28</v>
      </c>
      <c r="B56" s="251" t="inlineStr">
        <is>
          <t>01.7.15.07-0014</t>
        </is>
      </c>
      <c r="C56" s="250" t="inlineStr">
        <is>
          <t>Дюбели распорные полипропиленовые</t>
        </is>
      </c>
      <c r="D56" s="251" t="inlineStr">
        <is>
          <t>100 шт</t>
        </is>
      </c>
      <c r="E56" s="338" t="n">
        <v>0.042</v>
      </c>
      <c r="F56" s="253" t="n">
        <v>86</v>
      </c>
      <c r="G56" s="26">
        <f>ROUND(E56*F56,2)</f>
        <v/>
      </c>
      <c r="H56" s="170">
        <f>G56/$G$71</f>
        <v/>
      </c>
      <c r="I56" s="26">
        <f>ROUND(F56*'Прил. 10'!$D$13,2)</f>
        <v/>
      </c>
      <c r="J56" s="26">
        <f>ROUND(I56*E56,2)</f>
        <v/>
      </c>
    </row>
    <row r="57" hidden="1" outlineLevel="1" ht="14.25" customFormat="1" customHeight="1" s="12">
      <c r="A57" s="251" t="n">
        <v>29</v>
      </c>
      <c r="B57" s="251" t="inlineStr">
        <is>
          <t>01.7.15.03-0042</t>
        </is>
      </c>
      <c r="C57" s="250" t="inlineStr">
        <is>
          <t>Болты с гайками и шайбами строительные</t>
        </is>
      </c>
      <c r="D57" s="251" t="inlineStr">
        <is>
          <t>кг</t>
        </is>
      </c>
      <c r="E57" s="338" t="n">
        <v>0.247</v>
      </c>
      <c r="F57" s="253" t="n">
        <v>9.039999999999999</v>
      </c>
      <c r="G57" s="26">
        <f>ROUND(E57*F57,2)</f>
        <v/>
      </c>
      <c r="H57" s="170">
        <f>G57/$G$71</f>
        <v/>
      </c>
      <c r="I57" s="26">
        <f>ROUND(F57*'Прил. 10'!$D$13,2)</f>
        <v/>
      </c>
      <c r="J57" s="26">
        <f>ROUND(I57*E57,2)</f>
        <v/>
      </c>
    </row>
    <row r="58" hidden="1" outlineLevel="1" ht="14.25" customFormat="1" customHeight="1" s="12">
      <c r="A58" s="251" t="n">
        <v>30</v>
      </c>
      <c r="B58" s="251" t="inlineStr">
        <is>
          <t>25.2.01.01-0017</t>
        </is>
      </c>
      <c r="C58" s="250" t="inlineStr">
        <is>
          <t>Бирки маркировочные пластмассовые</t>
        </is>
      </c>
      <c r="D58" s="251" t="inlineStr">
        <is>
          <t>100 шт</t>
        </is>
      </c>
      <c r="E58" s="338" t="n">
        <v>0.06</v>
      </c>
      <c r="F58" s="253" t="n">
        <v>30.74</v>
      </c>
      <c r="G58" s="26">
        <f>ROUND(E58*F58,2)</f>
        <v/>
      </c>
      <c r="H58" s="170">
        <f>G58/$G$71</f>
        <v/>
      </c>
      <c r="I58" s="26">
        <f>ROUND(F58*'Прил. 10'!$D$13,2)</f>
        <v/>
      </c>
      <c r="J58" s="26">
        <f>ROUND(I58*E58,2)</f>
        <v/>
      </c>
    </row>
    <row r="59" hidden="1" outlineLevel="1" ht="14.25" customFormat="1" customHeight="1" s="12">
      <c r="A59" s="251" t="n">
        <v>31</v>
      </c>
      <c r="B59" s="251" t="inlineStr">
        <is>
          <t>01.7.20.04-0003</t>
        </is>
      </c>
      <c r="C59" s="250" t="inlineStr">
        <is>
          <t>Нитки суровые</t>
        </is>
      </c>
      <c r="D59" s="251" t="inlineStr">
        <is>
          <t>кг</t>
        </is>
      </c>
      <c r="E59" s="338" t="n">
        <v>0.01</v>
      </c>
      <c r="F59" s="253" t="n">
        <v>155</v>
      </c>
      <c r="G59" s="26">
        <f>ROUND(E59*F59,2)</f>
        <v/>
      </c>
      <c r="H59" s="170">
        <f>G59/$G$71</f>
        <v/>
      </c>
      <c r="I59" s="26">
        <f>ROUND(F59*'Прил. 10'!$D$13,2)</f>
        <v/>
      </c>
      <c r="J59" s="26">
        <f>ROUND(I59*E59,2)</f>
        <v/>
      </c>
    </row>
    <row r="60" hidden="1" outlineLevel="1" ht="38.25" customFormat="1" customHeight="1" s="12">
      <c r="A60" s="251" t="n">
        <v>32</v>
      </c>
      <c r="B60" s="251" t="inlineStr">
        <is>
          <t>01.7.06.05-0041</t>
        </is>
      </c>
      <c r="C60" s="250" t="inlineStr">
        <is>
          <t>Лента изоляционная прорезиненная односторонняя, ширина 20 мм, толщина 0,25-0,35 мм</t>
        </is>
      </c>
      <c r="D60" s="251" t="inlineStr">
        <is>
          <t>кг</t>
        </is>
      </c>
      <c r="E60" s="338" t="n">
        <v>0.036</v>
      </c>
      <c r="F60" s="253" t="n">
        <v>30.4</v>
      </c>
      <c r="G60" s="26">
        <f>ROUND(E60*F60,2)</f>
        <v/>
      </c>
      <c r="H60" s="170">
        <f>G60/$G$71</f>
        <v/>
      </c>
      <c r="I60" s="26">
        <f>ROUND(F60*'Прил. 10'!$D$13,2)</f>
        <v/>
      </c>
      <c r="J60" s="26">
        <f>ROUND(I60*E60,2)</f>
        <v/>
      </c>
    </row>
    <row r="61" hidden="1" outlineLevel="1" ht="14.25" customFormat="1" customHeight="1" s="12">
      <c r="A61" s="251" t="n">
        <v>33</v>
      </c>
      <c r="B61" s="251" t="inlineStr">
        <is>
          <t>14.4.03.17-0011</t>
        </is>
      </c>
      <c r="C61" s="250" t="inlineStr">
        <is>
          <t>Лак электроизоляционный 318</t>
        </is>
      </c>
      <c r="D61" s="251" t="inlineStr">
        <is>
          <t>кг</t>
        </is>
      </c>
      <c r="E61" s="338" t="n">
        <v>0.028</v>
      </c>
      <c r="F61" s="253" t="n">
        <v>35.63</v>
      </c>
      <c r="G61" s="26">
        <f>ROUND(E61*F61,2)</f>
        <v/>
      </c>
      <c r="H61" s="170">
        <f>G61/$G$71</f>
        <v/>
      </c>
      <c r="I61" s="26">
        <f>ROUND(F61*'Прил. 10'!$D$13,2)</f>
        <v/>
      </c>
      <c r="J61" s="26">
        <f>ROUND(I61*E61,2)</f>
        <v/>
      </c>
    </row>
    <row r="62" hidden="1" outlineLevel="1" ht="25.5" customFormat="1" customHeight="1" s="12">
      <c r="A62" s="251" t="n">
        <v>34</v>
      </c>
      <c r="B62" s="251" t="inlineStr">
        <is>
          <t>01.7.15.03-0031</t>
        </is>
      </c>
      <c r="C62" s="250" t="inlineStr">
        <is>
          <t>Болты с гайками и шайбами оцинкованные, диаметр 6 мм</t>
        </is>
      </c>
      <c r="D62" s="251" t="inlineStr">
        <is>
          <t>кг</t>
        </is>
      </c>
      <c r="E62" s="338" t="n">
        <v>0.035</v>
      </c>
      <c r="F62" s="253" t="n">
        <v>28.22</v>
      </c>
      <c r="G62" s="26">
        <f>ROUND(E62*F62,2)</f>
        <v/>
      </c>
      <c r="H62" s="170">
        <f>G62/$G$71</f>
        <v/>
      </c>
      <c r="I62" s="26">
        <f>ROUND(F62*'Прил. 10'!$D$13,2)</f>
        <v/>
      </c>
      <c r="J62" s="26">
        <f>ROUND(I62*E62,2)</f>
        <v/>
      </c>
    </row>
    <row r="63" hidden="1" outlineLevel="1" ht="14.25" customFormat="1" customHeight="1" s="12">
      <c r="A63" s="251" t="n">
        <v>35</v>
      </c>
      <c r="B63" s="251" t="inlineStr">
        <is>
          <t>01.3.01.02-0002</t>
        </is>
      </c>
      <c r="C63" s="250" t="inlineStr">
        <is>
          <t>Вазелин технический</t>
        </is>
      </c>
      <c r="D63" s="251" t="inlineStr">
        <is>
          <t>кг</t>
        </is>
      </c>
      <c r="E63" s="338" t="n">
        <v>0.018</v>
      </c>
      <c r="F63" s="253" t="n">
        <v>44.97</v>
      </c>
      <c r="G63" s="26">
        <f>ROUND(E63*F63,2)</f>
        <v/>
      </c>
      <c r="H63" s="170">
        <f>G63/$G$71</f>
        <v/>
      </c>
      <c r="I63" s="26">
        <f>ROUND(F63*'Прил. 10'!$D$13,2)</f>
        <v/>
      </c>
      <c r="J63" s="26">
        <f>ROUND(I63*E63,2)</f>
        <v/>
      </c>
    </row>
    <row r="64" hidden="1" outlineLevel="1" ht="25.5" customFormat="1" customHeight="1" s="12">
      <c r="A64" s="251" t="n">
        <v>36</v>
      </c>
      <c r="B64" s="251" t="inlineStr">
        <is>
          <t>10.3.02.03-0012</t>
        </is>
      </c>
      <c r="C64" s="250" t="inlineStr">
        <is>
          <t>Припои оловянно-свинцовые бессурьмянистые, марка ПОС40</t>
        </is>
      </c>
      <c r="D64" s="251" t="inlineStr">
        <is>
          <t>т</t>
        </is>
      </c>
      <c r="E64" s="338" t="n">
        <v>1e-05</v>
      </c>
      <c r="F64" s="253" t="n">
        <v>65750</v>
      </c>
      <c r="G64" s="26">
        <f>ROUND(E64*F64,2)</f>
        <v/>
      </c>
      <c r="H64" s="170">
        <f>G64/$G$71</f>
        <v/>
      </c>
      <c r="I64" s="26">
        <f>ROUND(F64*'Прил. 10'!$D$13,2)</f>
        <v/>
      </c>
      <c r="J64" s="26">
        <f>ROUND(I64*E64,2)</f>
        <v/>
      </c>
    </row>
    <row r="65" hidden="1" outlineLevel="1" ht="38.25" customFormat="1" customHeight="1" s="12">
      <c r="A65" s="251" t="n">
        <v>37</v>
      </c>
      <c r="B65" s="251" t="inlineStr">
        <is>
          <t>01.7.06.05-0042</t>
        </is>
      </c>
      <c r="C65" s="250" t="inlineStr">
        <is>
          <t>Лента липкая изоляционная на поликасиновом компаунде, ширина 20-30 мм, толщина от 0,14 до 0,19 мм</t>
        </is>
      </c>
      <c r="D65" s="251" t="inlineStr">
        <is>
          <t>кг</t>
        </is>
      </c>
      <c r="E65" s="338" t="n">
        <v>0.005</v>
      </c>
      <c r="F65" s="253" t="n">
        <v>91.29000000000001</v>
      </c>
      <c r="G65" s="26">
        <f>ROUND(E65*F65,2)</f>
        <v/>
      </c>
      <c r="H65" s="170">
        <f>G65/$G$71</f>
        <v/>
      </c>
      <c r="I65" s="26">
        <f>ROUND(F65*'Прил. 10'!$D$13,2)</f>
        <v/>
      </c>
      <c r="J65" s="26">
        <f>ROUND(I65*E65,2)</f>
        <v/>
      </c>
    </row>
    <row r="66" hidden="1" outlineLevel="1" ht="14.25" customFormat="1" customHeight="1" s="12">
      <c r="A66" s="251" t="n">
        <v>38</v>
      </c>
      <c r="B66" s="251" t="inlineStr">
        <is>
          <t>01.7.20.04-0005</t>
        </is>
      </c>
      <c r="C66" s="250" t="inlineStr">
        <is>
          <t>Нитки швейные</t>
        </is>
      </c>
      <c r="D66" s="251" t="inlineStr">
        <is>
          <t>кг</t>
        </is>
      </c>
      <c r="E66" s="338" t="n">
        <v>0.003</v>
      </c>
      <c r="F66" s="253" t="n">
        <v>133.05</v>
      </c>
      <c r="G66" s="26">
        <f>ROUND(E66*F66,2)</f>
        <v/>
      </c>
      <c r="H66" s="170">
        <f>G66/$G$71</f>
        <v/>
      </c>
      <c r="I66" s="26">
        <f>ROUND(F66*'Прил. 10'!$D$13,2)</f>
        <v/>
      </c>
      <c r="J66" s="26">
        <f>ROUND(I66*E66,2)</f>
        <v/>
      </c>
    </row>
    <row r="67" hidden="1" outlineLevel="1" ht="14.25" customFormat="1" customHeight="1" s="12">
      <c r="A67" s="251" t="n">
        <v>39</v>
      </c>
      <c r="B67" s="251" t="inlineStr">
        <is>
          <t>01.7.02.09-0002</t>
        </is>
      </c>
      <c r="C67" s="250" t="inlineStr">
        <is>
          <t>Шпагат бумажный</t>
        </is>
      </c>
      <c r="D67" s="251" t="inlineStr">
        <is>
          <t>кг</t>
        </is>
      </c>
      <c r="E67" s="338" t="n">
        <v>0.003</v>
      </c>
      <c r="F67" s="253" t="n">
        <v>11.5</v>
      </c>
      <c r="G67" s="26">
        <f>ROUND(E67*F67,2)</f>
        <v/>
      </c>
      <c r="H67" s="170">
        <f>G67/$G$71</f>
        <v/>
      </c>
      <c r="I67" s="26">
        <f>ROUND(F67*'Прил. 10'!$D$13,2)</f>
        <v/>
      </c>
      <c r="J67" s="26">
        <f>ROUND(I67*E67,2)</f>
        <v/>
      </c>
    </row>
    <row r="68" hidden="1" outlineLevel="1" ht="14.25" customFormat="1" customHeight="1" s="12">
      <c r="A68" s="251" t="n">
        <v>40</v>
      </c>
      <c r="B68" s="251" t="inlineStr">
        <is>
          <t>01.7.03.04-0001</t>
        </is>
      </c>
      <c r="C68" s="250" t="inlineStr">
        <is>
          <t>Электроэнергия</t>
        </is>
      </c>
      <c r="D68" s="251" t="inlineStr">
        <is>
          <t>кВт-ч</t>
        </is>
      </c>
      <c r="E68" s="338" t="n">
        <v>0.06</v>
      </c>
      <c r="F68" s="253" t="n">
        <v>0.4</v>
      </c>
      <c r="G68" s="26">
        <f>ROUND(E68*F68,2)</f>
        <v/>
      </c>
      <c r="H68" s="170">
        <f>G68/$G$71</f>
        <v/>
      </c>
      <c r="I68" s="26">
        <f>ROUND(F68*'Прил. 10'!$D$13,2)</f>
        <v/>
      </c>
      <c r="J68" s="26">
        <f>ROUND(I68*E68,2)</f>
        <v/>
      </c>
    </row>
    <row r="69" hidden="1" outlineLevel="1" ht="14.25" customFormat="1" customHeight="1" s="12">
      <c r="A69" s="251" t="n">
        <v>41</v>
      </c>
      <c r="B69" s="251" t="inlineStr">
        <is>
          <t>999-0005</t>
        </is>
      </c>
      <c r="C69" s="250" t="inlineStr">
        <is>
          <t>Масса</t>
        </is>
      </c>
      <c r="D69" s="251" t="inlineStr">
        <is>
          <t>т</t>
        </is>
      </c>
      <c r="E69" s="338" t="n">
        <v>0.001</v>
      </c>
      <c r="F69" s="253" t="n"/>
      <c r="G69" s="26">
        <f>ROUND(E69*F69,2)</f>
        <v/>
      </c>
      <c r="H69" s="170">
        <f>G69/$G$71</f>
        <v/>
      </c>
      <c r="I69" s="26">
        <f>ROUND(F69*'Прил. 10'!$D$13,2)</f>
        <v/>
      </c>
      <c r="J69" s="26">
        <f>ROUND(I69*E69,2)</f>
        <v/>
      </c>
    </row>
    <row r="70" collapsed="1" ht="14.25" customFormat="1" customHeight="1" s="12">
      <c r="A70" s="251" t="n"/>
      <c r="B70" s="251" t="n"/>
      <c r="C70" s="250" t="inlineStr">
        <is>
          <t>Итого прочие материалы</t>
        </is>
      </c>
      <c r="D70" s="251" t="n"/>
      <c r="E70" s="252" t="n"/>
      <c r="F70" s="253" t="n"/>
      <c r="G70" s="26">
        <f>SUM(G54:G69)</f>
        <v/>
      </c>
      <c r="H70" s="170">
        <f>G70/$G$71</f>
        <v/>
      </c>
      <c r="I70" s="26" t="n"/>
      <c r="J70" s="26">
        <f>SUM(J54:J69)</f>
        <v/>
      </c>
    </row>
    <row r="71" ht="14.25" customFormat="1" customHeight="1" s="12">
      <c r="A71" s="251" t="n"/>
      <c r="B71" s="251" t="n"/>
      <c r="C71" s="239" t="inlineStr">
        <is>
          <t>Итого по разделу «Материалы»</t>
        </is>
      </c>
      <c r="D71" s="251" t="n"/>
      <c r="E71" s="252" t="n"/>
      <c r="F71" s="253" t="n"/>
      <c r="G71" s="26">
        <f>G53+G70</f>
        <v/>
      </c>
      <c r="H71" s="254">
        <f>G71/$G$71</f>
        <v/>
      </c>
      <c r="I71" s="26" t="n"/>
      <c r="J71" s="26">
        <f>J53+J70</f>
        <v/>
      </c>
    </row>
    <row r="72" ht="14.25" customFormat="1" customHeight="1" s="12">
      <c r="A72" s="251" t="n"/>
      <c r="B72" s="251" t="n"/>
      <c r="C72" s="250" t="inlineStr">
        <is>
          <t>ИТОГО ПО РМ</t>
        </is>
      </c>
      <c r="D72" s="251" t="n"/>
      <c r="E72" s="252" t="n"/>
      <c r="F72" s="253" t="n"/>
      <c r="G72" s="26">
        <f>G20+G34+G71</f>
        <v/>
      </c>
      <c r="H72" s="254" t="n"/>
      <c r="I72" s="26" t="n"/>
      <c r="J72" s="26">
        <f>J20+J34+J71</f>
        <v/>
      </c>
    </row>
    <row r="73" ht="14.25" customFormat="1" customHeight="1" s="12">
      <c r="A73" s="251" t="n"/>
      <c r="B73" s="251" t="n"/>
      <c r="C73" s="250" t="inlineStr">
        <is>
          <t>Накладные расходы</t>
        </is>
      </c>
      <c r="D73" s="121">
        <f>ROUND(G73/(G$22+$G$20),2)</f>
        <v/>
      </c>
      <c r="E73" s="252" t="n"/>
      <c r="F73" s="253" t="n"/>
      <c r="G73" s="26" t="n">
        <v>1839.73</v>
      </c>
      <c r="H73" s="254" t="n"/>
      <c r="I73" s="26" t="n"/>
      <c r="J73" s="26">
        <f>ROUND(D73*(J20+J22),2)</f>
        <v/>
      </c>
    </row>
    <row r="74" ht="14.25" customFormat="1" customHeight="1" s="12">
      <c r="A74" s="251" t="n"/>
      <c r="B74" s="251" t="n"/>
      <c r="C74" s="250" t="inlineStr">
        <is>
          <t>Сметная прибыль</t>
        </is>
      </c>
      <c r="D74" s="121">
        <f>ROUND(G74/(G$20+G$22),2)</f>
        <v/>
      </c>
      <c r="E74" s="252" t="n"/>
      <c r="F74" s="253" t="n"/>
      <c r="G74" s="26" t="n">
        <v>921.78</v>
      </c>
      <c r="H74" s="254" t="n"/>
      <c r="I74" s="26" t="n"/>
      <c r="J74" s="26">
        <f>ROUND(D74*(J20+J22),2)</f>
        <v/>
      </c>
    </row>
    <row r="75" ht="14.25" customFormat="1" customHeight="1" s="12">
      <c r="A75" s="251" t="n"/>
      <c r="B75" s="251" t="n"/>
      <c r="C75" s="250" t="inlineStr">
        <is>
          <t>Итого СМР (с НР и СП)</t>
        </is>
      </c>
      <c r="D75" s="251" t="n"/>
      <c r="E75" s="252" t="n"/>
      <c r="F75" s="253" t="n"/>
      <c r="G75" s="26">
        <f>G20+G34+G71+G73+G74</f>
        <v/>
      </c>
      <c r="H75" s="254" t="n"/>
      <c r="I75" s="26" t="n"/>
      <c r="J75" s="26">
        <f>J20+J34+J71+J73+J74</f>
        <v/>
      </c>
    </row>
    <row r="76" ht="14.25" customFormat="1" customHeight="1" s="12">
      <c r="A76" s="251" t="n"/>
      <c r="B76" s="251" t="n"/>
      <c r="C76" s="250" t="inlineStr">
        <is>
          <t>ВСЕГО СМР + ОБОРУДОВАНИЕ</t>
        </is>
      </c>
      <c r="D76" s="251" t="n"/>
      <c r="E76" s="252" t="n"/>
      <c r="F76" s="253" t="n"/>
      <c r="G76" s="26">
        <f>G75+G41</f>
        <v/>
      </c>
      <c r="H76" s="254" t="n"/>
      <c r="I76" s="26" t="n"/>
      <c r="J76" s="26">
        <f>J75+J41</f>
        <v/>
      </c>
    </row>
    <row r="77" ht="34.5" customFormat="1" customHeight="1" s="12">
      <c r="A77" s="251" t="n"/>
      <c r="B77" s="251" t="n"/>
      <c r="C77" s="250" t="inlineStr">
        <is>
          <t>ИТОГО ПОКАЗАТЕЛЬ НА ЕД. ИЗМ.</t>
        </is>
      </c>
      <c r="D77" s="251" t="inlineStr">
        <is>
          <t>ед.</t>
        </is>
      </c>
      <c r="E77" s="342" t="n">
        <v>1</v>
      </c>
      <c r="F77" s="253" t="n"/>
      <c r="G77" s="26">
        <f>G76/E77</f>
        <v/>
      </c>
      <c r="H77" s="254" t="n"/>
      <c r="I77" s="26" t="n"/>
      <c r="J77" s="26">
        <f>J76/E77</f>
        <v/>
      </c>
    </row>
    <row r="79" ht="14.25" customFormat="1" customHeight="1" s="12">
      <c r="A79" s="4" t="inlineStr">
        <is>
          <t>Составил ______________________    Д.Ю. Нефедова</t>
        </is>
      </c>
    </row>
    <row r="80" ht="14.25" customFormat="1" customHeight="1" s="12">
      <c r="A80" s="114" t="inlineStr">
        <is>
          <t xml:space="preserve">                         (подпись, инициалы, фамилия)</t>
        </is>
      </c>
      <c r="G80" s="184" t="n"/>
    </row>
    <row r="81" ht="14.25" customFormat="1" customHeight="1" s="12">
      <c r="A81" s="4" t="n"/>
    </row>
    <row r="82" ht="14.25" customFormat="1" customHeight="1" s="12">
      <c r="A82" s="4" t="inlineStr">
        <is>
          <t>Проверил ______________________        А.В. Костянецкая</t>
        </is>
      </c>
    </row>
    <row r="83" ht="14.25" customFormat="1" customHeight="1" s="12">
      <c r="A83" s="114" t="inlineStr">
        <is>
          <t xml:space="preserve">                        (подпись, инициалы, фамилия)</t>
        </is>
      </c>
    </row>
  </sheetData>
  <mergeCells count="21">
    <mergeCell ref="H9:H10"/>
    <mergeCell ref="B24:H24"/>
    <mergeCell ref="A4:J4"/>
    <mergeCell ref="H2:J2"/>
    <mergeCell ref="C9:C10"/>
    <mergeCell ref="B36:H36"/>
    <mergeCell ref="E9:E10"/>
    <mergeCell ref="A7:H7"/>
    <mergeCell ref="B35:H35"/>
    <mergeCell ref="B9:B10"/>
    <mergeCell ref="D9:D10"/>
    <mergeCell ref="B21:H21"/>
    <mergeCell ref="B43:H43"/>
    <mergeCell ref="B12:H12"/>
    <mergeCell ref="D6:J6"/>
    <mergeCell ref="A8:H8"/>
    <mergeCell ref="F9:G9"/>
    <mergeCell ref="B23:H23"/>
    <mergeCell ref="A9:A10"/>
    <mergeCell ref="B44:H4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workbookViewId="0">
      <selection activeCell="B16" sqref="B16"/>
    </sheetView>
  </sheetViews>
  <sheetFormatPr baseColWidth="8" defaultRowHeight="15"/>
  <cols>
    <col width="5.7109375" customWidth="1" style="186" min="1" max="1"/>
    <col width="17.5703125" customWidth="1" style="186" min="2" max="2"/>
    <col width="39.140625" customWidth="1" style="186" min="3" max="3"/>
    <col width="10.7109375" customWidth="1" style="186" min="4" max="4"/>
    <col width="13.85546875" customWidth="1" style="186" min="5" max="5"/>
    <col width="13.28515625" customWidth="1" style="186" min="6" max="6"/>
    <col width="14.140625" customWidth="1" style="186" min="7" max="7"/>
  </cols>
  <sheetData>
    <row r="1">
      <c r="A1" s="264" t="inlineStr">
        <is>
          <t>Приложение №6</t>
        </is>
      </c>
    </row>
    <row r="2" ht="21.75" customHeight="1" s="186">
      <c r="A2" s="264" t="n"/>
      <c r="B2" s="264" t="n"/>
      <c r="C2" s="264" t="n"/>
      <c r="D2" s="264" t="n"/>
      <c r="E2" s="264" t="n"/>
      <c r="F2" s="264" t="n"/>
      <c r="G2" s="264" t="n"/>
    </row>
    <row r="3">
      <c r="A3" s="222" t="inlineStr">
        <is>
          <t>Расчет стоимости оборудования</t>
        </is>
      </c>
    </row>
    <row r="4" ht="27" customHeight="1" s="186">
      <c r="A4" s="225" t="inlineStr">
        <is>
          <t>Наименование разрабатываемого показателя УНЦ — Установка пункта коммерческого учета (ПКУ) ЭЭ класса напряжения 6-15 кВ на опоре ВЛ (с выносными датчиками тока и напряжения)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 s="186">
      <c r="A6" s="269" t="inlineStr">
        <is>
          <t>№ пп.</t>
        </is>
      </c>
      <c r="B6" s="269" t="inlineStr">
        <is>
          <t>Код ресурса</t>
        </is>
      </c>
      <c r="C6" s="269" t="inlineStr">
        <is>
          <t>Наименование</t>
        </is>
      </c>
      <c r="D6" s="269" t="inlineStr">
        <is>
          <t>Ед. изм.</t>
        </is>
      </c>
      <c r="E6" s="251" t="inlineStr">
        <is>
          <t>Кол-во единиц по проектным данным</t>
        </is>
      </c>
      <c r="F6" s="269" t="inlineStr">
        <is>
          <t>Сметная стоимость в ценах на 01.01.2000 (руб.)</t>
        </is>
      </c>
      <c r="G6" s="327" t="n"/>
    </row>
    <row r="7">
      <c r="A7" s="329" t="n"/>
      <c r="B7" s="329" t="n"/>
      <c r="C7" s="329" t="n"/>
      <c r="D7" s="329" t="n"/>
      <c r="E7" s="329" t="n"/>
      <c r="F7" s="251" t="inlineStr">
        <is>
          <t>на ед. изм.</t>
        </is>
      </c>
      <c r="G7" s="251" t="inlineStr">
        <is>
          <t>общая</t>
        </is>
      </c>
    </row>
    <row r="8">
      <c r="A8" s="251" t="n">
        <v>1</v>
      </c>
      <c r="B8" s="251" t="n">
        <v>2</v>
      </c>
      <c r="C8" s="251" t="n">
        <v>3</v>
      </c>
      <c r="D8" s="251" t="n">
        <v>4</v>
      </c>
      <c r="E8" s="251" t="n">
        <v>5</v>
      </c>
      <c r="F8" s="251" t="n">
        <v>6</v>
      </c>
      <c r="G8" s="251" t="n">
        <v>7</v>
      </c>
    </row>
    <row r="9" ht="15" customHeight="1" s="186">
      <c r="A9" s="117" t="n"/>
      <c r="B9" s="250" t="inlineStr">
        <is>
          <t>ИНЖЕНЕРНОЕ ОБОРУДОВАНИЕ</t>
        </is>
      </c>
      <c r="C9" s="326" t="n"/>
      <c r="D9" s="326" t="n"/>
      <c r="E9" s="326" t="n"/>
      <c r="F9" s="326" t="n"/>
      <c r="G9" s="327" t="n"/>
    </row>
    <row r="10" ht="27" customHeight="1" s="186">
      <c r="A10" s="251" t="n"/>
      <c r="B10" s="239" t="n"/>
      <c r="C10" s="250" t="inlineStr">
        <is>
          <t>ИТОГО ИНЖЕНЕРНОЕ ОБОРУДОВАНИЕ</t>
        </is>
      </c>
      <c r="D10" s="239" t="n"/>
      <c r="E10" s="119" t="n"/>
      <c r="F10" s="253" t="n"/>
      <c r="G10" s="253" t="n">
        <v>0</v>
      </c>
    </row>
    <row r="11">
      <c r="A11" s="251" t="n"/>
      <c r="B11" s="250" t="inlineStr">
        <is>
          <t>ТЕХНОЛОГИЧЕСКОЕ ОБОРУДОВАНИЕ</t>
        </is>
      </c>
      <c r="C11" s="326" t="n"/>
      <c r="D11" s="326" t="n"/>
      <c r="E11" s="326" t="n"/>
      <c r="F11" s="326" t="n"/>
      <c r="G11" s="327" t="n"/>
    </row>
    <row r="12" ht="25.5" customHeight="1" s="186">
      <c r="A12" s="251" t="n">
        <v>1</v>
      </c>
      <c r="B12" s="250" t="inlineStr">
        <is>
          <t>БЦ.47.18</t>
        </is>
      </c>
      <c r="C12" s="250" t="inlineStr">
        <is>
          <t>Учет 6 (10, 15) кВ. Пункт учета, устанавливаемый на опоре ВЛ.</t>
        </is>
      </c>
      <c r="D12" s="250" t="inlineStr">
        <is>
          <t>компл.</t>
        </is>
      </c>
      <c r="E12" s="250" t="n">
        <v>1</v>
      </c>
      <c r="F12" s="250" t="n">
        <v>86686.10000000001</v>
      </c>
      <c r="G12" s="253" t="n">
        <v>86686.10000000001</v>
      </c>
    </row>
    <row r="13" ht="25.5" customHeight="1" s="186">
      <c r="A13" s="251" t="n">
        <v>2</v>
      </c>
      <c r="B13" s="250" t="inlineStr">
        <is>
          <t>62.1.01.09-0010</t>
        </is>
      </c>
      <c r="C13" s="250" t="inlineStr">
        <is>
          <t>Выключатели автоматические: «IEK» ВА47-29 2Р 10А, характеристика С</t>
        </is>
      </c>
      <c r="D13" s="250" t="inlineStr">
        <is>
          <t>шт</t>
        </is>
      </c>
      <c r="E13" s="250" t="n">
        <v>1</v>
      </c>
      <c r="F13" s="250" t="n">
        <v>20.9</v>
      </c>
      <c r="G13" s="253" t="n">
        <v>20.9</v>
      </c>
    </row>
    <row r="14" ht="25.5" customHeight="1" s="186">
      <c r="A14" s="251" t="n"/>
      <c r="B14" s="250" t="n"/>
      <c r="C14" s="250" t="inlineStr">
        <is>
          <t>ИТОГО ТЕХНОЛОГИЧЕСКОЕ ОБОРУДОВАНИЕ</t>
        </is>
      </c>
      <c r="D14" s="250" t="n"/>
      <c r="E14" s="268" t="n"/>
      <c r="F14" s="253" t="n"/>
      <c r="G14" s="26">
        <f>SUM(G12:G13)</f>
        <v/>
      </c>
    </row>
    <row r="15" ht="19.5" customHeight="1" s="186">
      <c r="A15" s="251" t="n"/>
      <c r="B15" s="250" t="n"/>
      <c r="C15" s="250" t="inlineStr">
        <is>
          <t>Всего по разделу «Оборудование»</t>
        </is>
      </c>
      <c r="D15" s="250" t="n"/>
      <c r="E15" s="268" t="n"/>
      <c r="F15" s="253" t="n"/>
      <c r="G15" s="26">
        <f>G10+G14</f>
        <v/>
      </c>
    </row>
    <row r="16">
      <c r="A16" s="24" t="n"/>
      <c r="B16" s="120" t="n"/>
      <c r="C16" s="24" t="n"/>
      <c r="D16" s="24" t="n"/>
      <c r="E16" s="24" t="n"/>
      <c r="F16" s="24" t="n"/>
      <c r="G16" s="24" t="n"/>
    </row>
    <row r="17">
      <c r="A17" s="4" t="inlineStr">
        <is>
          <t>Составил ______________________    Д.Ю. Нефедова</t>
        </is>
      </c>
      <c r="B17" s="12" t="n"/>
      <c r="C17" s="12" t="n"/>
      <c r="D17" s="24" t="n"/>
      <c r="E17" s="24" t="n"/>
      <c r="F17" s="24" t="n"/>
      <c r="G17" s="24" t="n"/>
    </row>
    <row r="18">
      <c r="A18" s="114" t="inlineStr">
        <is>
          <t xml:space="preserve">                         (подпись, инициалы, фамилия)</t>
        </is>
      </c>
      <c r="B18" s="12" t="n"/>
      <c r="C18" s="12" t="n"/>
      <c r="D18" s="24" t="n"/>
      <c r="E18" s="24" t="n"/>
      <c r="F18" s="24" t="n"/>
      <c r="G18" s="24" t="n"/>
    </row>
    <row r="19">
      <c r="A19" s="4" t="n"/>
      <c r="B19" s="12" t="n"/>
      <c r="C19" s="12" t="n"/>
      <c r="D19" s="24" t="n"/>
      <c r="E19" s="24" t="n"/>
      <c r="F19" s="24" t="n"/>
      <c r="G19" s="24" t="n"/>
    </row>
    <row r="20">
      <c r="A20" s="4" t="inlineStr">
        <is>
          <t>Проверил ______________________        А.В. Костянецкая</t>
        </is>
      </c>
      <c r="B20" s="12" t="n"/>
      <c r="C20" s="12" t="n"/>
      <c r="D20" s="24" t="n"/>
      <c r="E20" s="24" t="n"/>
      <c r="F20" s="24" t="n"/>
      <c r="G20" s="24" t="n"/>
    </row>
    <row r="21">
      <c r="A21" s="114" t="inlineStr">
        <is>
          <t xml:space="preserve">                        (подпись, инициалы, фамилия)</t>
        </is>
      </c>
      <c r="B21" s="12" t="n"/>
      <c r="C21" s="12" t="n"/>
      <c r="D21" s="24" t="n"/>
      <c r="E21" s="24" t="n"/>
      <c r="F21" s="24" t="n"/>
      <c r="G21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186" min="1" max="1"/>
    <col width="29.7109375" customWidth="1" style="186" min="2" max="2"/>
    <col width="39.140625" customWidth="1" style="186" min="3" max="3"/>
    <col width="24.5703125" customWidth="1" style="186" min="4" max="4"/>
  </cols>
  <sheetData>
    <row r="1">
      <c r="B1" s="4" t="n"/>
      <c r="C1" s="4" t="n"/>
      <c r="D1" s="264" t="inlineStr">
        <is>
          <t>Приложение №7</t>
        </is>
      </c>
    </row>
    <row r="2">
      <c r="A2" s="264" t="n"/>
      <c r="B2" s="264" t="n"/>
      <c r="C2" s="264" t="n"/>
      <c r="D2" s="264" t="n"/>
    </row>
    <row r="3" ht="24.75" customHeight="1" s="186">
      <c r="A3" s="222" t="inlineStr">
        <is>
          <t>Расчет показателя УНЦ</t>
        </is>
      </c>
    </row>
    <row r="4" ht="24.75" customHeight="1" s="186">
      <c r="A4" s="222" t="n"/>
      <c r="B4" s="222" t="n"/>
      <c r="C4" s="222" t="n"/>
      <c r="D4" s="222" t="n"/>
    </row>
    <row r="5" ht="24.6" customHeight="1" s="186">
      <c r="A5" s="225" t="inlineStr">
        <is>
          <t xml:space="preserve">Наименование разрабатываемого показателя УНЦ - </t>
        </is>
      </c>
      <c r="D5" s="225">
        <f>'Прил.5 Расчет СМР и ОБ'!D6:J6</f>
        <v/>
      </c>
    </row>
    <row r="6" ht="19.9" customHeight="1" s="186">
      <c r="A6" s="225" t="inlineStr">
        <is>
          <t>Единица измерения  — 1 ед</t>
        </is>
      </c>
      <c r="D6" s="225" t="n"/>
    </row>
    <row r="7">
      <c r="A7" s="4" t="n"/>
      <c r="B7" s="4" t="n"/>
      <c r="C7" s="4" t="n"/>
      <c r="D7" s="4" t="n"/>
    </row>
    <row r="8" ht="14.45" customHeight="1" s="186">
      <c r="A8" s="235" t="inlineStr">
        <is>
          <t>Код показателя</t>
        </is>
      </c>
      <c r="B8" s="235" t="inlineStr">
        <is>
          <t>Наименование показателя</t>
        </is>
      </c>
      <c r="C8" s="235" t="inlineStr">
        <is>
          <t>Наименование РМ, входящих в состав показателя</t>
        </is>
      </c>
      <c r="D8" s="235" t="inlineStr">
        <is>
          <t>Норматив цены на 01.01.2023, тыс.руб.</t>
        </is>
      </c>
    </row>
    <row r="9" ht="15" customHeight="1" s="186">
      <c r="A9" s="329" t="n"/>
      <c r="B9" s="329" t="n"/>
      <c r="C9" s="329" t="n"/>
      <c r="D9" s="329" t="n"/>
    </row>
    <row r="10">
      <c r="A10" s="251" t="n">
        <v>1</v>
      </c>
      <c r="B10" s="251" t="n">
        <v>2</v>
      </c>
      <c r="C10" s="251" t="n">
        <v>3</v>
      </c>
      <c r="D10" s="251" t="n">
        <v>4</v>
      </c>
    </row>
    <row r="11" ht="41.45" customHeight="1" s="186">
      <c r="A11" s="251" t="inlineStr">
        <is>
          <t>А1-37</t>
        </is>
      </c>
      <c r="B11" s="251" t="inlineStr">
        <is>
          <t>УНЦ ИИК</t>
        </is>
      </c>
      <c r="C11" s="163">
        <f>D5</f>
        <v/>
      </c>
      <c r="D11" s="3">
        <f>'Прил.4 РМ'!C41/1000</f>
        <v/>
      </c>
      <c r="E11" s="116" t="n"/>
    </row>
    <row r="12">
      <c r="A12" s="24" t="n"/>
      <c r="B12" s="120" t="n"/>
      <c r="C12" s="24" t="n"/>
      <c r="D12" s="24" t="n"/>
    </row>
    <row r="13">
      <c r="A13" s="4" t="inlineStr">
        <is>
          <t>Составил ______________________      Д.Ю. Нефедова</t>
        </is>
      </c>
      <c r="B13" s="12" t="n"/>
      <c r="C13" s="12" t="n"/>
      <c r="D13" s="24" t="n"/>
    </row>
    <row r="14">
      <c r="A14" s="114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>
      <c r="A17" s="114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B27" sqref="B27"/>
    </sheetView>
  </sheetViews>
  <sheetFormatPr baseColWidth="8" defaultColWidth="9.140625" defaultRowHeight="15"/>
  <cols>
    <col width="40.7109375" customWidth="1" style="186" min="2" max="2"/>
    <col width="37.5703125" customWidth="1" style="186" min="3" max="3"/>
    <col width="32" customWidth="1" style="186" min="4" max="4"/>
  </cols>
  <sheetData>
    <row r="4" ht="15.75" customHeight="1" s="186">
      <c r="B4" s="229" t="inlineStr">
        <is>
          <t>Приложение № 10</t>
        </is>
      </c>
    </row>
    <row r="5" ht="18.75" customHeight="1" s="186">
      <c r="B5" s="105" t="n"/>
    </row>
    <row r="6" ht="15.75" customHeight="1" s="186">
      <c r="B6" s="230" t="inlineStr">
        <is>
          <t>Используемые индексы изменений сметной стоимости и нормы сопутствующих затрат</t>
        </is>
      </c>
    </row>
    <row r="7">
      <c r="B7" s="270" t="n"/>
    </row>
    <row r="8">
      <c r="B8" s="270" t="n"/>
      <c r="C8" s="270" t="n"/>
      <c r="D8" s="270" t="n"/>
      <c r="E8" s="270" t="n"/>
    </row>
    <row r="9" ht="47.25" customHeight="1" s="186">
      <c r="B9" s="235" t="inlineStr">
        <is>
          <t>Наименование индекса / норм сопутствующих затрат</t>
        </is>
      </c>
      <c r="C9" s="235" t="inlineStr">
        <is>
          <t>Дата применения и обоснование индекса / норм сопутствующих затрат</t>
        </is>
      </c>
      <c r="D9" s="235" t="inlineStr">
        <is>
          <t>Размер индекса / норма сопутствующих затрат</t>
        </is>
      </c>
    </row>
    <row r="10" ht="15.75" customHeight="1" s="186">
      <c r="B10" s="235" t="n">
        <v>1</v>
      </c>
      <c r="C10" s="235" t="n">
        <v>2</v>
      </c>
      <c r="D10" s="235" t="n">
        <v>3</v>
      </c>
    </row>
    <row r="11" ht="45" customHeight="1" s="186">
      <c r="B11" s="235" t="inlineStr">
        <is>
          <t xml:space="preserve">Индекс изменения сметной стоимости на 1 квартал 2023 года. ОЗП </t>
        </is>
      </c>
      <c r="C11" s="235" t="inlineStr">
        <is>
          <t>Письмо Минстроя России от 30.03.2023г. №17106-ИФ/09  прил.1</t>
        </is>
      </c>
      <c r="D11" s="235" t="n">
        <v>44.29</v>
      </c>
    </row>
    <row r="12" ht="29.25" customHeight="1" s="186">
      <c r="B12" s="235" t="inlineStr">
        <is>
          <t>Индекс изменения сметной стоимости на 1 квартал 2023 года. ЭМ</t>
        </is>
      </c>
      <c r="C12" s="235" t="inlineStr">
        <is>
          <t>Письмо Минстроя России от 30.03.2023г. №17106-ИФ/09  прил.1</t>
        </is>
      </c>
      <c r="D12" s="235" t="n">
        <v>11.72</v>
      </c>
    </row>
    <row r="13" ht="29.25" customHeight="1" s="186">
      <c r="B13" s="235" t="inlineStr">
        <is>
          <t>Индекс изменения сметной стоимости на 1 квартал 2023 года. МАТ</t>
        </is>
      </c>
      <c r="C13" s="235" t="inlineStr">
        <is>
          <t>Письмо Минстроя России от 30.03.2023г. №17106-ИФ/09  прил.1</t>
        </is>
      </c>
      <c r="D13" s="235" t="n">
        <v>7.74</v>
      </c>
    </row>
    <row r="14" ht="30.75" customHeight="1" s="186">
      <c r="B14" s="235" t="inlineStr">
        <is>
          <t>Индекс изменения сметной стоимости на 1 квартал 2023 года. ОБ</t>
        </is>
      </c>
      <c r="C14" s="143" t="inlineStr">
        <is>
          <t>Письмо Минстроя России от 23.02.2023г. №9791-ИФ/09 прил.6</t>
        </is>
      </c>
      <c r="D14" s="235" t="n">
        <v>6.26</v>
      </c>
    </row>
    <row r="15" ht="89.25" customHeight="1" s="186">
      <c r="B15" s="235" t="inlineStr">
        <is>
          <t>Временные здания и сооружения</t>
        </is>
      </c>
      <c r="C15" s="235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08" t="n">
        <v>0.025</v>
      </c>
    </row>
    <row r="16" ht="78.75" customHeight="1" s="186">
      <c r="B16" s="235" t="inlineStr">
        <is>
          <t>Дополнительные затраты при производстве строительно-монтажных работ в зимнее время</t>
        </is>
      </c>
      <c r="C16" s="235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08" t="n">
        <v>0.019</v>
      </c>
    </row>
    <row r="17" ht="31.5" customHeight="1" s="186">
      <c r="B17" s="235" t="inlineStr">
        <is>
          <t>Строительный контроль</t>
        </is>
      </c>
      <c r="C17" s="235" t="inlineStr">
        <is>
          <t>Постановление Правительства РФ от 21.06.10 г. № 468</t>
        </is>
      </c>
      <c r="D17" s="108" t="n">
        <v>0.0214</v>
      </c>
    </row>
    <row r="18" ht="31.5" customHeight="1" s="186">
      <c r="B18" s="235" t="inlineStr">
        <is>
          <t>Авторский надзор - 0,2%</t>
        </is>
      </c>
      <c r="C18" s="235" t="inlineStr">
        <is>
          <t>Приказ от 4.08.2020 № 421/пр п.173</t>
        </is>
      </c>
      <c r="D18" s="108" t="n">
        <v>0.002</v>
      </c>
    </row>
    <row r="19" ht="24" customHeight="1" s="186">
      <c r="B19" s="235" t="inlineStr">
        <is>
          <t>Непредвиденные расходы</t>
        </is>
      </c>
      <c r="C19" s="235" t="inlineStr">
        <is>
          <t>Приказ от 4.08.2020 № 421/пр п.179</t>
        </is>
      </c>
      <c r="D19" s="108" t="n">
        <v>0.03</v>
      </c>
    </row>
    <row r="20" ht="18.75" customHeight="1" s="186">
      <c r="B20" s="106" t="n"/>
    </row>
    <row r="21" ht="18.75" customHeight="1" s="186">
      <c r="B21" s="106" t="n"/>
    </row>
    <row r="22" ht="18.75" customHeight="1" s="186">
      <c r="B22" s="106" t="n"/>
    </row>
    <row r="23" ht="18.75" customHeight="1" s="186">
      <c r="B23" s="106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114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114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61"/>
  <sheetViews>
    <sheetView view="pageBreakPreview" topLeftCell="A13" zoomScale="60" zoomScaleNormal="100" workbookViewId="0">
      <selection activeCell="A3" sqref="A3"/>
    </sheetView>
  </sheetViews>
  <sheetFormatPr baseColWidth="8" defaultColWidth="9.140625" defaultRowHeight="15"/>
  <cols>
    <col width="44.85546875" customWidth="1" style="186" min="2" max="2"/>
    <col width="13" customWidth="1" style="186" min="3" max="3"/>
    <col width="22.85546875" customWidth="1" style="186" min="4" max="4"/>
    <col width="21.5703125" customWidth="1" style="186" min="5" max="5"/>
    <col width="53.7109375" bestFit="1" customWidth="1" style="186" min="6" max="6"/>
  </cols>
  <sheetData>
    <row r="1" s="186"/>
    <row r="2" ht="17.25" customHeight="1" s="186">
      <c r="A2" s="230" t="inlineStr">
        <is>
          <t>Расчет размера средств на оплату труда рабочих-строителей в текущем уровне цен (ФОТр.тек.)</t>
        </is>
      </c>
    </row>
    <row r="3" s="186"/>
    <row r="4" ht="18" customHeight="1" s="186">
      <c r="A4" s="187" t="inlineStr">
        <is>
          <t>Составлен в уровне цен на 01.01.2023 г.</t>
        </is>
      </c>
      <c r="B4" s="188" t="n"/>
      <c r="C4" s="188" t="n"/>
      <c r="D4" s="188" t="n"/>
      <c r="E4" s="188" t="n"/>
      <c r="F4" s="188" t="n"/>
      <c r="G4" s="188" t="n"/>
    </row>
    <row r="5" ht="15.75" customHeight="1" s="186">
      <c r="A5" s="189" t="inlineStr">
        <is>
          <t>№ пп.</t>
        </is>
      </c>
      <c r="B5" s="189" t="inlineStr">
        <is>
          <t>Наименование элемента</t>
        </is>
      </c>
      <c r="C5" s="189" t="inlineStr">
        <is>
          <t>Обозначение</t>
        </is>
      </c>
      <c r="D5" s="189" t="inlineStr">
        <is>
          <t>Формула</t>
        </is>
      </c>
      <c r="E5" s="189" t="inlineStr">
        <is>
          <t>Величина элемента</t>
        </is>
      </c>
      <c r="F5" s="189" t="inlineStr">
        <is>
          <t>Наименования обосновывающих документов</t>
        </is>
      </c>
      <c r="G5" s="188" t="n"/>
    </row>
    <row r="6" ht="15.75" customHeight="1" s="186">
      <c r="A6" s="189" t="n">
        <v>1</v>
      </c>
      <c r="B6" s="189" t="n">
        <v>2</v>
      </c>
      <c r="C6" s="189" t="n">
        <v>3</v>
      </c>
      <c r="D6" s="189" t="n">
        <v>4</v>
      </c>
      <c r="E6" s="189" t="n">
        <v>5</v>
      </c>
      <c r="F6" s="189" t="n">
        <v>6</v>
      </c>
      <c r="G6" s="188" t="n"/>
    </row>
    <row r="7" ht="110.25" customHeight="1" s="186">
      <c r="A7" s="190" t="inlineStr">
        <is>
          <t>1.1</t>
        </is>
      </c>
      <c r="B7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5" t="inlineStr">
        <is>
          <t>С1ср</t>
        </is>
      </c>
      <c r="D7" s="235" t="inlineStr">
        <is>
          <t>-</t>
        </is>
      </c>
      <c r="E7" s="193" t="n">
        <v>47872.94</v>
      </c>
      <c r="F7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8" t="n"/>
    </row>
    <row r="8" ht="31.5" customHeight="1" s="186">
      <c r="A8" s="190" t="inlineStr">
        <is>
          <t>1.2</t>
        </is>
      </c>
      <c r="B8" s="195" t="inlineStr">
        <is>
          <t>Среднегодовое нормативное число часов работы одного рабочего в месяц, часы (ч.)</t>
        </is>
      </c>
      <c r="C8" s="235" t="inlineStr">
        <is>
          <t>tср</t>
        </is>
      </c>
      <c r="D8" s="235" t="inlineStr">
        <is>
          <t>1973ч/12мес.</t>
        </is>
      </c>
      <c r="E8" s="194">
        <f>1973/12</f>
        <v/>
      </c>
      <c r="F8" s="195" t="inlineStr">
        <is>
          <t>Производственный календарь 2023 год
(40-часов.неделя)</t>
        </is>
      </c>
      <c r="G8" s="197" t="n"/>
    </row>
    <row r="9" ht="15.75" customHeight="1" s="186">
      <c r="A9" s="190" t="inlineStr">
        <is>
          <t>1.3</t>
        </is>
      </c>
      <c r="B9" s="195" t="inlineStr">
        <is>
          <t>Коэффициент увеличения</t>
        </is>
      </c>
      <c r="C9" s="235" t="inlineStr">
        <is>
          <t>Кув</t>
        </is>
      </c>
      <c r="D9" s="235" t="inlineStr">
        <is>
          <t>-</t>
        </is>
      </c>
      <c r="E9" s="194" t="n">
        <v>1</v>
      </c>
      <c r="F9" s="195" t="n"/>
      <c r="G9" s="197" t="n"/>
    </row>
    <row r="10" ht="15.75" customHeight="1" s="186">
      <c r="A10" s="190" t="inlineStr">
        <is>
          <t>1.4</t>
        </is>
      </c>
      <c r="B10" s="195" t="inlineStr">
        <is>
          <t>Средний разряд работ</t>
        </is>
      </c>
      <c r="C10" s="235" t="n"/>
      <c r="D10" s="235" t="n"/>
      <c r="E10" s="343" t="n">
        <v>3.8</v>
      </c>
      <c r="F10" s="195" t="inlineStr">
        <is>
          <t>РТМ</t>
        </is>
      </c>
      <c r="G10" s="197" t="n"/>
    </row>
    <row r="11" ht="78.75" customHeight="1" s="186">
      <c r="A11" s="190" t="inlineStr">
        <is>
          <t>1.5</t>
        </is>
      </c>
      <c r="B11" s="195" t="inlineStr">
        <is>
          <t>Тарифный коэффициент среднего разряда работ</t>
        </is>
      </c>
      <c r="C11" s="235" t="inlineStr">
        <is>
          <t>КТ</t>
        </is>
      </c>
      <c r="D11" s="235" t="inlineStr">
        <is>
          <t>-</t>
        </is>
      </c>
      <c r="E11" s="344" t="n">
        <v>1.308</v>
      </c>
      <c r="F11" s="19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8" t="n"/>
    </row>
    <row r="12" ht="78.75" customHeight="1" s="186">
      <c r="A12" s="203" t="inlineStr">
        <is>
          <t>1.6</t>
        </is>
      </c>
      <c r="B12" s="315" t="inlineStr">
        <is>
          <t>Коэффициент инфляции, определяемый поквартально</t>
        </is>
      </c>
      <c r="C12" s="236" t="inlineStr">
        <is>
          <t>Кинф</t>
        </is>
      </c>
      <c r="D12" s="236" t="inlineStr">
        <is>
          <t>-</t>
        </is>
      </c>
      <c r="E12" s="345" t="n">
        <v>1.139</v>
      </c>
      <c r="F12" s="31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86">
      <c r="A13" s="321" t="inlineStr">
        <is>
          <t>1.7</t>
        </is>
      </c>
      <c r="B13" s="322" t="inlineStr">
        <is>
          <t>Размер средств на оплату труда рабочих-строителей в текущем уровне цен (ФОТр.тек.), руб/чел.-ч</t>
        </is>
      </c>
      <c r="C13" s="323" t="inlineStr">
        <is>
          <t>ФОТр.тек.</t>
        </is>
      </c>
      <c r="D13" s="323" t="inlineStr">
        <is>
          <t>(С1ср/tср*КТ*Т*Кув)*Кинф</t>
        </is>
      </c>
      <c r="E13" s="324">
        <f>((E7*E9/E8)*E11)*E12</f>
        <v/>
      </c>
      <c r="F13" s="32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8" t="n"/>
    </row>
    <row r="14" ht="14.45" customHeight="1" s="186">
      <c r="A14" s="318" t="n"/>
      <c r="B14" s="319" t="inlineStr">
        <is>
          <t>Ведущий инженер</t>
        </is>
      </c>
      <c r="C14" s="319" t="n"/>
      <c r="D14" s="319" t="n"/>
      <c r="E14" s="319" t="n"/>
      <c r="F14" s="320" t="n"/>
    </row>
    <row r="15" ht="110.25" customHeight="1" s="186">
      <c r="A15" s="190" t="inlineStr">
        <is>
          <t>1.1</t>
        </is>
      </c>
      <c r="B15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35" t="inlineStr">
        <is>
          <t>С1ср</t>
        </is>
      </c>
      <c r="D15" s="235" t="inlineStr">
        <is>
          <t>-</t>
        </is>
      </c>
      <c r="E15" s="193" t="n">
        <v>47872.94</v>
      </c>
      <c r="F15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188" t="n"/>
    </row>
    <row r="16" ht="31.5" customHeight="1" s="186">
      <c r="A16" s="190" t="inlineStr">
        <is>
          <t>1.2</t>
        </is>
      </c>
      <c r="B16" s="195" t="inlineStr">
        <is>
          <t>Среднегодовое нормативное число часов работы одного рабочего в месяц, часы (ч.)</t>
        </is>
      </c>
      <c r="C16" s="235" t="inlineStr">
        <is>
          <t>tср</t>
        </is>
      </c>
      <c r="D16" s="235" t="inlineStr">
        <is>
          <t>1973ч/12мес.</t>
        </is>
      </c>
      <c r="E16" s="194">
        <f>1973/12</f>
        <v/>
      </c>
      <c r="F16" s="195" t="inlineStr">
        <is>
          <t>Производственный календарь 2023 год
(40-часов.неделя)</t>
        </is>
      </c>
      <c r="G16" s="197" t="n"/>
    </row>
    <row r="17" ht="15.75" customHeight="1" s="186">
      <c r="A17" s="190" t="inlineStr">
        <is>
          <t>1.3</t>
        </is>
      </c>
      <c r="B17" s="195" t="inlineStr">
        <is>
          <t>Коэффициент увеличения</t>
        </is>
      </c>
      <c r="C17" s="235" t="inlineStr">
        <is>
          <t>Кув</t>
        </is>
      </c>
      <c r="D17" s="235" t="inlineStr">
        <is>
          <t>-</t>
        </is>
      </c>
      <c r="E17" s="194" t="n">
        <v>1</v>
      </c>
      <c r="F17" s="195" t="n"/>
      <c r="G17" s="197" t="n"/>
    </row>
    <row r="18" ht="15.75" customHeight="1" s="186">
      <c r="A18" s="190" t="inlineStr">
        <is>
          <t>1.4</t>
        </is>
      </c>
      <c r="B18" s="195" t="inlineStr">
        <is>
          <t>Средний разряд работ</t>
        </is>
      </c>
      <c r="C18" s="235" t="n"/>
      <c r="D18" s="235" t="n"/>
      <c r="E18" s="343" t="inlineStr">
        <is>
          <t>Ведущий инженер</t>
        </is>
      </c>
      <c r="F18" s="195" t="inlineStr">
        <is>
          <t>РТМ</t>
        </is>
      </c>
      <c r="G18" s="197" t="n"/>
    </row>
    <row r="19" ht="78.75" customHeight="1" s="186">
      <c r="A19" s="203" t="inlineStr">
        <is>
          <t>1.5</t>
        </is>
      </c>
      <c r="B19" s="205" t="inlineStr">
        <is>
          <t>Тарифный коэффициент среднего разряда работ</t>
        </is>
      </c>
      <c r="C19" s="236" t="inlineStr">
        <is>
          <t>КТ</t>
        </is>
      </c>
      <c r="D19" s="236" t="inlineStr">
        <is>
          <t>-</t>
        </is>
      </c>
      <c r="E19" s="346" t="n">
        <v>2.35</v>
      </c>
      <c r="F19" s="20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188" t="n"/>
    </row>
    <row r="20" ht="78.75" customHeight="1" s="186">
      <c r="A20" s="190" t="inlineStr">
        <is>
          <t>1.6</t>
        </is>
      </c>
      <c r="B20" s="214" t="inlineStr">
        <is>
          <t>Коэффициент инфляции, определяемый поквартально</t>
        </is>
      </c>
      <c r="C20" s="235" t="inlineStr">
        <is>
          <t>Кинф</t>
        </is>
      </c>
      <c r="D20" s="235" t="inlineStr">
        <is>
          <t>-</t>
        </is>
      </c>
      <c r="E20" s="347" t="n">
        <v>1.139</v>
      </c>
      <c r="F20" s="20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97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186">
      <c r="A21" s="190" t="inlineStr">
        <is>
          <t>1.7</t>
        </is>
      </c>
      <c r="B21" s="209" t="inlineStr">
        <is>
          <t>Размер средств на оплату труда рабочих-строителей в текущем уровне цен (ФОТр.тек.), руб/чел.-ч</t>
        </is>
      </c>
      <c r="C21" s="235" t="inlineStr">
        <is>
          <t>ФОТр.тек.</t>
        </is>
      </c>
      <c r="D21" s="235" t="inlineStr">
        <is>
          <t>(С1ср/tср*КТ*Т*Кув)*Кинф</t>
        </is>
      </c>
      <c r="E21" s="210">
        <f>((E15*E17/E16)*E19)*E20</f>
        <v/>
      </c>
      <c r="F21" s="19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188" t="n"/>
    </row>
    <row r="22" ht="15.75" customHeight="1" s="186">
      <c r="A22" s="211" t="n"/>
      <c r="B22" s="206" t="inlineStr">
        <is>
          <t>Инженер I категории</t>
        </is>
      </c>
      <c r="C22" s="206" t="n"/>
      <c r="D22" s="206" t="n"/>
      <c r="E22" s="206" t="n"/>
      <c r="F22" s="207" t="n"/>
    </row>
    <row r="23" ht="110.25" customHeight="1" s="186">
      <c r="A23" s="190" t="inlineStr">
        <is>
          <t>1.1</t>
        </is>
      </c>
      <c r="B23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235" t="inlineStr">
        <is>
          <t>С1ср</t>
        </is>
      </c>
      <c r="D23" s="235" t="inlineStr">
        <is>
          <t>-</t>
        </is>
      </c>
      <c r="E23" s="193" t="n">
        <v>47872.94</v>
      </c>
      <c r="F23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188" t="n"/>
    </row>
    <row r="24" ht="31.5" customHeight="1" s="186">
      <c r="A24" s="190" t="inlineStr">
        <is>
          <t>1.2</t>
        </is>
      </c>
      <c r="B24" s="195" t="inlineStr">
        <is>
          <t>Среднегодовое нормативное число часов работы одного рабочего в месяц, часы (ч.)</t>
        </is>
      </c>
      <c r="C24" s="235" t="inlineStr">
        <is>
          <t>tср</t>
        </is>
      </c>
      <c r="D24" s="235" t="inlineStr">
        <is>
          <t>1973ч/12мес.</t>
        </is>
      </c>
      <c r="E24" s="194">
        <f>1973/12</f>
        <v/>
      </c>
      <c r="F24" s="195" t="inlineStr">
        <is>
          <t>Производственный календарь 2023 год
(40-часов.неделя)</t>
        </is>
      </c>
      <c r="G24" s="197" t="n"/>
    </row>
    <row r="25" ht="15.75" customHeight="1" s="186">
      <c r="A25" s="190" t="inlineStr">
        <is>
          <t>1.3</t>
        </is>
      </c>
      <c r="B25" s="195" t="inlineStr">
        <is>
          <t>Коэффициент увеличения</t>
        </is>
      </c>
      <c r="C25" s="235" t="inlineStr">
        <is>
          <t>Кув</t>
        </is>
      </c>
      <c r="D25" s="235" t="inlineStr">
        <is>
          <t>-</t>
        </is>
      </c>
      <c r="E25" s="194" t="n">
        <v>1</v>
      </c>
      <c r="F25" s="195" t="n"/>
      <c r="G25" s="197" t="n"/>
    </row>
    <row r="26" ht="15.75" customHeight="1" s="186">
      <c r="A26" s="190" t="inlineStr">
        <is>
          <t>1.4</t>
        </is>
      </c>
      <c r="B26" s="195" t="inlineStr">
        <is>
          <t>Средний разряд работ</t>
        </is>
      </c>
      <c r="C26" s="235" t="n"/>
      <c r="D26" s="235" t="n"/>
      <c r="E26" s="343" t="inlineStr">
        <is>
          <t>Инженер I категории</t>
        </is>
      </c>
      <c r="F26" s="195" t="inlineStr">
        <is>
          <t>РТМ</t>
        </is>
      </c>
      <c r="G26" s="197" t="n"/>
    </row>
    <row r="27" ht="78.75" customHeight="1" s="186">
      <c r="A27" s="203" t="inlineStr">
        <is>
          <t>1.5</t>
        </is>
      </c>
      <c r="B27" s="205" t="inlineStr">
        <is>
          <t>Тарифный коэффициент среднего разряда работ</t>
        </is>
      </c>
      <c r="C27" s="236" t="inlineStr">
        <is>
          <t>КТ</t>
        </is>
      </c>
      <c r="D27" s="236" t="inlineStr">
        <is>
          <t>-</t>
        </is>
      </c>
      <c r="E27" s="346" t="n">
        <v>2.15</v>
      </c>
      <c r="F27" s="20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188" t="n"/>
    </row>
    <row r="28" ht="78.75" customHeight="1" s="186">
      <c r="A28" s="190" t="inlineStr">
        <is>
          <t>1.6</t>
        </is>
      </c>
      <c r="B28" s="214" t="inlineStr">
        <is>
          <t>Коэффициент инфляции, определяемый поквартально</t>
        </is>
      </c>
      <c r="C28" s="235" t="inlineStr">
        <is>
          <t>Кинф</t>
        </is>
      </c>
      <c r="D28" s="235" t="inlineStr">
        <is>
          <t>-</t>
        </is>
      </c>
      <c r="E28" s="347" t="n">
        <v>1.139</v>
      </c>
      <c r="F28" s="20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197" t="inlineStr">
        <is>
          <t>https://economy.gov.ru/material/directions/makroec/prognozy_socialno_ekonomicheskogo_razvitiya/prognoz_socialno_ekonomicheskogo_razvitiya_rf_na_period_do_2024_goda_.html</t>
        </is>
      </c>
    </row>
    <row r="29" ht="63" customHeight="1" s="186">
      <c r="A29" s="190" t="inlineStr">
        <is>
          <t>1.7</t>
        </is>
      </c>
      <c r="B29" s="209" t="inlineStr">
        <is>
          <t>Размер средств на оплату труда рабочих-строителей в текущем уровне цен (ФОТр.тек.), руб/чел.-ч</t>
        </is>
      </c>
      <c r="C29" s="235" t="inlineStr">
        <is>
          <t>ФОТр.тек.</t>
        </is>
      </c>
      <c r="D29" s="235" t="inlineStr">
        <is>
          <t>(С1ср/tср*КТ*Т*Кув)*Кинф</t>
        </is>
      </c>
      <c r="E29" s="210">
        <f>((E23*E25/E24)*E27)*E28</f>
        <v/>
      </c>
      <c r="F29" s="19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188" t="n"/>
    </row>
    <row r="30" ht="15.75" customHeight="1" s="186">
      <c r="A30" s="211" t="n"/>
      <c r="B30" s="206" t="inlineStr">
        <is>
          <t>Инженер II категории</t>
        </is>
      </c>
      <c r="C30" s="206" t="n"/>
      <c r="D30" s="206" t="n"/>
      <c r="E30" s="206" t="n"/>
      <c r="F30" s="207" t="n"/>
    </row>
    <row r="31" ht="110.25" customHeight="1" s="186">
      <c r="A31" s="190" t="inlineStr">
        <is>
          <t>1.1</t>
        </is>
      </c>
      <c r="B31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235" t="inlineStr">
        <is>
          <t>С1ср</t>
        </is>
      </c>
      <c r="D31" s="235" t="inlineStr">
        <is>
          <t>-</t>
        </is>
      </c>
      <c r="E31" s="193" t="n">
        <v>47872.94</v>
      </c>
      <c r="F31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188" t="n"/>
    </row>
    <row r="32" ht="31.5" customHeight="1" s="186">
      <c r="A32" s="190" t="inlineStr">
        <is>
          <t>1.2</t>
        </is>
      </c>
      <c r="B32" s="195" t="inlineStr">
        <is>
          <t>Среднегодовое нормативное число часов работы одного рабочего в месяц, часы (ч.)</t>
        </is>
      </c>
      <c r="C32" s="235" t="inlineStr">
        <is>
          <t>tср</t>
        </is>
      </c>
      <c r="D32" s="235" t="inlineStr">
        <is>
          <t>1973ч/12мес.</t>
        </is>
      </c>
      <c r="E32" s="194">
        <f>1973/12</f>
        <v/>
      </c>
      <c r="F32" s="195" t="inlineStr">
        <is>
          <t>Производственный календарь 2023 год
(40-часов.неделя)</t>
        </is>
      </c>
      <c r="G32" s="197" t="n"/>
    </row>
    <row r="33" ht="15.75" customHeight="1" s="186">
      <c r="A33" s="190" t="inlineStr">
        <is>
          <t>1.3</t>
        </is>
      </c>
      <c r="B33" s="195" t="inlineStr">
        <is>
          <t>Коэффициент увеличения</t>
        </is>
      </c>
      <c r="C33" s="235" t="inlineStr">
        <is>
          <t>Кув</t>
        </is>
      </c>
      <c r="D33" s="235" t="inlineStr">
        <is>
          <t>-</t>
        </is>
      </c>
      <c r="E33" s="194" t="n">
        <v>1</v>
      </c>
      <c r="F33" s="195" t="n"/>
      <c r="G33" s="197" t="n"/>
    </row>
    <row r="34" ht="15.75" customHeight="1" s="186">
      <c r="A34" s="190" t="inlineStr">
        <is>
          <t>1.4</t>
        </is>
      </c>
      <c r="B34" s="195" t="inlineStr">
        <is>
          <t>Средний разряд работ</t>
        </is>
      </c>
      <c r="C34" s="235" t="n"/>
      <c r="D34" s="235" t="n"/>
      <c r="E34" s="343" t="inlineStr">
        <is>
          <t>Инженер II категории</t>
        </is>
      </c>
      <c r="F34" s="195" t="inlineStr">
        <is>
          <t>РТМ</t>
        </is>
      </c>
      <c r="G34" s="197" t="n"/>
    </row>
    <row r="35" ht="78.75" customHeight="1" s="186">
      <c r="A35" s="203" t="inlineStr">
        <is>
          <t>1.5</t>
        </is>
      </c>
      <c r="B35" s="205" t="inlineStr">
        <is>
          <t>Тарифный коэффициент среднего разряда работ</t>
        </is>
      </c>
      <c r="C35" s="236" t="inlineStr">
        <is>
          <t>КТ</t>
        </is>
      </c>
      <c r="D35" s="236" t="inlineStr">
        <is>
          <t>-</t>
        </is>
      </c>
      <c r="E35" s="346" t="n">
        <v>1.96</v>
      </c>
      <c r="F35" s="20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188" t="n"/>
    </row>
    <row r="36" ht="78.75" customHeight="1" s="186">
      <c r="A36" s="190" t="inlineStr">
        <is>
          <t>1.6</t>
        </is>
      </c>
      <c r="B36" s="214" t="inlineStr">
        <is>
          <t>Коэффициент инфляции, определяемый поквартально</t>
        </is>
      </c>
      <c r="C36" s="235" t="inlineStr">
        <is>
          <t>Кинф</t>
        </is>
      </c>
      <c r="D36" s="235" t="inlineStr">
        <is>
          <t>-</t>
        </is>
      </c>
      <c r="E36" s="347" t="n">
        <v>1.139</v>
      </c>
      <c r="F36" s="20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197" t="inlineStr">
        <is>
          <t>https://economy.gov.ru/material/directions/makroec/prognozy_socialno_ekonomicheskogo_razvitiya/prognoz_socialno_ekonomicheskogo_razvitiya_rf_na_period_do_2024_goda_.html</t>
        </is>
      </c>
    </row>
    <row r="37" ht="63" customHeight="1" s="186">
      <c r="A37" s="190" t="inlineStr">
        <is>
          <t>1.7</t>
        </is>
      </c>
      <c r="B37" s="209" t="inlineStr">
        <is>
          <t>Размер средств на оплату труда рабочих-строителей в текущем уровне цен (ФОТр.тек.), руб/чел.-ч</t>
        </is>
      </c>
      <c r="C37" s="235" t="inlineStr">
        <is>
          <t>ФОТр.тек.</t>
        </is>
      </c>
      <c r="D37" s="235" t="inlineStr">
        <is>
          <t>(С1ср/tср*КТ*Т*Кув)*Кинф</t>
        </is>
      </c>
      <c r="E37" s="210">
        <f>((E31*E33/E32)*E35)*E36</f>
        <v/>
      </c>
      <c r="F37" s="19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188" t="n"/>
    </row>
    <row r="38" ht="15.75" customHeight="1" s="186">
      <c r="A38" s="211" t="n"/>
      <c r="B38" s="206" t="inlineStr">
        <is>
          <t>Инженер III категории</t>
        </is>
      </c>
      <c r="C38" s="206" t="n"/>
      <c r="D38" s="206" t="n"/>
      <c r="E38" s="206" t="n"/>
      <c r="F38" s="207" t="n"/>
    </row>
    <row r="39" ht="110.25" customHeight="1" s="186">
      <c r="A39" s="190" t="inlineStr">
        <is>
          <t>1.1</t>
        </is>
      </c>
      <c r="B39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235" t="inlineStr">
        <is>
          <t>С1ср</t>
        </is>
      </c>
      <c r="D39" s="235" t="inlineStr">
        <is>
          <t>-</t>
        </is>
      </c>
      <c r="E39" s="193" t="n">
        <v>47872.94</v>
      </c>
      <c r="F39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188" t="n"/>
    </row>
    <row r="40" ht="31.5" customHeight="1" s="186">
      <c r="A40" s="190" t="inlineStr">
        <is>
          <t>1.2</t>
        </is>
      </c>
      <c r="B40" s="195" t="inlineStr">
        <is>
          <t>Среднегодовое нормативное число часов работы одного рабочего в месяц, часы (ч.)</t>
        </is>
      </c>
      <c r="C40" s="235" t="inlineStr">
        <is>
          <t>tср</t>
        </is>
      </c>
      <c r="D40" s="235" t="inlineStr">
        <is>
          <t>1973ч/12мес.</t>
        </is>
      </c>
      <c r="E40" s="194">
        <f>1973/12</f>
        <v/>
      </c>
      <c r="F40" s="195" t="inlineStr">
        <is>
          <t>Производственный календарь 2023 год
(40-часов.неделя)</t>
        </is>
      </c>
      <c r="G40" s="197" t="n"/>
    </row>
    <row r="41" ht="15.75" customHeight="1" s="186">
      <c r="A41" s="190" t="inlineStr">
        <is>
          <t>1.3</t>
        </is>
      </c>
      <c r="B41" s="195" t="inlineStr">
        <is>
          <t>Коэффициент увеличения</t>
        </is>
      </c>
      <c r="C41" s="235" t="inlineStr">
        <is>
          <t>Кув</t>
        </is>
      </c>
      <c r="D41" s="235" t="inlineStr">
        <is>
          <t>-</t>
        </is>
      </c>
      <c r="E41" s="194" t="n">
        <v>1</v>
      </c>
      <c r="F41" s="195" t="n"/>
      <c r="G41" s="197" t="n"/>
    </row>
    <row r="42" ht="15.75" customHeight="1" s="186">
      <c r="A42" s="190" t="inlineStr">
        <is>
          <t>1.4</t>
        </is>
      </c>
      <c r="B42" s="195" t="inlineStr">
        <is>
          <t>Средний разряд работ</t>
        </is>
      </c>
      <c r="C42" s="235" t="n"/>
      <c r="D42" s="235" t="n"/>
      <c r="E42" s="343" t="inlineStr">
        <is>
          <t>Инженер III категории</t>
        </is>
      </c>
      <c r="F42" s="195" t="inlineStr">
        <is>
          <t>РТМ</t>
        </is>
      </c>
      <c r="G42" s="197" t="n"/>
    </row>
    <row r="43" ht="78.75" customHeight="1" s="186">
      <c r="A43" s="203" t="inlineStr">
        <is>
          <t>1.5</t>
        </is>
      </c>
      <c r="B43" s="205" t="inlineStr">
        <is>
          <t>Тарифный коэффициент среднего разряда работ</t>
        </is>
      </c>
      <c r="C43" s="236" t="inlineStr">
        <is>
          <t>КТ</t>
        </is>
      </c>
      <c r="D43" s="236" t="inlineStr">
        <is>
          <t>-</t>
        </is>
      </c>
      <c r="E43" s="346" t="n">
        <v>1.76</v>
      </c>
      <c r="F43" s="20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188" t="n"/>
    </row>
    <row r="44" ht="78.75" customHeight="1" s="186">
      <c r="A44" s="190" t="inlineStr">
        <is>
          <t>1.6</t>
        </is>
      </c>
      <c r="B44" s="214" t="inlineStr">
        <is>
          <t>Коэффициент инфляции, определяемый поквартально</t>
        </is>
      </c>
      <c r="C44" s="235" t="inlineStr">
        <is>
          <t>Кинф</t>
        </is>
      </c>
      <c r="D44" s="235" t="inlineStr">
        <is>
          <t>-</t>
        </is>
      </c>
      <c r="E44" s="347" t="n">
        <v>1.139</v>
      </c>
      <c r="F44" s="20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197" t="inlineStr">
        <is>
          <t>https://economy.gov.ru/material/directions/makroec/prognozy_socialno_ekonomicheskogo_razvitiya/prognoz_socialno_ekonomicheskogo_razvitiya_rf_na_period_do_2024_goda_.html</t>
        </is>
      </c>
    </row>
    <row r="45" ht="63" customHeight="1" s="186">
      <c r="A45" s="190" t="inlineStr">
        <is>
          <t>1.7</t>
        </is>
      </c>
      <c r="B45" s="209" t="inlineStr">
        <is>
          <t>Размер средств на оплату труда рабочих-строителей в текущем уровне цен (ФОТр.тек.), руб/чел.-ч</t>
        </is>
      </c>
      <c r="C45" s="235" t="inlineStr">
        <is>
          <t>ФОТр.тек.</t>
        </is>
      </c>
      <c r="D45" s="235" t="inlineStr">
        <is>
          <t>(С1ср/tср*КТ*Т*Кув)*Кинф</t>
        </is>
      </c>
      <c r="E45" s="210">
        <f>((E39*E41/E40)*E43)*E44</f>
        <v/>
      </c>
      <c r="F45" s="19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188" t="n"/>
    </row>
    <row r="46" ht="15.75" customHeight="1" s="186">
      <c r="A46" s="211" t="n"/>
      <c r="B46" s="206" t="inlineStr">
        <is>
          <t>Техник I категории</t>
        </is>
      </c>
      <c r="C46" s="206" t="n"/>
      <c r="D46" s="206" t="n"/>
      <c r="E46" s="206" t="n"/>
      <c r="F46" s="207" t="n"/>
    </row>
    <row r="47" ht="110.25" customHeight="1" s="186">
      <c r="A47" s="190" t="inlineStr">
        <is>
          <t>1.1</t>
        </is>
      </c>
      <c r="B47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235" t="inlineStr">
        <is>
          <t>С1ср</t>
        </is>
      </c>
      <c r="D47" s="235" t="inlineStr">
        <is>
          <t>-</t>
        </is>
      </c>
      <c r="E47" s="193" t="n">
        <v>47872.94</v>
      </c>
      <c r="F47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188" t="n"/>
    </row>
    <row r="48" ht="31.5" customHeight="1" s="186">
      <c r="A48" s="190" t="inlineStr">
        <is>
          <t>1.2</t>
        </is>
      </c>
      <c r="B48" s="195" t="inlineStr">
        <is>
          <t>Среднегодовое нормативное число часов работы одного рабочего в месяц, часы (ч.)</t>
        </is>
      </c>
      <c r="C48" s="235" t="inlineStr">
        <is>
          <t>tср</t>
        </is>
      </c>
      <c r="D48" s="235" t="inlineStr">
        <is>
          <t>1973ч/12мес.</t>
        </is>
      </c>
      <c r="E48" s="194">
        <f>1973/12</f>
        <v/>
      </c>
      <c r="F48" s="195" t="inlineStr">
        <is>
          <t>Производственный календарь 2023 год
(40-часов.неделя)</t>
        </is>
      </c>
      <c r="G48" s="197" t="n"/>
    </row>
    <row r="49" ht="15.75" customHeight="1" s="186">
      <c r="A49" s="190" t="inlineStr">
        <is>
          <t>1.3</t>
        </is>
      </c>
      <c r="B49" s="195" t="inlineStr">
        <is>
          <t>Коэффициент увеличения</t>
        </is>
      </c>
      <c r="C49" s="235" t="inlineStr">
        <is>
          <t>Кув</t>
        </is>
      </c>
      <c r="D49" s="235" t="inlineStr">
        <is>
          <t>-</t>
        </is>
      </c>
      <c r="E49" s="194" t="n">
        <v>1</v>
      </c>
      <c r="F49" s="195" t="n"/>
      <c r="G49" s="197" t="n"/>
    </row>
    <row r="50" ht="15.75" customHeight="1" s="186">
      <c r="A50" s="190" t="inlineStr">
        <is>
          <t>1.4</t>
        </is>
      </c>
      <c r="B50" s="195" t="inlineStr">
        <is>
          <t>Средний разряд работ</t>
        </is>
      </c>
      <c r="C50" s="235" t="n"/>
      <c r="D50" s="235" t="n"/>
      <c r="E50" s="343" t="inlineStr">
        <is>
          <t>Техник I категории</t>
        </is>
      </c>
      <c r="F50" s="195" t="inlineStr">
        <is>
          <t>РТМ</t>
        </is>
      </c>
      <c r="G50" s="197" t="n"/>
    </row>
    <row r="51" ht="78.75" customHeight="1" s="186">
      <c r="A51" s="203" t="inlineStr">
        <is>
          <t>1.5</t>
        </is>
      </c>
      <c r="B51" s="205" t="inlineStr">
        <is>
          <t>Тарифный коэффициент среднего разряда работ</t>
        </is>
      </c>
      <c r="C51" s="236" t="inlineStr">
        <is>
          <t>КТ</t>
        </is>
      </c>
      <c r="D51" s="236" t="inlineStr">
        <is>
          <t>-</t>
        </is>
      </c>
      <c r="E51" s="346" t="n">
        <v>1.42</v>
      </c>
      <c r="F51" s="20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188" t="n"/>
    </row>
    <row r="52" ht="78.75" customHeight="1" s="186">
      <c r="A52" s="190" t="inlineStr">
        <is>
          <t>1.6</t>
        </is>
      </c>
      <c r="B52" s="214" t="inlineStr">
        <is>
          <t>Коэффициент инфляции, определяемый поквартально</t>
        </is>
      </c>
      <c r="C52" s="235" t="inlineStr">
        <is>
          <t>Кинф</t>
        </is>
      </c>
      <c r="D52" s="235" t="inlineStr">
        <is>
          <t>-</t>
        </is>
      </c>
      <c r="E52" s="347" t="n">
        <v>1.139</v>
      </c>
      <c r="F52" s="20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197" t="inlineStr">
        <is>
          <t>https://economy.gov.ru/material/directions/makroec/prognozy_socialno_ekonomicheskogo_razvitiya/prognoz_socialno_ekonomicheskogo_razvitiya_rf_na_period_do_2024_goda_.html</t>
        </is>
      </c>
    </row>
    <row r="53" ht="63" customHeight="1" s="186">
      <c r="A53" s="190" t="inlineStr">
        <is>
          <t>1.7</t>
        </is>
      </c>
      <c r="B53" s="209" t="inlineStr">
        <is>
          <t>Размер средств на оплату труда рабочих-строителей в текущем уровне цен (ФОТр.тек.), руб/чел.-ч</t>
        </is>
      </c>
      <c r="C53" s="235" t="inlineStr">
        <is>
          <t>ФОТр.тек.</t>
        </is>
      </c>
      <c r="D53" s="235" t="inlineStr">
        <is>
          <t>(С1ср/tср*КТ*Т*Кув)*Кинф</t>
        </is>
      </c>
      <c r="E53" s="210">
        <f>((E47*E49/E48)*E51)*E52</f>
        <v/>
      </c>
      <c r="F53" s="19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188" t="n"/>
    </row>
    <row r="54" ht="15.75" customHeight="1" s="186">
      <c r="A54" s="211" t="n"/>
      <c r="B54" s="206" t="inlineStr">
        <is>
          <t>Техник II категории</t>
        </is>
      </c>
      <c r="C54" s="206" t="n"/>
      <c r="D54" s="206" t="n"/>
      <c r="E54" s="206" t="n"/>
      <c r="F54" s="207" t="n"/>
    </row>
    <row r="55" ht="110.25" customHeight="1" s="186">
      <c r="A55" s="190" t="inlineStr">
        <is>
          <t>1.1</t>
        </is>
      </c>
      <c r="B55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55" s="235" t="inlineStr">
        <is>
          <t>С1ср</t>
        </is>
      </c>
      <c r="D55" s="235" t="inlineStr">
        <is>
          <t>-</t>
        </is>
      </c>
      <c r="E55" s="193" t="n">
        <v>47872.94</v>
      </c>
      <c r="F55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56" ht="31.5" customHeight="1" s="186">
      <c r="A56" s="190" t="inlineStr">
        <is>
          <t>1.2</t>
        </is>
      </c>
      <c r="B56" s="195" t="inlineStr">
        <is>
          <t>Среднегодовое нормативное число часов работы одного рабочего в месяц, часы (ч.)</t>
        </is>
      </c>
      <c r="C56" s="235" t="inlineStr">
        <is>
          <t>tср</t>
        </is>
      </c>
      <c r="D56" s="235" t="inlineStr">
        <is>
          <t>1973ч/12мес.</t>
        </is>
      </c>
      <c r="E56" s="194">
        <f>1973/12</f>
        <v/>
      </c>
      <c r="F56" s="195" t="inlineStr">
        <is>
          <t>Производственный календарь 2023 год
(40-часов.неделя)</t>
        </is>
      </c>
    </row>
    <row r="57" ht="15.75" customHeight="1" s="186">
      <c r="A57" s="190" t="inlineStr">
        <is>
          <t>1.3</t>
        </is>
      </c>
      <c r="B57" s="195" t="inlineStr">
        <is>
          <t>Коэффициент увеличения</t>
        </is>
      </c>
      <c r="C57" s="235" t="inlineStr">
        <is>
          <t>Кув</t>
        </is>
      </c>
      <c r="D57" s="235" t="inlineStr">
        <is>
          <t>-</t>
        </is>
      </c>
      <c r="E57" s="194" t="n">
        <v>1</v>
      </c>
      <c r="F57" s="195" t="n"/>
    </row>
    <row r="58" ht="15.75" customHeight="1" s="186">
      <c r="A58" s="190" t="inlineStr">
        <is>
          <t>1.4</t>
        </is>
      </c>
      <c r="B58" s="195" t="inlineStr">
        <is>
          <t>Средний разряд работ</t>
        </is>
      </c>
      <c r="C58" s="235" t="n"/>
      <c r="D58" s="235" t="n"/>
      <c r="E58" s="343" t="inlineStr">
        <is>
          <t>Техник II категории</t>
        </is>
      </c>
      <c r="F58" s="195" t="inlineStr">
        <is>
          <t>РТМ</t>
        </is>
      </c>
    </row>
    <row r="59" ht="78.75" customHeight="1" s="186">
      <c r="A59" s="203" t="inlineStr">
        <is>
          <t>1.5</t>
        </is>
      </c>
      <c r="B59" s="205" t="inlineStr">
        <is>
          <t>Тарифный коэффициент среднего разряда работ</t>
        </is>
      </c>
      <c r="C59" s="236" t="inlineStr">
        <is>
          <t>КТ</t>
        </is>
      </c>
      <c r="D59" s="236" t="inlineStr">
        <is>
          <t>-</t>
        </is>
      </c>
      <c r="E59" s="347" t="n">
        <v>1.28</v>
      </c>
      <c r="F59" s="20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60" ht="78.75" customHeight="1" s="186">
      <c r="A60" s="190" t="inlineStr">
        <is>
          <t>1.6</t>
        </is>
      </c>
      <c r="B60" s="214" t="inlineStr">
        <is>
          <t>Коэффициент инфляции, определяемый поквартально</t>
        </is>
      </c>
      <c r="C60" s="235" t="inlineStr">
        <is>
          <t>Кинф</t>
        </is>
      </c>
      <c r="D60" s="235" t="inlineStr">
        <is>
          <t>-</t>
        </is>
      </c>
      <c r="E60" s="347" t="n">
        <v>1.139</v>
      </c>
      <c r="F60" s="20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61" ht="63" customHeight="1" s="186">
      <c r="A61" s="190" t="inlineStr">
        <is>
          <t>1.7</t>
        </is>
      </c>
      <c r="B61" s="209" t="inlineStr">
        <is>
          <t>Размер средств на оплату труда рабочих-строителей в текущем уровне цен (ФОТр.тек.), руб/чел.-ч</t>
        </is>
      </c>
      <c r="C61" s="235" t="inlineStr">
        <is>
          <t>ФОТр.тек.</t>
        </is>
      </c>
      <c r="D61" s="235" t="inlineStr">
        <is>
          <t>(С1ср/tср*КТ*Т*Кув)*Кинф</t>
        </is>
      </c>
      <c r="E61" s="210">
        <f>((E55*E57/E56)*E59)*E60</f>
        <v/>
      </c>
      <c r="F61" s="19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  <hyperlink xmlns:r="http://schemas.openxmlformats.org/officeDocument/2006/relationships" ref="G36" r:id="rId4"/>
    <hyperlink xmlns:r="http://schemas.openxmlformats.org/officeDocument/2006/relationships" ref="G44" r:id="rId5"/>
    <hyperlink xmlns:r="http://schemas.openxmlformats.org/officeDocument/2006/relationships" ref="G52" r:id="rId6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2025-01-24T11:51:57Z</dcterms:modified>
  <cp:lastModifiedBy>Николай Трофименко</cp:lastModifiedBy>
  <cp:lastPrinted>2023-12-01T09:43:04Z</cp:lastPrinted>
</cp:coreProperties>
</file>