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84" customHeight="1" s="186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31" t="inlineStr">
        <is>
          <t>Наименование разрабатываемого показателя УНЦ - Установка пункта коммерческого учета (ПКУ) ЭЭ класса напряжения 6-15 кВ на проводах ВЛ</t>
        </is>
      </c>
    </row>
    <row r="8" ht="31.5" customHeight="1" s="186">
      <c r="B8" s="231" t="inlineStr">
        <is>
          <t>Сопоставимый уровень цен: 3 кв. 2019 г.</t>
        </is>
      </c>
    </row>
    <row r="9" ht="15.75" customHeight="1" s="186">
      <c r="B9" s="231" t="inlineStr">
        <is>
          <t>Единица измерения  — 1 ед.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40" t="n"/>
    </row>
    <row r="12" ht="96.75" customHeight="1" s="186">
      <c r="B12" s="235" t="n">
        <v>1</v>
      </c>
      <c r="C12" s="214" t="inlineStr">
        <is>
          <t>Наименование объекта-представителя</t>
        </is>
      </c>
      <c r="D12" s="235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35" t="n">
        <v>2</v>
      </c>
      <c r="C13" s="214" t="inlineStr">
        <is>
          <t>Наименование субъекта Российской Федерации</t>
        </is>
      </c>
      <c r="D13" s="219" t="inlineStr">
        <is>
          <t>Республика Калмыкия</t>
        </is>
      </c>
    </row>
    <row r="14">
      <c r="B14" s="235" t="n">
        <v>3</v>
      </c>
      <c r="C14" s="214" t="inlineStr">
        <is>
          <t>Климатический район и подрайон</t>
        </is>
      </c>
      <c r="D14" s="235" t="inlineStr">
        <is>
          <t>IVГ</t>
        </is>
      </c>
    </row>
    <row r="15">
      <c r="B15" s="235" t="n">
        <v>4</v>
      </c>
      <c r="C15" s="214" t="inlineStr">
        <is>
          <t>Мощность объекта</t>
        </is>
      </c>
      <c r="D15" s="235" t="n">
        <v>1</v>
      </c>
    </row>
    <row r="16" ht="63" customHeight="1" s="186">
      <c r="B16" s="235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ПКУ ЭЭ класса напряжения 6-15 кВ на проводах ВЛ</t>
        </is>
      </c>
    </row>
    <row r="17" ht="79.5" customHeight="1" s="186">
      <c r="B17" s="235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14" t="inlineStr">
        <is>
          <t>строительно-монтажные работы</t>
        </is>
      </c>
      <c r="D18" s="144" t="n">
        <v>9.106356</v>
      </c>
    </row>
    <row r="19" ht="15.75" customHeight="1" s="186">
      <c r="B19" s="146" t="inlineStr">
        <is>
          <t>6.2</t>
        </is>
      </c>
      <c r="C19" s="214" t="inlineStr">
        <is>
          <t>оборудование и инвентарь</t>
        </is>
      </c>
      <c r="D19" s="144" t="n">
        <v>299.980371</v>
      </c>
    </row>
    <row r="20" ht="16.5" customHeight="1" s="186">
      <c r="B20" s="146" t="inlineStr">
        <is>
          <t>6.3</t>
        </is>
      </c>
      <c r="C20" s="214" t="inlineStr">
        <is>
          <t>пусконаладочные работы</t>
        </is>
      </c>
      <c r="D20" s="144" t="n"/>
    </row>
    <row r="21" ht="35.2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35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35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35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" customHeight="1" s="186">
      <c r="B25" s="235" t="n">
        <v>10</v>
      </c>
      <c r="C25" s="214" t="inlineStr">
        <is>
          <t>Примечание</t>
        </is>
      </c>
      <c r="D25" s="235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29" t="inlineStr">
        <is>
          <t>Приложение № 2</t>
        </is>
      </c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186">
      <c r="B8" s="106" t="n"/>
    </row>
    <row r="9" ht="15.75" customHeight="1" s="186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26" t="n"/>
      <c r="F9" s="326" t="n"/>
      <c r="G9" s="326" t="n"/>
      <c r="H9" s="326" t="n"/>
      <c r="I9" s="326" t="n"/>
      <c r="J9" s="327" t="n"/>
    </row>
    <row r="10" ht="15.75" customHeight="1" s="186">
      <c r="B10" s="328" t="n"/>
      <c r="C10" s="328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3 кв. 2019г., тыс. руб.</t>
        </is>
      </c>
      <c r="G10" s="326" t="n"/>
      <c r="H10" s="326" t="n"/>
      <c r="I10" s="326" t="n"/>
      <c r="J10" s="327" t="n"/>
    </row>
    <row r="11" ht="81" customHeight="1" s="186">
      <c r="B11" s="329" t="n"/>
      <c r="C11" s="329" t="n"/>
      <c r="D11" s="329" t="n"/>
      <c r="E11" s="329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39" customHeight="1" s="186">
      <c r="B12" s="235" t="n">
        <v>1</v>
      </c>
      <c r="C12" s="235" t="inlineStr">
        <is>
          <t>ПКУ ЭЭ класса напряжения 6-15 кВ на проводах ВЛ</t>
        </is>
      </c>
      <c r="D12" s="213" t="inlineStr">
        <is>
          <t>02-01-01</t>
        </is>
      </c>
      <c r="E12" s="214" t="inlineStr">
        <is>
          <t>Установка ПКУ 10 кВ</t>
        </is>
      </c>
      <c r="F12" s="214" t="n"/>
      <c r="G12" s="215" t="n">
        <v>9.106356</v>
      </c>
      <c r="H12" s="215" t="n">
        <v>299.980371</v>
      </c>
      <c r="I12" s="215" t="n"/>
      <c r="J12" s="215" t="n">
        <v>309.086727</v>
      </c>
    </row>
    <row r="13" ht="15.75" customHeight="1" s="186">
      <c r="B13" s="233" t="inlineStr">
        <is>
          <t>Всего по объекту:</t>
        </is>
      </c>
      <c r="C13" s="330" t="n"/>
      <c r="D13" s="330" t="n"/>
      <c r="E13" s="331" t="n"/>
      <c r="F13" s="216" t="n"/>
      <c r="G13" s="217" t="n">
        <v>9.106356</v>
      </c>
      <c r="H13" s="217" t="n">
        <v>299.980371</v>
      </c>
      <c r="I13" s="217" t="n"/>
      <c r="J13" s="217" t="n">
        <v>309.086727</v>
      </c>
    </row>
    <row r="14">
      <c r="B14" s="234" t="inlineStr">
        <is>
          <t>Всего по объекту в сопоставимом уровне цен 3 кв. 2019г:</t>
        </is>
      </c>
      <c r="C14" s="326" t="n"/>
      <c r="D14" s="326" t="n"/>
      <c r="E14" s="327" t="n"/>
      <c r="F14" s="113" t="n"/>
      <c r="G14" s="218" t="n">
        <v>9.106356</v>
      </c>
      <c r="H14" s="218" t="n">
        <v>299.980371</v>
      </c>
      <c r="I14" s="218" t="n"/>
      <c r="J14" s="218" t="n">
        <v>309.086727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30" zoomScale="85" workbookViewId="0">
      <selection activeCell="E46" sqref="E46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 s="186">
      <c r="A4" s="153" t="n"/>
      <c r="B4" s="153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 ht="33.75" customHeight="1" s="186">
      <c r="A6" s="241" t="inlineStr">
        <is>
          <t>Наименование разрабатываемого показателя УНЦ - Установка пункта коммерческого учета (ПКУ) ЭЭ класса напряжения 6-15 кВ на проводах ВЛ</t>
        </is>
      </c>
    </row>
    <row r="7" ht="33.75" customHeight="1" s="186">
      <c r="A7" s="241" t="n"/>
      <c r="B7" s="241" t="n"/>
      <c r="C7" s="241" t="n"/>
      <c r="D7" s="241" t="n"/>
      <c r="E7" s="241" t="n"/>
      <c r="F7" s="241" t="n"/>
      <c r="G7" s="241" t="n"/>
      <c r="H7" s="241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27" t="n"/>
    </row>
    <row r="10" ht="40.5" customHeight="1" s="186">
      <c r="A10" s="329" t="n"/>
      <c r="B10" s="329" t="n"/>
      <c r="C10" s="329" t="n"/>
      <c r="D10" s="329" t="n"/>
      <c r="E10" s="329" t="n"/>
      <c r="F10" s="329" t="n"/>
      <c r="G10" s="235" t="inlineStr">
        <is>
          <t>на ед.изм.</t>
        </is>
      </c>
      <c r="H10" s="235" t="inlineStr">
        <is>
          <t>общая</t>
        </is>
      </c>
    </row>
    <row r="11">
      <c r="A11" s="236" t="n">
        <v>1</v>
      </c>
      <c r="B11" s="236" t="n"/>
      <c r="C11" s="236" t="n">
        <v>2</v>
      </c>
      <c r="D11" s="236" t="inlineStr">
        <is>
          <t>З</t>
        </is>
      </c>
      <c r="E11" s="236" t="n">
        <v>4</v>
      </c>
      <c r="F11" s="236" t="n">
        <v>5</v>
      </c>
      <c r="G11" s="236" t="n">
        <v>6</v>
      </c>
      <c r="H11" s="236" t="n">
        <v>7</v>
      </c>
    </row>
    <row r="12" customFormat="1" s="156">
      <c r="A12" s="238" t="inlineStr">
        <is>
          <t>Затраты труда рабочих</t>
        </is>
      </c>
      <c r="B12" s="326" t="n"/>
      <c r="C12" s="326" t="n"/>
      <c r="D12" s="326" t="n"/>
      <c r="E12" s="327" t="n"/>
      <c r="F12" s="332" t="n">
        <v>62.91</v>
      </c>
      <c r="G12" s="10" t="n"/>
      <c r="H12" s="332">
        <f>SUM(H13:H19)</f>
        <v/>
      </c>
      <c r="J12" s="188" t="n"/>
    </row>
    <row r="13">
      <c r="A13" s="269" t="n">
        <v>1</v>
      </c>
      <c r="B13" s="123" t="n"/>
      <c r="C13" s="128" t="inlineStr">
        <is>
          <t>10-3-2</t>
        </is>
      </c>
      <c r="D13" s="129" t="inlineStr">
        <is>
          <t>Инженер II категории</t>
        </is>
      </c>
      <c r="E13" s="269" t="inlineStr">
        <is>
          <t>чел.-ч</t>
        </is>
      </c>
      <c r="F13" s="333" t="n">
        <v>19.86</v>
      </c>
      <c r="G13" s="124" t="n">
        <v>14.09</v>
      </c>
      <c r="H13" s="124">
        <f>ROUND(F13*G13,2)</f>
        <v/>
      </c>
      <c r="M13" s="334" t="n"/>
    </row>
    <row r="14">
      <c r="A14" s="269" t="n">
        <v>2</v>
      </c>
      <c r="B14" s="123" t="n"/>
      <c r="C14" s="128" t="inlineStr">
        <is>
          <t>10-3-1</t>
        </is>
      </c>
      <c r="D14" s="129" t="inlineStr">
        <is>
          <t>Инженер I категории</t>
        </is>
      </c>
      <c r="E14" s="269" t="inlineStr">
        <is>
          <t>чел.-ч</t>
        </is>
      </c>
      <c r="F14" s="333" t="n">
        <v>17.72</v>
      </c>
      <c r="G14" s="124" t="n">
        <v>15.49</v>
      </c>
      <c r="H14" s="124">
        <f>ROUND(F14*G14,2)</f>
        <v/>
      </c>
      <c r="M14" s="334" t="n"/>
    </row>
    <row r="15">
      <c r="A15" s="269" t="n">
        <v>3</v>
      </c>
      <c r="B15" s="123" t="n"/>
      <c r="C15" s="128" t="inlineStr">
        <is>
          <t>1-4-0</t>
        </is>
      </c>
      <c r="D15" s="129" t="inlineStr">
        <is>
          <t>Затраты труда рабочих (ср 4)</t>
        </is>
      </c>
      <c r="E15" s="269" t="inlineStr">
        <is>
          <t>чел.-ч</t>
        </is>
      </c>
      <c r="F15" s="333" t="n">
        <v>18.56</v>
      </c>
      <c r="G15" s="124" t="n">
        <v>9.619999999999999</v>
      </c>
      <c r="H15" s="124">
        <f>ROUND(F15*G15,2)</f>
        <v/>
      </c>
      <c r="M15" s="334" t="n"/>
    </row>
    <row r="16">
      <c r="A16" s="269" t="n">
        <v>4</v>
      </c>
      <c r="B16" s="123" t="n"/>
      <c r="C16" s="128" t="inlineStr">
        <is>
          <t>1-3-3</t>
        </is>
      </c>
      <c r="D16" s="129" t="inlineStr">
        <is>
          <t>Затраты труда рабочих (ср 3,3)</t>
        </is>
      </c>
      <c r="E16" s="269" t="inlineStr">
        <is>
          <t>чел.-ч</t>
        </is>
      </c>
      <c r="F16" s="333" t="n">
        <v>3.76</v>
      </c>
      <c r="G16" s="124" t="n">
        <v>8.859999999999999</v>
      </c>
      <c r="H16" s="124">
        <f>ROUND(F16*G16,2)</f>
        <v/>
      </c>
      <c r="M16" s="334" t="n"/>
    </row>
    <row r="17">
      <c r="A17" s="269" t="n">
        <v>5</v>
      </c>
      <c r="B17" s="123" t="n"/>
      <c r="C17" s="128" t="inlineStr">
        <is>
          <t>10-3-3</t>
        </is>
      </c>
      <c r="D17" s="129" t="inlineStr">
        <is>
          <t>Инженер III категории</t>
        </is>
      </c>
      <c r="E17" s="269" t="inlineStr">
        <is>
          <t>чел.-ч</t>
        </is>
      </c>
      <c r="F17" s="333" t="n">
        <v>1.72</v>
      </c>
      <c r="G17" s="124" t="n">
        <v>12.69</v>
      </c>
      <c r="H17" s="124">
        <f>ROUND(F17*G17,2)</f>
        <v/>
      </c>
      <c r="M17" s="334" t="n"/>
    </row>
    <row r="18">
      <c r="A18" s="269" t="n">
        <v>6</v>
      </c>
      <c r="B18" s="123" t="n"/>
      <c r="C18" s="128" t="inlineStr">
        <is>
          <t>10-2-1</t>
        </is>
      </c>
      <c r="D18" s="129" t="inlineStr">
        <is>
          <t>Ведущий инженер</t>
        </is>
      </c>
      <c r="E18" s="269" t="inlineStr">
        <is>
          <t>чел.-ч</t>
        </is>
      </c>
      <c r="F18" s="333" t="n">
        <v>0.86</v>
      </c>
      <c r="G18" s="124" t="n">
        <v>16.93</v>
      </c>
      <c r="H18" s="124">
        <f>ROUND(F18*G18,2)</f>
        <v/>
      </c>
      <c r="M18" s="334" t="n"/>
    </row>
    <row r="19">
      <c r="A19" s="269" t="n">
        <v>7</v>
      </c>
      <c r="B19" s="123" t="n"/>
      <c r="C19" s="128" t="inlineStr">
        <is>
          <t>10-4-1</t>
        </is>
      </c>
      <c r="D19" s="129" t="inlineStr">
        <is>
          <t>Техник I категории</t>
        </is>
      </c>
      <c r="E19" s="269" t="inlineStr">
        <is>
          <t>чел.-ч</t>
        </is>
      </c>
      <c r="F19" s="333" t="n">
        <v>0.43</v>
      </c>
      <c r="G19" s="124" t="n">
        <v>10.21</v>
      </c>
      <c r="H19" s="124">
        <f>ROUND(F19*G19,2)</f>
        <v/>
      </c>
      <c r="M19" s="334" t="n"/>
    </row>
    <row r="20">
      <c r="A20" s="237" t="inlineStr">
        <is>
          <t>Затраты труда машинистов</t>
        </is>
      </c>
      <c r="B20" s="326" t="n"/>
      <c r="C20" s="326" t="n"/>
      <c r="D20" s="326" t="n"/>
      <c r="E20" s="327" t="n"/>
      <c r="F20" s="238" t="n"/>
      <c r="G20" s="125" t="n"/>
      <c r="H20" s="332">
        <f>H21</f>
        <v/>
      </c>
    </row>
    <row r="21">
      <c r="A21" s="269" t="n">
        <v>8</v>
      </c>
      <c r="B21" s="239" t="n"/>
      <c r="C21" s="128" t="n">
        <v>2</v>
      </c>
      <c r="D21" s="129" t="inlineStr">
        <is>
          <t>Затраты труда машинистов</t>
        </is>
      </c>
      <c r="E21" s="269" t="inlineStr">
        <is>
          <t>чел.-ч</t>
        </is>
      </c>
      <c r="F21" s="333" t="n">
        <v>7.54</v>
      </c>
      <c r="G21" s="124" t="n"/>
      <c r="H21" s="335" t="n">
        <v>79.81999999999999</v>
      </c>
    </row>
    <row r="22" customFormat="1" s="156">
      <c r="A22" s="238" t="inlineStr">
        <is>
          <t>Машины и механизмы</t>
        </is>
      </c>
      <c r="B22" s="326" t="n"/>
      <c r="C22" s="326" t="n"/>
      <c r="D22" s="326" t="n"/>
      <c r="E22" s="327" t="n"/>
      <c r="F22" s="238" t="n"/>
      <c r="G22" s="125" t="n"/>
      <c r="H22" s="332">
        <f>SUM(H23:H28)</f>
        <v/>
      </c>
      <c r="J22" s="188" t="n"/>
    </row>
    <row r="23">
      <c r="A23" s="269" t="n">
        <v>9</v>
      </c>
      <c r="B23" s="239" t="n"/>
      <c r="C23" s="128" t="inlineStr">
        <is>
          <t>91.06.06-042</t>
        </is>
      </c>
      <c r="D23" s="129" t="inlineStr">
        <is>
          <t>Подъемники гидравлические, высота подъема 10 м</t>
        </is>
      </c>
      <c r="E23" s="269" t="inlineStr">
        <is>
          <t>маш.час</t>
        </is>
      </c>
      <c r="F23" s="269" t="n">
        <v>4.63</v>
      </c>
      <c r="G23" s="160" t="n">
        <v>29.6</v>
      </c>
      <c r="H23" s="124">
        <f>ROUND(F23*G23,2)</f>
        <v/>
      </c>
      <c r="I23" s="135" t="n"/>
      <c r="J23" s="135" t="n"/>
      <c r="L23" s="135" t="n"/>
    </row>
    <row r="24" ht="25.5" customHeight="1" s="186">
      <c r="A24" s="269" t="n">
        <v>10</v>
      </c>
      <c r="B24" s="239" t="n"/>
      <c r="C24" s="128" t="inlineStr">
        <is>
          <t>91.06.03-058</t>
        </is>
      </c>
      <c r="D24" s="129" t="inlineStr">
        <is>
          <t>Лебедки электрические тяговым усилием 156,96 кН (16 т)</t>
        </is>
      </c>
      <c r="E24" s="269" t="inlineStr">
        <is>
          <t>маш.час</t>
        </is>
      </c>
      <c r="F24" s="269" t="n">
        <v>1</v>
      </c>
      <c r="G24" s="160" t="n">
        <v>131.44</v>
      </c>
      <c r="H24" s="124">
        <f>ROUND(F24*G24,2)</f>
        <v/>
      </c>
      <c r="I24" s="135" t="n"/>
      <c r="J24" s="135" t="n"/>
      <c r="K24" s="135" t="n"/>
      <c r="L24" s="135" t="n"/>
    </row>
    <row r="25">
      <c r="A25" s="269" t="n">
        <v>11</v>
      </c>
      <c r="B25" s="239" t="n"/>
      <c r="C25" s="128" t="inlineStr">
        <is>
          <t>91.06.06-011</t>
        </is>
      </c>
      <c r="D25" s="129" t="inlineStr">
        <is>
          <t>Автогидроподъемники, высота подъема 12 м</t>
        </is>
      </c>
      <c r="E25" s="269" t="inlineStr">
        <is>
          <t>маш.час</t>
        </is>
      </c>
      <c r="F25" s="269" t="n">
        <v>0.85</v>
      </c>
      <c r="G25" s="160" t="n">
        <v>82.22</v>
      </c>
      <c r="H25" s="124">
        <f>ROUND(F25*G25,2)</f>
        <v/>
      </c>
      <c r="I25" s="135" t="n"/>
      <c r="J25" s="135" t="n"/>
      <c r="K25" s="135" t="n"/>
      <c r="L25" s="135" t="n"/>
    </row>
    <row r="26" ht="25.5" customHeight="1" s="186">
      <c r="A26" s="269" t="n">
        <v>12</v>
      </c>
      <c r="B26" s="239" t="n"/>
      <c r="C26" s="128" t="inlineStr">
        <is>
          <t>91.05.05-015</t>
        </is>
      </c>
      <c r="D26" s="129" t="inlineStr">
        <is>
          <t>Краны на автомобильном ходу, грузоподъемность 16 т</t>
        </is>
      </c>
      <c r="E26" s="269" t="inlineStr">
        <is>
          <t>маш.час</t>
        </is>
      </c>
      <c r="F26" s="269" t="n">
        <v>0.42</v>
      </c>
      <c r="G26" s="160" t="n">
        <v>115.4</v>
      </c>
      <c r="H26" s="124">
        <f>ROUND(F26*G26,2)</f>
        <v/>
      </c>
      <c r="I26" s="135" t="n"/>
      <c r="J26" s="135" t="n"/>
      <c r="K26" s="135" t="n"/>
      <c r="L26" s="135" t="n"/>
    </row>
    <row r="27">
      <c r="A27" s="269" t="n">
        <v>13</v>
      </c>
      <c r="B27" s="239" t="n"/>
      <c r="C27" s="128" t="inlineStr">
        <is>
          <t>91.14.02-001</t>
        </is>
      </c>
      <c r="D27" s="129" t="inlineStr">
        <is>
          <t>Автомобили бортовые, грузоподъемность до 5 т</t>
        </is>
      </c>
      <c r="E27" s="269" t="inlineStr">
        <is>
          <t>маш.час</t>
        </is>
      </c>
      <c r="F27" s="269" t="n">
        <v>0.64</v>
      </c>
      <c r="G27" s="160" t="n">
        <v>65.70999999999999</v>
      </c>
      <c r="H27" s="124">
        <f>ROUND(F27*G27,2)</f>
        <v/>
      </c>
      <c r="I27" s="135" t="n"/>
      <c r="J27" s="135" t="n"/>
      <c r="K27" s="135" t="n"/>
      <c r="L27" s="135" t="n"/>
    </row>
    <row r="28">
      <c r="A28" s="269" t="n">
        <v>14</v>
      </c>
      <c r="B28" s="239" t="n"/>
      <c r="C28" s="128" t="inlineStr">
        <is>
          <t>91.06.01-003</t>
        </is>
      </c>
      <c r="D28" s="129" t="inlineStr">
        <is>
          <t>Домкраты гидравлические, грузоподъемность 63-100 т</t>
        </is>
      </c>
      <c r="E28" s="269" t="inlineStr">
        <is>
          <t>маш.час</t>
        </is>
      </c>
      <c r="F28" s="269" t="n">
        <v>3.78</v>
      </c>
      <c r="G28" s="160" t="n">
        <v>0.9</v>
      </c>
      <c r="H28" s="124">
        <f>ROUND(F28*G28,2)</f>
        <v/>
      </c>
      <c r="I28" s="135" t="n"/>
      <c r="J28" s="135" t="n"/>
      <c r="K28" s="135" t="n"/>
      <c r="L28" s="135" t="n"/>
    </row>
    <row r="29" ht="15" customHeight="1" s="186">
      <c r="A29" s="238" t="inlineStr">
        <is>
          <t>Оборудование</t>
        </is>
      </c>
      <c r="B29" s="326" t="n"/>
      <c r="C29" s="326" t="n"/>
      <c r="D29" s="326" t="n"/>
      <c r="E29" s="327" t="n"/>
      <c r="F29" s="10" t="n"/>
      <c r="G29" s="10" t="n"/>
      <c r="H29" s="332">
        <f>SUM(H30:H30)</f>
        <v/>
      </c>
    </row>
    <row r="30" ht="57" customHeight="1" s="186">
      <c r="A30" s="161" t="n">
        <v>15</v>
      </c>
      <c r="B30" s="239" t="n"/>
      <c r="C30" s="128" t="inlineStr">
        <is>
          <t>Прайс из СД ОП</t>
        </is>
      </c>
      <c r="D30" s="129" t="inlineStr">
        <is>
          <t>Марка и тип оборудования в соответствии с ТТР №19._x000D_
Учёт 6 (10) кВ. Пункт учета, устанавливаемый на проводах ВЛ.</t>
        </is>
      </c>
      <c r="E30" s="269" t="inlineStr">
        <is>
          <t>компл.</t>
        </is>
      </c>
      <c r="F30" s="269" t="n">
        <v>1</v>
      </c>
      <c r="G30" s="160" t="n">
        <v>63690.1</v>
      </c>
      <c r="H30" s="124">
        <f>ROUND(F30*G30,2)</f>
        <v/>
      </c>
      <c r="I30" s="135" t="n"/>
      <c r="J30" s="135" t="n"/>
      <c r="K30" s="135" t="n"/>
      <c r="L30" s="135" t="n"/>
    </row>
    <row r="31">
      <c r="A31" s="238" t="inlineStr">
        <is>
          <t>Материалы</t>
        </is>
      </c>
      <c r="B31" s="326" t="n"/>
      <c r="C31" s="326" t="n"/>
      <c r="D31" s="326" t="n"/>
      <c r="E31" s="327" t="n"/>
      <c r="F31" s="238" t="n"/>
      <c r="G31" s="125" t="n"/>
      <c r="H31" s="332">
        <f>SUM(H32:H38)</f>
        <v/>
      </c>
    </row>
    <row r="32" ht="25.5" customHeight="1" s="186">
      <c r="A32" s="161" t="n">
        <v>16</v>
      </c>
      <c r="B32" s="239" t="n"/>
      <c r="C32" s="128" t="inlineStr">
        <is>
          <t>999-9950</t>
        </is>
      </c>
      <c r="D32" s="129" t="inlineStr">
        <is>
          <t>Вспомогательные ненормируемые ресурсы (2% от Оплаты труда рабочих)</t>
        </is>
      </c>
      <c r="E32" s="269" t="inlineStr">
        <is>
          <t>руб</t>
        </is>
      </c>
      <c r="F32" s="269" t="n">
        <v>13.04</v>
      </c>
      <c r="G32" s="124" t="n">
        <v>1</v>
      </c>
      <c r="H32" s="124">
        <f>ROUND(F32*G32,2)</f>
        <v/>
      </c>
      <c r="I32" s="136" t="n"/>
      <c r="J32" s="135" t="n"/>
      <c r="K32" s="135" t="n"/>
    </row>
    <row r="33" ht="25.5" customHeight="1" s="186">
      <c r="A33" s="161" t="n">
        <v>17</v>
      </c>
      <c r="B33" s="239" t="n"/>
      <c r="C33" s="128" t="inlineStr">
        <is>
          <t>01.3.01.06-0050</t>
        </is>
      </c>
      <c r="D33" s="129" t="inlineStr">
        <is>
          <t>Смазка универсальная тугоплавкая УТ (консталин жировой)</t>
        </is>
      </c>
      <c r="E33" s="269" t="inlineStr">
        <is>
          <t>т</t>
        </is>
      </c>
      <c r="F33" s="269" t="n">
        <v>0.00024</v>
      </c>
      <c r="G33" s="124" t="n">
        <v>17500</v>
      </c>
      <c r="H33" s="124">
        <f>ROUND(F33*G33,2)</f>
        <v/>
      </c>
      <c r="I33" s="136" t="n"/>
      <c r="J33" s="135" t="n"/>
      <c r="K33" s="135" t="n"/>
    </row>
    <row r="34" ht="18" customHeight="1" s="186">
      <c r="A34" s="161" t="n">
        <v>18</v>
      </c>
      <c r="B34" s="239" t="n"/>
      <c r="C34" s="128" t="inlineStr">
        <is>
          <t>01.3.01.06-0038</t>
        </is>
      </c>
      <c r="D34" s="129" t="inlineStr">
        <is>
          <t>Смазка защитная электросетевая</t>
        </is>
      </c>
      <c r="E34" s="269" t="inlineStr">
        <is>
          <t>кг</t>
        </is>
      </c>
      <c r="F34" s="269" t="n">
        <v>0.1</v>
      </c>
      <c r="G34" s="124" t="n">
        <v>14.4</v>
      </c>
      <c r="H34" s="124">
        <f>ROUND(F34*G34,2)</f>
        <v/>
      </c>
      <c r="I34" s="136" t="n"/>
      <c r="J34" s="135" t="n"/>
    </row>
    <row r="35">
      <c r="A35" s="161" t="n">
        <v>19</v>
      </c>
      <c r="B35" s="239" t="n"/>
      <c r="C35" s="128" t="inlineStr">
        <is>
          <t>14.4.03.03-0102</t>
        </is>
      </c>
      <c r="D35" s="129" t="inlineStr">
        <is>
          <t>Лак битумный БТ-577</t>
        </is>
      </c>
      <c r="E35" s="269" t="inlineStr">
        <is>
          <t>т</t>
        </is>
      </c>
      <c r="F35" s="269" t="n">
        <v>0.0001</v>
      </c>
      <c r="G35" s="124" t="n">
        <v>9550.01</v>
      </c>
      <c r="H35" s="124">
        <f>ROUND(F35*G35,2)</f>
        <v/>
      </c>
      <c r="I35" s="136" t="n"/>
      <c r="J35" s="135" t="n"/>
    </row>
    <row r="36" ht="18" customHeight="1" s="186">
      <c r="A36" s="161" t="n">
        <v>20</v>
      </c>
      <c r="B36" s="239" t="n"/>
      <c r="C36" s="128" t="inlineStr">
        <is>
          <t>01.3.01.06-0051</t>
        </is>
      </c>
      <c r="D36" s="129" t="inlineStr">
        <is>
          <t>Смазка солидол жировой Ж</t>
        </is>
      </c>
      <c r="E36" s="269" t="inlineStr">
        <is>
          <t>кг</t>
        </is>
      </c>
      <c r="F36" s="269" t="n">
        <v>0.03</v>
      </c>
      <c r="G36" s="124" t="n">
        <v>7.2</v>
      </c>
      <c r="H36" s="124">
        <f>ROUND(F36*G36,2)</f>
        <v/>
      </c>
      <c r="I36" s="136" t="n"/>
      <c r="J36" s="135" t="n"/>
    </row>
    <row r="37" ht="18" customHeight="1" s="186">
      <c r="A37" s="161" t="n">
        <v>21</v>
      </c>
      <c r="B37" s="239" t="n"/>
      <c r="C37" s="128" t="inlineStr">
        <is>
          <t>14.5.09.11-0102</t>
        </is>
      </c>
      <c r="D37" s="129" t="inlineStr">
        <is>
          <t>Уайт-спирит</t>
        </is>
      </c>
      <c r="E37" s="269" t="inlineStr">
        <is>
          <t>кг</t>
        </is>
      </c>
      <c r="F37" s="269" t="n">
        <v>0.03</v>
      </c>
      <c r="G37" s="124" t="n">
        <v>6.67</v>
      </c>
      <c r="H37" s="124">
        <f>ROUND(F37*G37,2)</f>
        <v/>
      </c>
      <c r="I37" s="136" t="n"/>
      <c r="J37" s="135" t="n"/>
    </row>
    <row r="38" ht="18" customHeight="1" s="186">
      <c r="A38" s="161" t="n">
        <v>22</v>
      </c>
      <c r="B38" s="239" t="n"/>
      <c r="C38" s="128" t="inlineStr">
        <is>
          <t>01.7.20.08-0051</t>
        </is>
      </c>
      <c r="D38" s="129" t="inlineStr">
        <is>
          <t>Ветошь</t>
        </is>
      </c>
      <c r="E38" s="269" t="inlineStr">
        <is>
          <t>кг</t>
        </is>
      </c>
      <c r="F38" s="269" t="n">
        <v>0.02</v>
      </c>
      <c r="G38" s="124" t="n">
        <v>1.82</v>
      </c>
      <c r="H38" s="124">
        <f>ROUND(F38*G38,2)</f>
        <v/>
      </c>
      <c r="I38" s="136" t="n"/>
      <c r="J38" s="135" t="n"/>
    </row>
    <row r="41">
      <c r="B41" s="188" t="inlineStr">
        <is>
          <t>Составил ______________________     Д.Ю. Нефедова</t>
        </is>
      </c>
    </row>
    <row r="42">
      <c r="B42" s="115" t="inlineStr">
        <is>
          <t xml:space="preserve">                         (подпись, инициалы, фамилия)</t>
        </is>
      </c>
    </row>
    <row r="44">
      <c r="B44" s="188" t="inlineStr">
        <is>
          <t>Проверил ______________________        А.В. Костянецкая</t>
        </is>
      </c>
    </row>
    <row r="45">
      <c r="B45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0:E20"/>
    <mergeCell ref="F9:F10"/>
    <mergeCell ref="E9:E10"/>
    <mergeCell ref="A9:A10"/>
    <mergeCell ref="A29:E29"/>
    <mergeCell ref="A2:H2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43" t="inlineStr">
        <is>
          <t>Наименование разрабатываемого показателя УНЦ — Установка пункта коммерческого учета (ПКУ) ЭЭ класса напряжения 6-15 кВ на проводах ВЛ</t>
        </is>
      </c>
    </row>
    <row r="8">
      <c r="B8" s="24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ОБ'!J19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ОБ'!J28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ОБ'!J31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ОБ'!J21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ОБ'!J44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ОБ'!J50</f>
        <v/>
      </c>
      <c r="D17" s="164">
        <f>C17/$C$24</f>
        <v/>
      </c>
      <c r="E17" s="164">
        <f>C17/$C$40</f>
        <v/>
      </c>
      <c r="G17" s="336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ОБ'!D54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ОБ'!D53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ОБ'!J38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ОБ'!J39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- 2,5%</t>
        </is>
      </c>
      <c r="C29" s="110">
        <f>ROUND(C24*2.5%,2)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- 1,9%</t>
        </is>
      </c>
      <c r="C30" s="110">
        <f>ROUND((C24+C29)*1.9%,2)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9896.16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5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ОБ'!E57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topLeftCell="A37" workbookViewId="0">
      <selection activeCell="B63" sqref="B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1" t="n"/>
      <c r="D5" s="222" t="n"/>
      <c r="E5" s="222" t="n"/>
      <c r="F5" s="222" t="n"/>
      <c r="G5" s="222" t="n"/>
      <c r="H5" s="222" t="n"/>
      <c r="I5" s="222" t="n"/>
      <c r="J5" s="222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1" t="inlineStr">
        <is>
          <t>Установка пункта коммерческого учета (ПКУ) ЭЭ класса напряжения 6-15 кВ на проводах ВЛ</t>
        </is>
      </c>
    </row>
    <row r="7" ht="12.75" customFormat="1" customHeight="1" s="4">
      <c r="A7" s="225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25" t="n"/>
    </row>
    <row r="9" ht="27" customHeight="1" s="186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327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327" t="n"/>
      <c r="M9" s="12" t="n"/>
      <c r="N9" s="12" t="n"/>
    </row>
    <row r="10" ht="28.5" customHeight="1" s="186">
      <c r="A10" s="329" t="n"/>
      <c r="B10" s="329" t="n"/>
      <c r="C10" s="329" t="n"/>
      <c r="D10" s="329" t="n"/>
      <c r="E10" s="329" t="n"/>
      <c r="F10" s="248" t="inlineStr">
        <is>
          <t>на ед. изм.</t>
        </is>
      </c>
      <c r="G10" s="248" t="inlineStr">
        <is>
          <t>общая</t>
        </is>
      </c>
      <c r="H10" s="329" t="n"/>
      <c r="I10" s="248" t="inlineStr">
        <is>
          <t>на ед. изм.</t>
        </is>
      </c>
      <c r="J10" s="248" t="inlineStr">
        <is>
          <t>общая</t>
        </is>
      </c>
      <c r="M10" s="12" t="n"/>
      <c r="N10" s="12" t="n"/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9" t="n">
        <v>9</v>
      </c>
      <c r="J11" s="249" t="n">
        <v>10</v>
      </c>
      <c r="M11" s="12" t="n"/>
      <c r="N11" s="12" t="n"/>
    </row>
    <row r="12">
      <c r="A12" s="248" t="n"/>
      <c r="B12" s="237" t="inlineStr">
        <is>
          <t>Затраты труда рабочих-строителей</t>
        </is>
      </c>
      <c r="C12" s="326" t="n"/>
      <c r="D12" s="326" t="n"/>
      <c r="E12" s="326" t="n"/>
      <c r="F12" s="326" t="n"/>
      <c r="G12" s="326" t="n"/>
      <c r="H12" s="327" t="n"/>
      <c r="I12" s="132" t="n"/>
      <c r="J12" s="132" t="n"/>
    </row>
    <row r="13" ht="25.5" customHeight="1" s="186">
      <c r="A13" s="248" t="n">
        <v>1</v>
      </c>
      <c r="B13" s="137" t="inlineStr">
        <is>
          <t>1-3-9</t>
        </is>
      </c>
      <c r="C13" s="256" t="inlineStr">
        <is>
          <t>Затраты труда рабочих-строителей среднего разряда (3,9)</t>
        </is>
      </c>
      <c r="D13" s="248" t="inlineStr">
        <is>
          <t>чел.-ч.</t>
        </is>
      </c>
      <c r="E13" s="337">
        <f>G13/F13</f>
        <v/>
      </c>
      <c r="F13" s="26" t="n">
        <v>9.51</v>
      </c>
      <c r="G13" s="26">
        <f>'Прил. 3'!H15+'Прил. 3'!H16</f>
        <v/>
      </c>
      <c r="H13" s="170">
        <f>G13/$G$19</f>
        <v/>
      </c>
      <c r="I13" s="26">
        <f>'ФОТр.тек.'!E13</f>
        <v/>
      </c>
      <c r="J13" s="26">
        <f>ROUND(I13*E13,2)</f>
        <v/>
      </c>
    </row>
    <row r="14">
      <c r="A14" s="248" t="n">
        <v>2</v>
      </c>
      <c r="B14" s="137" t="inlineStr">
        <is>
          <t>10-2-1</t>
        </is>
      </c>
      <c r="C14" s="256" t="inlineStr">
        <is>
          <t>Ведущий инженер</t>
        </is>
      </c>
      <c r="D14" s="248" t="inlineStr">
        <is>
          <t>чел.-ч</t>
        </is>
      </c>
      <c r="E14" s="337">
        <f>G14/F14</f>
        <v/>
      </c>
      <c r="F14" s="26" t="n">
        <v>16.93</v>
      </c>
      <c r="G14" s="26">
        <f>'Прил. 3'!H18</f>
        <v/>
      </c>
      <c r="H14" s="170">
        <f>G14/$G$19</f>
        <v/>
      </c>
      <c r="I14" s="26">
        <f>'ФОТр.тек.'!E21</f>
        <v/>
      </c>
      <c r="J14" s="26">
        <f>ROUND(I14*E14,2)</f>
        <v/>
      </c>
    </row>
    <row r="15">
      <c r="A15" s="248" t="n">
        <v>3</v>
      </c>
      <c r="B15" s="137" t="inlineStr">
        <is>
          <t>10-3-1</t>
        </is>
      </c>
      <c r="C15" s="256" t="inlineStr">
        <is>
          <t>Инженер I категории</t>
        </is>
      </c>
      <c r="D15" s="248" t="inlineStr">
        <is>
          <t>чел.-ч</t>
        </is>
      </c>
      <c r="E15" s="337">
        <f>G15/F15</f>
        <v/>
      </c>
      <c r="F15" s="26" t="n">
        <v>15.49</v>
      </c>
      <c r="G15" s="26">
        <f>'Прил. 3'!H14</f>
        <v/>
      </c>
      <c r="H15" s="170">
        <f>G15/$G$19</f>
        <v/>
      </c>
      <c r="I15" s="26">
        <f>'ФОТр.тек.'!E29</f>
        <v/>
      </c>
      <c r="J15" s="26">
        <f>ROUND(I15*E15,2)</f>
        <v/>
      </c>
    </row>
    <row r="16">
      <c r="A16" s="248" t="n">
        <v>4</v>
      </c>
      <c r="B16" s="137" t="inlineStr">
        <is>
          <t>10-3-2</t>
        </is>
      </c>
      <c r="C16" s="256" t="inlineStr">
        <is>
          <t>Инженер II категории</t>
        </is>
      </c>
      <c r="D16" s="248" t="inlineStr">
        <is>
          <t>чел.-ч</t>
        </is>
      </c>
      <c r="E16" s="337">
        <f>G16/F16</f>
        <v/>
      </c>
      <c r="F16" s="26" t="n">
        <v>14.09</v>
      </c>
      <c r="G16" s="26">
        <f>'Прил. 3'!H13</f>
        <v/>
      </c>
      <c r="H16" s="170">
        <f>G16/$G$19</f>
        <v/>
      </c>
      <c r="I16" s="26">
        <f>'ФОТр.тек.'!E37</f>
        <v/>
      </c>
      <c r="J16" s="26">
        <f>ROUND(I16*E16,2)</f>
        <v/>
      </c>
    </row>
    <row r="17">
      <c r="A17" s="248" t="n">
        <v>5</v>
      </c>
      <c r="B17" s="137" t="inlineStr">
        <is>
          <t>10-3-3</t>
        </is>
      </c>
      <c r="C17" s="256" t="inlineStr">
        <is>
          <t>Инженер III категории</t>
        </is>
      </c>
      <c r="D17" s="248" t="inlineStr">
        <is>
          <t>чел.-ч</t>
        </is>
      </c>
      <c r="E17" s="337">
        <f>G17/F17</f>
        <v/>
      </c>
      <c r="F17" s="26" t="n">
        <v>12.69</v>
      </c>
      <c r="G17" s="26">
        <f>'Прил. 3'!H17</f>
        <v/>
      </c>
      <c r="H17" s="170">
        <f>G17/$G$19</f>
        <v/>
      </c>
      <c r="I17" s="26">
        <f>'ФОТр.тек.'!E45</f>
        <v/>
      </c>
      <c r="J17" s="26">
        <f>ROUND(I17*E17,2)</f>
        <v/>
      </c>
    </row>
    <row r="18">
      <c r="A18" s="248" t="n">
        <v>6</v>
      </c>
      <c r="B18" s="137" t="inlineStr">
        <is>
          <t>10-4-1</t>
        </is>
      </c>
      <c r="C18" s="256" t="inlineStr">
        <is>
          <t>Техник I категории</t>
        </is>
      </c>
      <c r="D18" s="248" t="inlineStr">
        <is>
          <t>чел.-ч</t>
        </is>
      </c>
      <c r="E18" s="337">
        <f>G18/F18</f>
        <v/>
      </c>
      <c r="F18" s="26" t="n">
        <v>10.21</v>
      </c>
      <c r="G18" s="26">
        <f>'Прил. 3'!H19</f>
        <v/>
      </c>
      <c r="H18" s="170">
        <f>G18/$G$19</f>
        <v/>
      </c>
      <c r="I18" s="26">
        <f>'ФОТр.тек.'!E53</f>
        <v/>
      </c>
      <c r="J18" s="26">
        <f>ROUND(I18*E18,2)</f>
        <v/>
      </c>
    </row>
    <row r="19" ht="25.5" customFormat="1" customHeight="1" s="12">
      <c r="A19" s="248" t="n"/>
      <c r="B19" s="248" t="n"/>
      <c r="C19" s="237" t="inlineStr">
        <is>
          <t>Итого по разделу "Затраты труда рабочих-строителей"</t>
        </is>
      </c>
      <c r="D19" s="248" t="inlineStr">
        <is>
          <t>чел.-ч.</t>
        </is>
      </c>
      <c r="E19" s="337">
        <f>SUM(E13:E18)</f>
        <v/>
      </c>
      <c r="F19" s="26" t="n"/>
      <c r="G19" s="26">
        <f>SUM(G13:G18)</f>
        <v/>
      </c>
      <c r="H19" s="259">
        <f>SUM(H13:H18)</f>
        <v/>
      </c>
      <c r="I19" s="132" t="n"/>
      <c r="J19" s="26">
        <f>SUM(J13:J18)</f>
        <v/>
      </c>
    </row>
    <row r="20" ht="14.25" customFormat="1" customHeight="1" s="12">
      <c r="A20" s="248" t="n"/>
      <c r="B20" s="256" t="inlineStr">
        <is>
          <t>Затраты труда машинистов</t>
        </is>
      </c>
      <c r="C20" s="326" t="n"/>
      <c r="D20" s="326" t="n"/>
      <c r="E20" s="326" t="n"/>
      <c r="F20" s="326" t="n"/>
      <c r="G20" s="326" t="n"/>
      <c r="H20" s="327" t="n"/>
      <c r="I20" s="132" t="n"/>
      <c r="J20" s="132" t="n"/>
    </row>
    <row r="21" ht="14.25" customFormat="1" customHeight="1" s="12">
      <c r="A21" s="248" t="n">
        <v>7</v>
      </c>
      <c r="B21" s="248" t="n">
        <v>2</v>
      </c>
      <c r="C21" s="256" t="inlineStr">
        <is>
          <t>Затраты труда машинистов</t>
        </is>
      </c>
      <c r="D21" s="248" t="inlineStr">
        <is>
          <t>чел.-ч.</t>
        </is>
      </c>
      <c r="E21" s="337">
        <f>'Прил. 3'!F21</f>
        <v/>
      </c>
      <c r="F21" s="26">
        <f>G21/E21</f>
        <v/>
      </c>
      <c r="G21" s="26">
        <f>'Прил. 3'!H20</f>
        <v/>
      </c>
      <c r="H21" s="259" t="n">
        <v>1</v>
      </c>
      <c r="I21" s="26">
        <f>ROUND(F21*'Прил. 10'!D11,2)</f>
        <v/>
      </c>
      <c r="J21" s="26">
        <f>ROUND(I21*E21,2)</f>
        <v/>
      </c>
    </row>
    <row r="22" ht="14.25" customFormat="1" customHeight="1" s="12">
      <c r="A22" s="248" t="n"/>
      <c r="B22" s="237" t="inlineStr">
        <is>
          <t>Машины и механизмы</t>
        </is>
      </c>
      <c r="C22" s="326" t="n"/>
      <c r="D22" s="326" t="n"/>
      <c r="E22" s="326" t="n"/>
      <c r="F22" s="326" t="n"/>
      <c r="G22" s="326" t="n"/>
      <c r="H22" s="327" t="n"/>
      <c r="I22" s="132" t="n"/>
      <c r="J22" s="132" t="n"/>
    </row>
    <row r="23" ht="14.25" customFormat="1" customHeight="1" s="12">
      <c r="A23" s="248" t="n"/>
      <c r="B23" s="256" t="inlineStr">
        <is>
          <t>Основные машины и механизмы</t>
        </is>
      </c>
      <c r="C23" s="326" t="n"/>
      <c r="D23" s="326" t="n"/>
      <c r="E23" s="326" t="n"/>
      <c r="F23" s="326" t="n"/>
      <c r="G23" s="326" t="n"/>
      <c r="H23" s="327" t="n"/>
      <c r="I23" s="132" t="n"/>
      <c r="J23" s="132" t="n"/>
    </row>
    <row r="24" ht="25.5" customFormat="1" customHeight="1" s="12">
      <c r="A24" s="248" t="n">
        <v>8</v>
      </c>
      <c r="B24" s="137" t="inlineStr">
        <is>
          <t>91.06.06-042</t>
        </is>
      </c>
      <c r="C24" s="256" t="inlineStr">
        <is>
          <t>Подъемники гидравлические, высота подъема 10 м</t>
        </is>
      </c>
      <c r="D24" s="248" t="inlineStr">
        <is>
          <t>маш.час</t>
        </is>
      </c>
      <c r="E24" s="337" t="n">
        <v>4.63</v>
      </c>
      <c r="F24" s="258" t="n">
        <v>29.6</v>
      </c>
      <c r="G24" s="26">
        <f>ROUND(E24*F24,2)</f>
        <v/>
      </c>
      <c r="H24" s="170">
        <f>G24/$G$32</f>
        <v/>
      </c>
      <c r="I24" s="26">
        <f>ROUND(F24*'Прил. 10'!$D$12,2)</f>
        <v/>
      </c>
      <c r="J24" s="26">
        <f>ROUND(I24*E24,2)</f>
        <v/>
      </c>
    </row>
    <row r="25" ht="25.5" customFormat="1" customHeight="1" s="12">
      <c r="A25" s="248" t="n">
        <v>9</v>
      </c>
      <c r="B25" s="137" t="inlineStr">
        <is>
          <t>91.06.03-058</t>
        </is>
      </c>
      <c r="C25" s="256" t="inlineStr">
        <is>
          <t>Лебедки электрические тяговым усилием 156,96 кН (16 т)</t>
        </is>
      </c>
      <c r="D25" s="248" t="inlineStr">
        <is>
          <t>маш.час</t>
        </is>
      </c>
      <c r="E25" s="337" t="n">
        <v>1</v>
      </c>
      <c r="F25" s="258" t="n">
        <v>131.44</v>
      </c>
      <c r="G25" s="26">
        <f>ROUND(E25*F25,2)</f>
        <v/>
      </c>
      <c r="H25" s="170">
        <f>G25/$G$32</f>
        <v/>
      </c>
      <c r="I25" s="26">
        <f>ROUND(F25*'Прил. 10'!$D$12,2)</f>
        <v/>
      </c>
      <c r="J25" s="26">
        <f>ROUND(I25*E25,2)</f>
        <v/>
      </c>
    </row>
    <row r="26" ht="25.5" customFormat="1" customHeight="1" s="12">
      <c r="A26" s="248" t="n">
        <v>10</v>
      </c>
      <c r="B26" s="137" t="inlineStr">
        <is>
          <t>91.06.06-011</t>
        </is>
      </c>
      <c r="C26" s="256" t="inlineStr">
        <is>
          <t>Автогидроподъемники, высота подъема 12 м</t>
        </is>
      </c>
      <c r="D26" s="248" t="inlineStr">
        <is>
          <t>маш.час</t>
        </is>
      </c>
      <c r="E26" s="337" t="n">
        <v>0.85</v>
      </c>
      <c r="F26" s="258" t="n">
        <v>82.22</v>
      </c>
      <c r="G26" s="26">
        <f>ROUND(E26*F26,2)</f>
        <v/>
      </c>
      <c r="H26" s="170">
        <f>G26/$G$32</f>
        <v/>
      </c>
      <c r="I26" s="26">
        <f>ROUND(F26*'Прил. 10'!$D$12,2)</f>
        <v/>
      </c>
      <c r="J26" s="26">
        <f>ROUND(I26*E26,2)</f>
        <v/>
      </c>
    </row>
    <row r="27" ht="25.5" customFormat="1" customHeight="1" s="12">
      <c r="A27" s="248" t="n">
        <v>11</v>
      </c>
      <c r="B27" s="137" t="inlineStr">
        <is>
          <t>91.05.05-015</t>
        </is>
      </c>
      <c r="C27" s="256" t="inlineStr">
        <is>
          <t>Краны на автомобильном ходу, грузоподъемность 16 т</t>
        </is>
      </c>
      <c r="D27" s="248" t="inlineStr">
        <is>
          <t>маш.час</t>
        </is>
      </c>
      <c r="E27" s="337" t="n">
        <v>0.42</v>
      </c>
      <c r="F27" s="258" t="n">
        <v>115.4</v>
      </c>
      <c r="G27" s="26">
        <f>ROUND(E27*F27,2)</f>
        <v/>
      </c>
      <c r="H27" s="170">
        <f>G27/$G$32</f>
        <v/>
      </c>
      <c r="I27" s="26">
        <f>ROUND(F27*'Прил. 10'!$D$12,2)</f>
        <v/>
      </c>
      <c r="J27" s="26">
        <f>ROUND(I27*E27,2)</f>
        <v/>
      </c>
    </row>
    <row r="28" ht="14.25" customFormat="1" customHeight="1" s="12">
      <c r="A28" s="248" t="n"/>
      <c r="B28" s="248" t="n"/>
      <c r="C28" s="256" t="inlineStr">
        <is>
          <t>Итого основные машины и механизмы</t>
        </is>
      </c>
      <c r="D28" s="248" t="n"/>
      <c r="E28" s="337" t="n"/>
      <c r="F28" s="26" t="n"/>
      <c r="G28" s="26">
        <f>SUM(G24:G27)</f>
        <v/>
      </c>
      <c r="H28" s="259">
        <f>G28/G32</f>
        <v/>
      </c>
      <c r="I28" s="134" t="n"/>
      <c r="J28" s="26">
        <f>SUM(J24:J27)</f>
        <v/>
      </c>
    </row>
    <row r="29" hidden="1" outlineLevel="1" ht="25.5" customFormat="1" customHeight="1" s="12">
      <c r="A29" s="248" t="n">
        <v>12</v>
      </c>
      <c r="B29" s="137" t="inlineStr">
        <is>
          <t>91.14.02-001</t>
        </is>
      </c>
      <c r="C29" s="256" t="inlineStr">
        <is>
          <t>Автомобили бортовые, грузоподъемность до 5 т</t>
        </is>
      </c>
      <c r="D29" s="248" t="inlineStr">
        <is>
          <t>маш.час</t>
        </is>
      </c>
      <c r="E29" s="337" t="n">
        <v>0.64</v>
      </c>
      <c r="F29" s="258" t="n">
        <v>65.70999999999999</v>
      </c>
      <c r="G29" s="26">
        <f>ROUND(E29*F29,2)</f>
        <v/>
      </c>
      <c r="H29" s="170">
        <f>G29/$G$32</f>
        <v/>
      </c>
      <c r="I29" s="26">
        <f>ROUND(F29*'Прил. 10'!$D$12,2)</f>
        <v/>
      </c>
      <c r="J29" s="26">
        <f>ROUND(I29*E29,2)</f>
        <v/>
      </c>
    </row>
    <row r="30" hidden="1" outlineLevel="1" ht="25.5" customFormat="1" customHeight="1" s="12">
      <c r="A30" s="248" t="n">
        <v>13</v>
      </c>
      <c r="B30" s="137" t="inlineStr">
        <is>
          <t>91.06.01-003</t>
        </is>
      </c>
      <c r="C30" s="256" t="inlineStr">
        <is>
          <t>Домкраты гидравлические, грузоподъемность 63-100 т</t>
        </is>
      </c>
      <c r="D30" s="248" t="inlineStr">
        <is>
          <t>маш.час</t>
        </is>
      </c>
      <c r="E30" s="337" t="n">
        <v>3.78</v>
      </c>
      <c r="F30" s="258" t="n">
        <v>0.9</v>
      </c>
      <c r="G30" s="26">
        <f>ROUND(E30*F30,2)</f>
        <v/>
      </c>
      <c r="H30" s="170">
        <f>G30/$G$32</f>
        <v/>
      </c>
      <c r="I30" s="26">
        <f>ROUND(F30*'Прил. 10'!$D$12,2)</f>
        <v/>
      </c>
      <c r="J30" s="26">
        <f>ROUND(I30*E30,2)</f>
        <v/>
      </c>
    </row>
    <row r="31" collapsed="1" ht="14.25" customFormat="1" customHeight="1" s="12">
      <c r="A31" s="248" t="n"/>
      <c r="B31" s="248" t="n"/>
      <c r="C31" s="256" t="inlineStr">
        <is>
          <t>Итого прочие машины и механизмы</t>
        </is>
      </c>
      <c r="D31" s="248" t="n"/>
      <c r="E31" s="257" t="n"/>
      <c r="F31" s="26" t="n"/>
      <c r="G31" s="134">
        <f>SUM(G29:G30)</f>
        <v/>
      </c>
      <c r="H31" s="170">
        <f>G31/G32</f>
        <v/>
      </c>
      <c r="I31" s="26" t="n"/>
      <c r="J31" s="134">
        <f>SUM(J29:J30)</f>
        <v/>
      </c>
    </row>
    <row r="32" ht="25.5" customFormat="1" customHeight="1" s="12">
      <c r="A32" s="248" t="n"/>
      <c r="B32" s="248" t="n"/>
      <c r="C32" s="237" t="inlineStr">
        <is>
          <t>Итого по разделу «Машины и механизмы»</t>
        </is>
      </c>
      <c r="D32" s="248" t="n"/>
      <c r="E32" s="257" t="n"/>
      <c r="F32" s="26" t="n"/>
      <c r="G32" s="26">
        <f>G28+G31</f>
        <v/>
      </c>
      <c r="H32" s="259">
        <f>H28+H31</f>
        <v/>
      </c>
      <c r="I32" s="131" t="n"/>
      <c r="J32" s="26">
        <f>J28+J31</f>
        <v/>
      </c>
    </row>
    <row r="33" ht="14.25" customFormat="1" customHeight="1" s="12">
      <c r="A33" s="248" t="n"/>
      <c r="B33" s="237" t="inlineStr">
        <is>
          <t>Оборудование</t>
        </is>
      </c>
      <c r="C33" s="326" t="n"/>
      <c r="D33" s="326" t="n"/>
      <c r="E33" s="326" t="n"/>
      <c r="F33" s="326" t="n"/>
      <c r="G33" s="326" t="n"/>
      <c r="H33" s="327" t="n"/>
      <c r="I33" s="132" t="n"/>
      <c r="J33" s="132" t="n"/>
    </row>
    <row r="34">
      <c r="A34" s="248" t="n"/>
      <c r="B34" s="256" t="inlineStr">
        <is>
          <t>Основное оборудование</t>
        </is>
      </c>
      <c r="C34" s="326" t="n"/>
      <c r="D34" s="326" t="n"/>
      <c r="E34" s="326" t="n"/>
      <c r="F34" s="326" t="n"/>
      <c r="G34" s="326" t="n"/>
      <c r="H34" s="327" t="n"/>
      <c r="I34" s="132" t="n"/>
      <c r="J34" s="132" t="n"/>
    </row>
    <row r="35" ht="25.5" customFormat="1" customHeight="1" s="12">
      <c r="A35" s="248" t="n">
        <v>14</v>
      </c>
      <c r="B35" s="248" t="inlineStr">
        <is>
          <t>БЦ.50.16</t>
        </is>
      </c>
      <c r="C35" s="256" t="inlineStr">
        <is>
          <t>Учёт 6 (10) кВ. Пункт учета, устанавливаемый на проводах ВЛ.</t>
        </is>
      </c>
      <c r="D35" s="248" t="inlineStr">
        <is>
          <t>компл.</t>
        </is>
      </c>
      <c r="E35" s="338" t="n">
        <v>1</v>
      </c>
      <c r="F35" s="258">
        <f>ROUND(I35/'Прил. 10'!$D$14,2)</f>
        <v/>
      </c>
      <c r="G35" s="26">
        <f>ROUND(E35*F35,2)</f>
        <v/>
      </c>
      <c r="H35" s="170" t="n">
        <v>0</v>
      </c>
      <c r="I35" s="26" t="n">
        <v>443000</v>
      </c>
      <c r="J35" s="26">
        <f>ROUND(I35*E35,2)</f>
        <v/>
      </c>
    </row>
    <row r="36">
      <c r="A36" s="248" t="n"/>
      <c r="B36" s="248" t="n"/>
      <c r="C36" s="256" t="inlineStr">
        <is>
          <t>Итого основное оборудование</t>
        </is>
      </c>
      <c r="D36" s="248" t="n"/>
      <c r="E36" s="338" t="n"/>
      <c r="F36" s="258" t="n"/>
      <c r="G36" s="26">
        <f>SUM(G35:G35)</f>
        <v/>
      </c>
      <c r="H36" s="26">
        <f>SUM(H35:H35)</f>
        <v/>
      </c>
      <c r="I36" s="134" t="n"/>
      <c r="J36" s="26">
        <f>SUM(J35:J35)</f>
        <v/>
      </c>
    </row>
    <row r="37">
      <c r="A37" s="248" t="n"/>
      <c r="B37" s="248" t="n"/>
      <c r="C37" s="256" t="inlineStr">
        <is>
          <t>Итого прочее оборудование</t>
        </is>
      </c>
      <c r="D37" s="248" t="n"/>
      <c r="E37" s="337" t="n"/>
      <c r="F37" s="258" t="n"/>
      <c r="G37" s="26" t="n">
        <v>0</v>
      </c>
      <c r="H37" s="170" t="n">
        <v>0</v>
      </c>
      <c r="I37" s="134" t="n"/>
      <c r="J37" s="26" t="n">
        <v>0</v>
      </c>
    </row>
    <row r="38">
      <c r="A38" s="248" t="n"/>
      <c r="B38" s="248" t="n"/>
      <c r="C38" s="237" t="inlineStr">
        <is>
          <t>Итого по разделу «Оборудование»</t>
        </is>
      </c>
      <c r="D38" s="248" t="n"/>
      <c r="E38" s="257" t="n"/>
      <c r="F38" s="258" t="n"/>
      <c r="G38" s="26">
        <f>G36+G37</f>
        <v/>
      </c>
      <c r="H38" s="170">
        <f>H36+H37</f>
        <v/>
      </c>
      <c r="I38" s="134" t="n"/>
      <c r="J38" s="26">
        <f>J37+J36</f>
        <v/>
      </c>
    </row>
    <row r="39" ht="25.5" customHeight="1" s="186">
      <c r="A39" s="248" t="n"/>
      <c r="B39" s="248" t="n"/>
      <c r="C39" s="256" t="inlineStr">
        <is>
          <t>в том числе технологическое оборудование</t>
        </is>
      </c>
      <c r="D39" s="248" t="n"/>
      <c r="E39" s="338" t="n"/>
      <c r="F39" s="258" t="n"/>
      <c r="G39" s="26">
        <f>'Прил.6 Расчет ОБ'!G13</f>
        <v/>
      </c>
      <c r="H39" s="259" t="n"/>
      <c r="I39" s="134" t="n"/>
      <c r="J39" s="26">
        <f>J38</f>
        <v/>
      </c>
    </row>
    <row r="40" ht="14.25" customFormat="1" customHeight="1" s="12">
      <c r="A40" s="248" t="n"/>
      <c r="B40" s="237" t="inlineStr">
        <is>
          <t>Материалы</t>
        </is>
      </c>
      <c r="C40" s="326" t="n"/>
      <c r="D40" s="326" t="n"/>
      <c r="E40" s="326" t="n"/>
      <c r="F40" s="326" t="n"/>
      <c r="G40" s="326" t="n"/>
      <c r="H40" s="327" t="n"/>
      <c r="I40" s="132" t="n"/>
      <c r="J40" s="132" t="n"/>
    </row>
    <row r="41" ht="14.25" customFormat="1" customHeight="1" s="12">
      <c r="A41" s="249" t="n"/>
      <c r="B41" s="252" t="inlineStr">
        <is>
          <t>Основные материалы</t>
        </is>
      </c>
      <c r="C41" s="339" t="n"/>
      <c r="D41" s="339" t="n"/>
      <c r="E41" s="339" t="n"/>
      <c r="F41" s="339" t="n"/>
      <c r="G41" s="339" t="n"/>
      <c r="H41" s="340" t="n"/>
      <c r="I41" s="171" t="n"/>
      <c r="J41" s="171" t="n"/>
    </row>
    <row r="42" ht="25.5" customFormat="1" customHeight="1" s="12">
      <c r="A42" s="248" t="n">
        <v>15</v>
      </c>
      <c r="B42" s="248" t="inlineStr">
        <is>
          <t>999-9950</t>
        </is>
      </c>
      <c r="C42" s="256" t="inlineStr">
        <is>
          <t>Вспомогательные ненормируемые ресурсы (2% от Оплаты труда рабочих)</t>
        </is>
      </c>
      <c r="D42" s="248" t="inlineStr">
        <is>
          <t>руб</t>
        </is>
      </c>
      <c r="E42" s="338" t="n">
        <v>13.04</v>
      </c>
      <c r="F42" s="258" t="n">
        <v>1</v>
      </c>
      <c r="G42" s="26">
        <f>ROUND(E42*F42,2)</f>
        <v/>
      </c>
      <c r="H42" s="170">
        <f>G42/$G$51</f>
        <v/>
      </c>
      <c r="I42" s="26">
        <f>ROUND(F42*'Прил. 10'!$D$13,2)</f>
        <v/>
      </c>
      <c r="J42" s="26">
        <f>ROUND(I42*E42,2)</f>
        <v/>
      </c>
    </row>
    <row r="43" ht="25.5" customFormat="1" customHeight="1" s="12">
      <c r="A43" s="248" t="n">
        <v>16</v>
      </c>
      <c r="B43" s="248" t="inlineStr">
        <is>
          <t>01.3.01.06-0050</t>
        </is>
      </c>
      <c r="C43" s="256" t="inlineStr">
        <is>
          <t>Смазка универсальная тугоплавкая УТ (консталин жировой)</t>
        </is>
      </c>
      <c r="D43" s="248" t="inlineStr">
        <is>
          <t>т</t>
        </is>
      </c>
      <c r="E43" s="338" t="n">
        <v>0.00024</v>
      </c>
      <c r="F43" s="258" t="n">
        <v>17500</v>
      </c>
      <c r="G43" s="26">
        <f>ROUND(E43*F43,2)</f>
        <v/>
      </c>
      <c r="H43" s="170">
        <f>G43/$G$51</f>
        <v/>
      </c>
      <c r="I43" s="26">
        <f>ROUND(F43*'Прил. 10'!$D$13,2)</f>
        <v/>
      </c>
      <c r="J43" s="26">
        <f>ROUND(I43*E43,2)</f>
        <v/>
      </c>
    </row>
    <row r="44" ht="14.25" customFormat="1" customHeight="1" s="12">
      <c r="A44" s="250" t="n"/>
      <c r="B44" s="173" t="n"/>
      <c r="C44" s="174" t="inlineStr">
        <is>
          <t>Итого основные материалы</t>
        </is>
      </c>
      <c r="D44" s="250" t="n"/>
      <c r="E44" s="341" t="n"/>
      <c r="F44" s="176" t="n"/>
      <c r="G44" s="176">
        <f>SUM(G42:G43)</f>
        <v/>
      </c>
      <c r="H44" s="170">
        <f>G44/$G$51</f>
        <v/>
      </c>
      <c r="I44" s="26" t="n"/>
      <c r="J44" s="176">
        <f>SUM(J42:J43)</f>
        <v/>
      </c>
    </row>
    <row r="45" hidden="1" outlineLevel="1" ht="14.25" customFormat="1" customHeight="1" s="12">
      <c r="A45" s="248" t="n">
        <v>17</v>
      </c>
      <c r="B45" s="248" t="inlineStr">
        <is>
          <t>01.3.01.06-0038</t>
        </is>
      </c>
      <c r="C45" s="256" t="inlineStr">
        <is>
          <t>Смазка защитная электросетевая</t>
        </is>
      </c>
      <c r="D45" s="248" t="inlineStr">
        <is>
          <t>кг</t>
        </is>
      </c>
      <c r="E45" s="338" t="n">
        <v>0.1</v>
      </c>
      <c r="F45" s="258" t="n">
        <v>14.4</v>
      </c>
      <c r="G45" s="26">
        <f>ROUND(E45*F45,2)</f>
        <v/>
      </c>
      <c r="H45" s="170">
        <f>G45/$G$51</f>
        <v/>
      </c>
      <c r="I45" s="26">
        <f>ROUND(F45*'Прил. 10'!$D$13,2)</f>
        <v/>
      </c>
      <c r="J45" s="26">
        <f>ROUND(I45*E45,2)</f>
        <v/>
      </c>
    </row>
    <row r="46" hidden="1" outlineLevel="1" ht="14.25" customFormat="1" customHeight="1" s="12">
      <c r="A46" s="248" t="n">
        <v>18</v>
      </c>
      <c r="B46" s="248" t="inlineStr">
        <is>
          <t>14.4.03.03-0102</t>
        </is>
      </c>
      <c r="C46" s="256" t="inlineStr">
        <is>
          <t>Лак битумный БТ-577</t>
        </is>
      </c>
      <c r="D46" s="248" t="inlineStr">
        <is>
          <t>т</t>
        </is>
      </c>
      <c r="E46" s="338" t="n">
        <v>0.0001</v>
      </c>
      <c r="F46" s="258" t="n">
        <v>9550.01</v>
      </c>
      <c r="G46" s="26">
        <f>ROUND(E46*F46,2)</f>
        <v/>
      </c>
      <c r="H46" s="170">
        <f>G46/$G$51</f>
        <v/>
      </c>
      <c r="I46" s="26">
        <f>ROUND(F46*'Прил. 10'!$D$13,2)</f>
        <v/>
      </c>
      <c r="J46" s="26">
        <f>ROUND(I46*E46,2)</f>
        <v/>
      </c>
    </row>
    <row r="47" hidden="1" outlineLevel="1" ht="14.25" customFormat="1" customHeight="1" s="12">
      <c r="A47" s="248" t="n">
        <v>19</v>
      </c>
      <c r="B47" s="248" t="inlineStr">
        <is>
          <t>01.3.01.06-0051</t>
        </is>
      </c>
      <c r="C47" s="256" t="inlineStr">
        <is>
          <t>Смазка солидол жировой Ж</t>
        </is>
      </c>
      <c r="D47" s="248" t="inlineStr">
        <is>
          <t>кг</t>
        </is>
      </c>
      <c r="E47" s="338" t="n">
        <v>0.03</v>
      </c>
      <c r="F47" s="258" t="n">
        <v>7.2</v>
      </c>
      <c r="G47" s="26">
        <f>ROUND(E47*F47,2)</f>
        <v/>
      </c>
      <c r="H47" s="170">
        <f>G47/$G$51</f>
        <v/>
      </c>
      <c r="I47" s="26">
        <f>ROUND(F47*'Прил. 10'!$D$13,2)</f>
        <v/>
      </c>
      <c r="J47" s="26">
        <f>ROUND(I47*E47,2)</f>
        <v/>
      </c>
    </row>
    <row r="48" hidden="1" outlineLevel="1" ht="14.25" customFormat="1" customHeight="1" s="12">
      <c r="A48" s="248" t="n">
        <v>20</v>
      </c>
      <c r="B48" s="248" t="inlineStr">
        <is>
          <t>14.5.09.11-0102</t>
        </is>
      </c>
      <c r="C48" s="256" t="inlineStr">
        <is>
          <t>Уайт-спирит</t>
        </is>
      </c>
      <c r="D48" s="248" t="inlineStr">
        <is>
          <t>кг</t>
        </is>
      </c>
      <c r="E48" s="338" t="n">
        <v>0.03</v>
      </c>
      <c r="F48" s="258" t="n">
        <v>6.67</v>
      </c>
      <c r="G48" s="26">
        <f>ROUND(E48*F48,2)</f>
        <v/>
      </c>
      <c r="H48" s="170">
        <f>G48/$G$51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48" t="n">
        <v>21</v>
      </c>
      <c r="B49" s="248" t="inlineStr">
        <is>
          <t>01.7.20.08-0051</t>
        </is>
      </c>
      <c r="C49" s="256" t="inlineStr">
        <is>
          <t>Ветошь</t>
        </is>
      </c>
      <c r="D49" s="248" t="inlineStr">
        <is>
          <t>кг</t>
        </is>
      </c>
      <c r="E49" s="338" t="n">
        <v>0.02</v>
      </c>
      <c r="F49" s="258" t="n">
        <v>1.82</v>
      </c>
      <c r="G49" s="26">
        <f>ROUND(E49*F49,2)</f>
        <v/>
      </c>
      <c r="H49" s="170">
        <f>G49/$G$51</f>
        <v/>
      </c>
      <c r="I49" s="26">
        <f>ROUND(F49*'Прил. 10'!$D$13,2)</f>
        <v/>
      </c>
      <c r="J49" s="26">
        <f>ROUND(I49*E49,2)</f>
        <v/>
      </c>
    </row>
    <row r="50" collapsed="1" ht="14.25" customFormat="1" customHeight="1" s="12">
      <c r="A50" s="248" t="n"/>
      <c r="B50" s="248" t="n"/>
      <c r="C50" s="256" t="inlineStr">
        <is>
          <t>Итого прочие материалы</t>
        </is>
      </c>
      <c r="D50" s="248" t="n"/>
      <c r="E50" s="257" t="n"/>
      <c r="F50" s="258" t="n"/>
      <c r="G50" s="26">
        <f>SUM(G45:G49)</f>
        <v/>
      </c>
      <c r="H50" s="170">
        <f>G50/$G$51</f>
        <v/>
      </c>
      <c r="I50" s="26" t="n"/>
      <c r="J50" s="26">
        <f>SUM(J45:J49)</f>
        <v/>
      </c>
    </row>
    <row r="51" ht="14.25" customFormat="1" customHeight="1" s="12">
      <c r="A51" s="248" t="n"/>
      <c r="B51" s="248" t="n"/>
      <c r="C51" s="237" t="inlineStr">
        <is>
          <t>Итого по разделу «Материалы»</t>
        </is>
      </c>
      <c r="D51" s="248" t="n"/>
      <c r="E51" s="257" t="n"/>
      <c r="F51" s="258" t="n"/>
      <c r="G51" s="26">
        <f>G44+G50</f>
        <v/>
      </c>
      <c r="H51" s="259">
        <f>G51/$G$51</f>
        <v/>
      </c>
      <c r="I51" s="26" t="n"/>
      <c r="J51" s="26">
        <f>J44+J50</f>
        <v/>
      </c>
    </row>
    <row r="52" ht="14.25" customFormat="1" customHeight="1" s="12">
      <c r="A52" s="248" t="n"/>
      <c r="B52" s="248" t="n"/>
      <c r="C52" s="256" t="inlineStr">
        <is>
          <t>ИТОГО ПО РМ</t>
        </is>
      </c>
      <c r="D52" s="248" t="n"/>
      <c r="E52" s="257" t="n"/>
      <c r="F52" s="258" t="n"/>
      <c r="G52" s="26">
        <f>G19+G32+G51</f>
        <v/>
      </c>
      <c r="H52" s="259" t="n"/>
      <c r="I52" s="26" t="n"/>
      <c r="J52" s="26">
        <f>J19+J32+J51</f>
        <v/>
      </c>
    </row>
    <row r="53" ht="14.25" customFormat="1" customHeight="1" s="12">
      <c r="A53" s="248" t="n"/>
      <c r="B53" s="248" t="n"/>
      <c r="C53" s="256" t="inlineStr">
        <is>
          <t>Накладные расходы</t>
        </is>
      </c>
      <c r="D53" s="121">
        <f>ROUND(G53/(G$21+$G$19),2)</f>
        <v/>
      </c>
      <c r="E53" s="257" t="n"/>
      <c r="F53" s="258" t="n"/>
      <c r="G53" s="26" t="n">
        <v>801.5</v>
      </c>
      <c r="H53" s="259" t="n"/>
      <c r="I53" s="26" t="n"/>
      <c r="J53" s="26">
        <f>ROUND(D53*(J19+J21),2)</f>
        <v/>
      </c>
    </row>
    <row r="54" ht="14.25" customFormat="1" customHeight="1" s="12">
      <c r="A54" s="248" t="n"/>
      <c r="B54" s="248" t="n"/>
      <c r="C54" s="256" t="inlineStr">
        <is>
          <t>Сметная прибыль</t>
        </is>
      </c>
      <c r="D54" s="121">
        <f>ROUND(G54/(G$19+G$21),2)</f>
        <v/>
      </c>
      <c r="E54" s="257" t="n"/>
      <c r="F54" s="258" t="n"/>
      <c r="G54" s="26" t="n">
        <v>414.23</v>
      </c>
      <c r="H54" s="259" t="n"/>
      <c r="I54" s="26" t="n"/>
      <c r="J54" s="26">
        <f>ROUND(D54*(J19+J21),2)</f>
        <v/>
      </c>
    </row>
    <row r="55" ht="14.25" customFormat="1" customHeight="1" s="12">
      <c r="A55" s="248" t="n"/>
      <c r="B55" s="248" t="n"/>
      <c r="C55" s="256" t="inlineStr">
        <is>
          <t>Итого СМР (с НР и СП)</t>
        </is>
      </c>
      <c r="D55" s="248" t="n"/>
      <c r="E55" s="257" t="n"/>
      <c r="F55" s="258" t="n"/>
      <c r="G55" s="26">
        <f>G19+G32+G51+G53+G54</f>
        <v/>
      </c>
      <c r="H55" s="259" t="n"/>
      <c r="I55" s="26" t="n"/>
      <c r="J55" s="26">
        <f>J19+J32+J51+J53+J54</f>
        <v/>
      </c>
    </row>
    <row r="56" ht="14.25" customFormat="1" customHeight="1" s="12">
      <c r="A56" s="248" t="n"/>
      <c r="B56" s="248" t="n"/>
      <c r="C56" s="256" t="inlineStr">
        <is>
          <t>ВСЕГО СМР + ОБОРУДОВАНИЕ</t>
        </is>
      </c>
      <c r="D56" s="248" t="n"/>
      <c r="E56" s="257" t="n"/>
      <c r="F56" s="258" t="n"/>
      <c r="G56" s="26">
        <f>G55+G38</f>
        <v/>
      </c>
      <c r="H56" s="259" t="n"/>
      <c r="I56" s="26" t="n"/>
      <c r="J56" s="26">
        <f>J55+J38</f>
        <v/>
      </c>
    </row>
    <row r="57" ht="34.5" customFormat="1" customHeight="1" s="12">
      <c r="A57" s="248" t="n"/>
      <c r="B57" s="248" t="n"/>
      <c r="C57" s="256" t="inlineStr">
        <is>
          <t>ИТОГО ПОКАЗАТЕЛЬ НА ЕД. ИЗМ.</t>
        </is>
      </c>
      <c r="D57" s="248" t="inlineStr">
        <is>
          <t>ед.</t>
        </is>
      </c>
      <c r="E57" s="342" t="n">
        <v>1</v>
      </c>
      <c r="F57" s="258" t="n"/>
      <c r="G57" s="26">
        <f>G56/E57</f>
        <v/>
      </c>
      <c r="H57" s="259" t="n"/>
      <c r="I57" s="26" t="n"/>
      <c r="J57" s="26">
        <f>J56/E57</f>
        <v/>
      </c>
    </row>
    <row r="59" ht="14.25" customFormat="1" customHeight="1" s="12">
      <c r="A59" s="4" t="inlineStr">
        <is>
          <t>Составил ______________________    Д.Ю. Нефедова</t>
        </is>
      </c>
    </row>
    <row r="60" ht="14.25" customFormat="1" customHeight="1" s="12">
      <c r="A60" s="114" t="inlineStr">
        <is>
          <t xml:space="preserve">                         (подпись, инициалы, фамилия)</t>
        </is>
      </c>
      <c r="G60" s="184" t="n"/>
    </row>
    <row r="61" ht="14.25" customFormat="1" customHeight="1" s="12">
      <c r="A61" s="4" t="n"/>
    </row>
    <row r="62" ht="14.25" customFormat="1" customHeight="1" s="12">
      <c r="A62" s="4" t="inlineStr">
        <is>
          <t>Проверил ______________________        А.В. Костянецкая</t>
        </is>
      </c>
    </row>
    <row r="63" ht="14.25" customFormat="1" customHeight="1" s="12">
      <c r="A63" s="114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64" t="inlineStr">
        <is>
          <t>Приложение №6</t>
        </is>
      </c>
    </row>
    <row r="2" ht="21.75" customHeight="1" s="186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7" customHeight="1" s="186">
      <c r="A4" s="225" t="inlineStr">
        <is>
          <t>Наименование разрабатываемого показателя УНЦ — Установка пункта коммерческого учета (ПКУ) ЭЭ класса напряжения 6-15 кВ на проводах ВЛ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86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48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27" t="n"/>
    </row>
    <row r="7">
      <c r="A7" s="329" t="n"/>
      <c r="B7" s="329" t="n"/>
      <c r="C7" s="329" t="n"/>
      <c r="D7" s="329" t="n"/>
      <c r="E7" s="329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86">
      <c r="A9" s="117" t="n"/>
      <c r="B9" s="256" t="inlineStr">
        <is>
          <t>ИНЖЕНЕРНОЕ ОБОРУДОВАНИЕ</t>
        </is>
      </c>
      <c r="C9" s="326" t="n"/>
      <c r="D9" s="326" t="n"/>
      <c r="E9" s="326" t="n"/>
      <c r="F9" s="326" t="n"/>
      <c r="G9" s="327" t="n"/>
    </row>
    <row r="10" ht="27" customHeight="1" s="186">
      <c r="A10" s="248" t="n"/>
      <c r="B10" s="237" t="n"/>
      <c r="C10" s="256" t="inlineStr">
        <is>
          <t>ИТОГО ИНЖЕНЕРНОЕ ОБОРУДОВАНИЕ</t>
        </is>
      </c>
      <c r="D10" s="237" t="n"/>
      <c r="E10" s="119" t="n"/>
      <c r="F10" s="258" t="n"/>
      <c r="G10" s="258" t="n">
        <v>0</v>
      </c>
    </row>
    <row r="11">
      <c r="A11" s="248" t="n"/>
      <c r="B11" s="256" t="inlineStr">
        <is>
          <t>ТЕХНОЛОГИЧЕСКОЕ ОБОРУДОВАНИЕ</t>
        </is>
      </c>
      <c r="C11" s="326" t="n"/>
      <c r="D11" s="326" t="n"/>
      <c r="E11" s="326" t="n"/>
      <c r="F11" s="326" t="n"/>
      <c r="G11" s="327" t="n"/>
    </row>
    <row r="12" ht="25.5" customHeight="1" s="186">
      <c r="A12" s="248" t="n">
        <v>1</v>
      </c>
      <c r="B12" s="256" t="inlineStr">
        <is>
          <t>БЦ.50.16</t>
        </is>
      </c>
      <c r="C12" s="256" t="inlineStr">
        <is>
          <t>Учёт 6 (10) кВ. Пункт учета, устанавливаемый на проводах ВЛ.</t>
        </is>
      </c>
      <c r="D12" s="256" t="inlineStr">
        <is>
          <t>компл.</t>
        </is>
      </c>
      <c r="E12" s="256" t="n">
        <v>1</v>
      </c>
      <c r="F12" s="256" t="n">
        <v>70766.77</v>
      </c>
      <c r="G12" s="258" t="n">
        <v>70766.77</v>
      </c>
    </row>
    <row r="13" ht="25.5" customHeight="1" s="186">
      <c r="A13" s="248" t="n"/>
      <c r="B13" s="256" t="n"/>
      <c r="C13" s="256" t="inlineStr">
        <is>
          <t>ИТОГО ТЕХНОЛОГИЧЕСКОЕ ОБОРУДОВАНИЕ</t>
        </is>
      </c>
      <c r="D13" s="256" t="n"/>
      <c r="E13" s="268" t="n"/>
      <c r="F13" s="258" t="n"/>
      <c r="G13" s="26">
        <f>SUM(G12:G12)</f>
        <v/>
      </c>
    </row>
    <row r="14" ht="19.5" customHeight="1" s="186">
      <c r="A14" s="248" t="n"/>
      <c r="B14" s="256" t="n"/>
      <c r="C14" s="256" t="inlineStr">
        <is>
          <t>Всего по разделу «Оборудование»</t>
        </is>
      </c>
      <c r="D14" s="256" t="n"/>
      <c r="E14" s="268" t="n"/>
      <c r="F14" s="258" t="n"/>
      <c r="G14" s="26">
        <f>G10+G13</f>
        <v/>
      </c>
    </row>
    <row r="15">
      <c r="A15" s="24" t="n"/>
      <c r="B15" s="120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4" t="n"/>
      <c r="E16" s="24" t="n"/>
      <c r="F16" s="24" t="n"/>
      <c r="G16" s="24" t="n"/>
    </row>
    <row r="17">
      <c r="A17" s="114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4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 s="186">
      <c r="A3" s="222" t="inlineStr">
        <is>
          <t>Расчет показателя УНЦ</t>
        </is>
      </c>
    </row>
    <row r="4" ht="24.75" customHeight="1" s="186">
      <c r="A4" s="222" t="n"/>
      <c r="B4" s="222" t="n"/>
      <c r="C4" s="222" t="n"/>
      <c r="D4" s="222" t="n"/>
    </row>
    <row r="5" ht="24.6" customHeight="1" s="186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9.9" customHeight="1" s="186">
      <c r="A6" s="225" t="inlineStr">
        <is>
          <t>Единица измерения  — 1 ед</t>
        </is>
      </c>
      <c r="D6" s="225" t="n"/>
    </row>
    <row r="7">
      <c r="A7" s="4" t="n"/>
      <c r="B7" s="4" t="n"/>
      <c r="C7" s="4" t="n"/>
      <c r="D7" s="4" t="n"/>
    </row>
    <row r="8" ht="14.45" customHeight="1" s="186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86">
      <c r="A9" s="329" t="n"/>
      <c r="B9" s="329" t="n"/>
      <c r="C9" s="329" t="n"/>
      <c r="D9" s="329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186">
      <c r="A11" s="248" t="inlineStr">
        <is>
          <t>А1-38</t>
        </is>
      </c>
      <c r="B11" s="248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29" t="inlineStr">
        <is>
          <t>Приложение № 10</t>
        </is>
      </c>
    </row>
    <row r="5" ht="18.75" customHeight="1" s="186">
      <c r="B5" s="105" t="n"/>
    </row>
    <row r="6" ht="15.75" customHeight="1" s="186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 s="186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186">
      <c r="B10" s="235" t="n">
        <v>1</v>
      </c>
      <c r="C10" s="235" t="n">
        <v>2</v>
      </c>
      <c r="D10" s="235" t="n">
        <v>3</v>
      </c>
    </row>
    <row r="11" ht="45" customHeight="1" s="186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 s="186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11.72</v>
      </c>
    </row>
    <row r="13" ht="29.25" customHeight="1" s="186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7.74</v>
      </c>
    </row>
    <row r="14" ht="30.75" customHeight="1" s="186">
      <c r="B14" s="235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186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 s="186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0.019</v>
      </c>
    </row>
    <row r="17" ht="31.5" customHeight="1" s="186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08" t="n">
        <v>0.0214</v>
      </c>
    </row>
    <row r="18" ht="31.5" customHeight="1" s="186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08" t="n">
        <v>0.002</v>
      </c>
    </row>
    <row r="19" ht="24" customHeight="1" s="186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52" zoomScale="60" zoomScaleNormal="100" workbookViewId="0">
      <selection activeCell="E63" sqref="E6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35" t="n"/>
      <c r="D10" s="235" t="n"/>
      <c r="E10" s="343" t="n">
        <v>3.9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44" t="n">
        <v>1.324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3" t="inlineStr">
        <is>
          <t>1.6</t>
        </is>
      </c>
      <c r="B12" s="315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345" t="n">
        <v>1.139</v>
      </c>
      <c r="F12" s="3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21" t="inlineStr">
        <is>
          <t>1.7</t>
        </is>
      </c>
      <c r="B13" s="322" t="inlineStr">
        <is>
          <t>Размер средств на оплату труда рабочих-строителей в текущем уровне цен (ФОТр.тек.), руб/чел.-ч</t>
        </is>
      </c>
      <c r="C13" s="323" t="inlineStr">
        <is>
          <t>ФОТр.тек.</t>
        </is>
      </c>
      <c r="D13" s="323" t="inlineStr">
        <is>
          <t>(С1ср/tср*КТ*Т*Кув)*Кинф</t>
        </is>
      </c>
      <c r="E13" s="324">
        <f>((E7*E9/E8)*E11)*E12</f>
        <v/>
      </c>
      <c r="F13" s="3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  <row r="14" ht="14.45" customHeight="1" s="186">
      <c r="A14" s="318" t="n"/>
      <c r="B14" s="319" t="inlineStr">
        <is>
          <t>Ведущий инженер</t>
        </is>
      </c>
      <c r="C14" s="319" t="n"/>
      <c r="D14" s="319" t="n"/>
      <c r="E14" s="319" t="n"/>
      <c r="F14" s="320" t="n"/>
    </row>
    <row r="15" ht="110.25" customHeight="1" s="186">
      <c r="A15" s="190" t="inlineStr">
        <is>
          <t>1.1</t>
        </is>
      </c>
      <c r="B15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35" t="inlineStr">
        <is>
          <t>С1ср</t>
        </is>
      </c>
      <c r="D15" s="235" t="inlineStr">
        <is>
          <t>-</t>
        </is>
      </c>
      <c r="E15" s="193" t="n">
        <v>47872.94</v>
      </c>
      <c r="F15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88" t="n"/>
    </row>
    <row r="16" ht="31.5" customHeight="1" s="186">
      <c r="A16" s="190" t="inlineStr">
        <is>
          <t>1.2</t>
        </is>
      </c>
      <c r="B16" s="195" t="inlineStr">
        <is>
          <t>Среднегодовое нормативное число часов работы одного рабочего в месяц, часы (ч.)</t>
        </is>
      </c>
      <c r="C16" s="235" t="inlineStr">
        <is>
          <t>tср</t>
        </is>
      </c>
      <c r="D16" s="235" t="inlineStr">
        <is>
          <t>1973ч/12мес.</t>
        </is>
      </c>
      <c r="E16" s="194">
        <f>1973/12</f>
        <v/>
      </c>
      <c r="F16" s="195" t="inlineStr">
        <is>
          <t>Производственный календарь 2023 год
(40-часов.неделя)</t>
        </is>
      </c>
      <c r="G16" s="197" t="n"/>
    </row>
    <row r="17" ht="15.75" customHeight="1" s="186">
      <c r="A17" s="190" t="inlineStr">
        <is>
          <t>1.3</t>
        </is>
      </c>
      <c r="B17" s="195" t="inlineStr">
        <is>
          <t>Коэффициент увеличения</t>
        </is>
      </c>
      <c r="C17" s="235" t="inlineStr">
        <is>
          <t>Кув</t>
        </is>
      </c>
      <c r="D17" s="235" t="inlineStr">
        <is>
          <t>-</t>
        </is>
      </c>
      <c r="E17" s="194" t="n">
        <v>1</v>
      </c>
      <c r="F17" s="195" t="n"/>
      <c r="G17" s="197" t="n"/>
    </row>
    <row r="18" ht="15.75" customHeight="1" s="186">
      <c r="A18" s="190" t="inlineStr">
        <is>
          <t>1.4</t>
        </is>
      </c>
      <c r="B18" s="195" t="inlineStr">
        <is>
          <t>Средний разряд работ</t>
        </is>
      </c>
      <c r="C18" s="235" t="n"/>
      <c r="D18" s="235" t="n"/>
      <c r="E18" s="343" t="inlineStr">
        <is>
          <t>Ведущий инженер</t>
        </is>
      </c>
      <c r="F18" s="195" t="inlineStr">
        <is>
          <t>РТМ</t>
        </is>
      </c>
      <c r="G18" s="197" t="n"/>
    </row>
    <row r="19" ht="78.75" customHeight="1" s="186">
      <c r="A19" s="203" t="inlineStr">
        <is>
          <t>1.5</t>
        </is>
      </c>
      <c r="B19" s="205" t="inlineStr">
        <is>
          <t>Тарифный коэффициент среднего разряда работ</t>
        </is>
      </c>
      <c r="C19" s="236" t="inlineStr">
        <is>
          <t>КТ</t>
        </is>
      </c>
      <c r="D19" s="236" t="inlineStr">
        <is>
          <t>-</t>
        </is>
      </c>
      <c r="E19" s="346" t="n">
        <v>2.35</v>
      </c>
      <c r="F19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88" t="n"/>
    </row>
    <row r="20" ht="78.75" customHeight="1" s="186">
      <c r="A20" s="190" t="inlineStr">
        <is>
          <t>1.6</t>
        </is>
      </c>
      <c r="B20" s="214" t="inlineStr">
        <is>
          <t>Коэффициент инфляции, определяемый поквартально</t>
        </is>
      </c>
      <c r="C20" s="235" t="inlineStr">
        <is>
          <t>Кинф</t>
        </is>
      </c>
      <c r="D20" s="235" t="inlineStr">
        <is>
          <t>-</t>
        </is>
      </c>
      <c r="E20" s="347" t="n">
        <v>1.139</v>
      </c>
      <c r="F20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97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86">
      <c r="A21" s="190" t="inlineStr">
        <is>
          <t>1.7</t>
        </is>
      </c>
      <c r="B21" s="209" t="inlineStr">
        <is>
          <t>Размер средств на оплату труда рабочих-строителей в текущем уровне цен (ФОТр.тек.), руб/чел.-ч</t>
        </is>
      </c>
      <c r="C21" s="235" t="inlineStr">
        <is>
          <t>ФОТр.тек.</t>
        </is>
      </c>
      <c r="D21" s="235" t="inlineStr">
        <is>
          <t>(С1ср/tср*КТ*Т*Кув)*Кинф</t>
        </is>
      </c>
      <c r="E21" s="210">
        <f>((E15*E17/E16)*E19)*E20</f>
        <v/>
      </c>
      <c r="F21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88" t="n"/>
    </row>
    <row r="22" ht="15.75" customHeight="1" s="186">
      <c r="A22" s="211" t="n"/>
      <c r="B22" s="206" t="inlineStr">
        <is>
          <t>Инженер I категории</t>
        </is>
      </c>
      <c r="C22" s="206" t="n"/>
      <c r="D22" s="206" t="n"/>
      <c r="E22" s="206" t="n"/>
      <c r="F22" s="207" t="n"/>
    </row>
    <row r="23" ht="110.25" customHeight="1" s="186">
      <c r="A23" s="190" t="inlineStr">
        <is>
          <t>1.1</t>
        </is>
      </c>
      <c r="B23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35" t="inlineStr">
        <is>
          <t>С1ср</t>
        </is>
      </c>
      <c r="D23" s="235" t="inlineStr">
        <is>
          <t>-</t>
        </is>
      </c>
      <c r="E23" s="193" t="n">
        <v>47872.94</v>
      </c>
      <c r="F23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88" t="n"/>
    </row>
    <row r="24" ht="31.5" customHeight="1" s="186">
      <c r="A24" s="190" t="inlineStr">
        <is>
          <t>1.2</t>
        </is>
      </c>
      <c r="B24" s="195" t="inlineStr">
        <is>
          <t>Среднегодовое нормативное число часов работы одного рабочего в месяц, часы (ч.)</t>
        </is>
      </c>
      <c r="C24" s="235" t="inlineStr">
        <is>
          <t>tср</t>
        </is>
      </c>
      <c r="D24" s="235" t="inlineStr">
        <is>
          <t>1973ч/12мес.</t>
        </is>
      </c>
      <c r="E24" s="194">
        <f>1973/12</f>
        <v/>
      </c>
      <c r="F24" s="195" t="inlineStr">
        <is>
          <t>Производственный календарь 2023 год
(40-часов.неделя)</t>
        </is>
      </c>
      <c r="G24" s="197" t="n"/>
    </row>
    <row r="25" ht="15.75" customHeight="1" s="186">
      <c r="A25" s="190" t="inlineStr">
        <is>
          <t>1.3</t>
        </is>
      </c>
      <c r="B25" s="195" t="inlineStr">
        <is>
          <t>Коэффициент увеличения</t>
        </is>
      </c>
      <c r="C25" s="235" t="inlineStr">
        <is>
          <t>Кув</t>
        </is>
      </c>
      <c r="D25" s="235" t="inlineStr">
        <is>
          <t>-</t>
        </is>
      </c>
      <c r="E25" s="194" t="n">
        <v>1</v>
      </c>
      <c r="F25" s="195" t="n"/>
      <c r="G25" s="197" t="n"/>
    </row>
    <row r="26" ht="15.75" customHeight="1" s="186">
      <c r="A26" s="190" t="inlineStr">
        <is>
          <t>1.4</t>
        </is>
      </c>
      <c r="B26" s="195" t="inlineStr">
        <is>
          <t>Средний разряд работ</t>
        </is>
      </c>
      <c r="C26" s="235" t="n"/>
      <c r="D26" s="235" t="n"/>
      <c r="E26" s="343" t="inlineStr">
        <is>
          <t>Инженер I категории</t>
        </is>
      </c>
      <c r="F26" s="195" t="inlineStr">
        <is>
          <t>РТМ</t>
        </is>
      </c>
      <c r="G26" s="197" t="n"/>
    </row>
    <row r="27" ht="78.75" customHeight="1" s="186">
      <c r="A27" s="203" t="inlineStr">
        <is>
          <t>1.5</t>
        </is>
      </c>
      <c r="B27" s="205" t="inlineStr">
        <is>
          <t>Тарифный коэффициент среднего разряда работ</t>
        </is>
      </c>
      <c r="C27" s="236" t="inlineStr">
        <is>
          <t>КТ</t>
        </is>
      </c>
      <c r="D27" s="236" t="inlineStr">
        <is>
          <t>-</t>
        </is>
      </c>
      <c r="E27" s="346" t="n">
        <v>2.15</v>
      </c>
      <c r="F27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88" t="n"/>
    </row>
    <row r="28" ht="78.75" customHeight="1" s="186">
      <c r="A28" s="190" t="inlineStr">
        <is>
          <t>1.6</t>
        </is>
      </c>
      <c r="B28" s="214" t="inlineStr">
        <is>
          <t>Коэффициент инфляции, определяемый поквартально</t>
        </is>
      </c>
      <c r="C28" s="235" t="inlineStr">
        <is>
          <t>Кинф</t>
        </is>
      </c>
      <c r="D28" s="235" t="inlineStr">
        <is>
          <t>-</t>
        </is>
      </c>
      <c r="E28" s="347" t="n">
        <v>1.139</v>
      </c>
      <c r="F28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97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86">
      <c r="A29" s="190" t="inlineStr">
        <is>
          <t>1.7</t>
        </is>
      </c>
      <c r="B29" s="209" t="inlineStr">
        <is>
          <t>Размер средств на оплату труда рабочих-строителей в текущем уровне цен (ФОТр.тек.), руб/чел.-ч</t>
        </is>
      </c>
      <c r="C29" s="235" t="inlineStr">
        <is>
          <t>ФОТр.тек.</t>
        </is>
      </c>
      <c r="D29" s="235" t="inlineStr">
        <is>
          <t>(С1ср/tср*КТ*Т*Кув)*Кинф</t>
        </is>
      </c>
      <c r="E29" s="210">
        <f>((E23*E25/E24)*E27)*E28</f>
        <v/>
      </c>
      <c r="F29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88" t="n"/>
    </row>
    <row r="30" ht="15.75" customHeight="1" s="186">
      <c r="A30" s="211" t="n"/>
      <c r="B30" s="206" t="inlineStr">
        <is>
          <t>Инженер II категории</t>
        </is>
      </c>
      <c r="C30" s="206" t="n"/>
      <c r="D30" s="206" t="n"/>
      <c r="E30" s="206" t="n"/>
      <c r="F30" s="207" t="n"/>
    </row>
    <row r="31" ht="110.25" customHeight="1" s="186">
      <c r="A31" s="190" t="inlineStr">
        <is>
          <t>1.1</t>
        </is>
      </c>
      <c r="B31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35" t="inlineStr">
        <is>
          <t>С1ср</t>
        </is>
      </c>
      <c r="D31" s="235" t="inlineStr">
        <is>
          <t>-</t>
        </is>
      </c>
      <c r="E31" s="193" t="n">
        <v>47872.94</v>
      </c>
      <c r="F31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88" t="n"/>
    </row>
    <row r="32" ht="31.5" customHeight="1" s="186">
      <c r="A32" s="190" t="inlineStr">
        <is>
          <t>1.2</t>
        </is>
      </c>
      <c r="B32" s="195" t="inlineStr">
        <is>
          <t>Среднегодовое нормативное число часов работы одного рабочего в месяц, часы (ч.)</t>
        </is>
      </c>
      <c r="C32" s="235" t="inlineStr">
        <is>
          <t>tср</t>
        </is>
      </c>
      <c r="D32" s="235" t="inlineStr">
        <is>
          <t>1973ч/12мес.</t>
        </is>
      </c>
      <c r="E32" s="194">
        <f>1973/12</f>
        <v/>
      </c>
      <c r="F32" s="195" t="inlineStr">
        <is>
          <t>Производственный календарь 2023 год
(40-часов.неделя)</t>
        </is>
      </c>
      <c r="G32" s="197" t="n"/>
    </row>
    <row r="33" ht="15.75" customHeight="1" s="186">
      <c r="A33" s="190" t="inlineStr">
        <is>
          <t>1.3</t>
        </is>
      </c>
      <c r="B33" s="195" t="inlineStr">
        <is>
          <t>Коэффициент увеличения</t>
        </is>
      </c>
      <c r="C33" s="235" t="inlineStr">
        <is>
          <t>Кув</t>
        </is>
      </c>
      <c r="D33" s="235" t="inlineStr">
        <is>
          <t>-</t>
        </is>
      </c>
      <c r="E33" s="194" t="n">
        <v>1</v>
      </c>
      <c r="F33" s="195" t="n"/>
      <c r="G33" s="197" t="n"/>
    </row>
    <row r="34" ht="15.75" customHeight="1" s="186">
      <c r="A34" s="190" t="inlineStr">
        <is>
          <t>1.4</t>
        </is>
      </c>
      <c r="B34" s="195" t="inlineStr">
        <is>
          <t>Средний разряд работ</t>
        </is>
      </c>
      <c r="C34" s="235" t="n"/>
      <c r="D34" s="235" t="n"/>
      <c r="E34" s="343" t="inlineStr">
        <is>
          <t>Инженер II категории</t>
        </is>
      </c>
      <c r="F34" s="195" t="inlineStr">
        <is>
          <t>РТМ</t>
        </is>
      </c>
      <c r="G34" s="197" t="n"/>
    </row>
    <row r="35" ht="78.75" customHeight="1" s="186">
      <c r="A35" s="203" t="inlineStr">
        <is>
          <t>1.5</t>
        </is>
      </c>
      <c r="B35" s="205" t="inlineStr">
        <is>
          <t>Тарифный коэффициент среднего разряда работ</t>
        </is>
      </c>
      <c r="C35" s="236" t="inlineStr">
        <is>
          <t>КТ</t>
        </is>
      </c>
      <c r="D35" s="236" t="inlineStr">
        <is>
          <t>-</t>
        </is>
      </c>
      <c r="E35" s="346" t="n">
        <v>1.96</v>
      </c>
      <c r="F35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88" t="n"/>
    </row>
    <row r="36" ht="78.75" customHeight="1" s="186">
      <c r="A36" s="190" t="inlineStr">
        <is>
          <t>1.6</t>
        </is>
      </c>
      <c r="B36" s="214" t="inlineStr">
        <is>
          <t>Коэффициент инфляции, определяемый поквартально</t>
        </is>
      </c>
      <c r="C36" s="235" t="inlineStr">
        <is>
          <t>Кинф</t>
        </is>
      </c>
      <c r="D36" s="235" t="inlineStr">
        <is>
          <t>-</t>
        </is>
      </c>
      <c r="E36" s="347" t="n">
        <v>1.139</v>
      </c>
      <c r="F36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97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186">
      <c r="A37" s="190" t="inlineStr">
        <is>
          <t>1.7</t>
        </is>
      </c>
      <c r="B37" s="209" t="inlineStr">
        <is>
          <t>Размер средств на оплату труда рабочих-строителей в текущем уровне цен (ФОТр.тек.), руб/чел.-ч</t>
        </is>
      </c>
      <c r="C37" s="235" t="inlineStr">
        <is>
          <t>ФОТр.тек.</t>
        </is>
      </c>
      <c r="D37" s="235" t="inlineStr">
        <is>
          <t>(С1ср/tср*КТ*Т*Кув)*Кинф</t>
        </is>
      </c>
      <c r="E37" s="210">
        <f>((E31*E33/E32)*E35)*E36</f>
        <v/>
      </c>
      <c r="F37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88" t="n"/>
    </row>
    <row r="38" ht="15.75" customHeight="1" s="186">
      <c r="A38" s="211" t="n"/>
      <c r="B38" s="206" t="inlineStr">
        <is>
          <t>Инженер III категории</t>
        </is>
      </c>
      <c r="C38" s="206" t="n"/>
      <c r="D38" s="206" t="n"/>
      <c r="E38" s="206" t="n"/>
      <c r="F38" s="207" t="n"/>
    </row>
    <row r="39" ht="110.25" customHeight="1" s="186">
      <c r="A39" s="190" t="inlineStr">
        <is>
          <t>1.1</t>
        </is>
      </c>
      <c r="B39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35" t="inlineStr">
        <is>
          <t>С1ср</t>
        </is>
      </c>
      <c r="D39" s="235" t="inlineStr">
        <is>
          <t>-</t>
        </is>
      </c>
      <c r="E39" s="193" t="n">
        <v>47872.94</v>
      </c>
      <c r="F39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88" t="n"/>
    </row>
    <row r="40" ht="31.5" customHeight="1" s="186">
      <c r="A40" s="190" t="inlineStr">
        <is>
          <t>1.2</t>
        </is>
      </c>
      <c r="B40" s="195" t="inlineStr">
        <is>
          <t>Среднегодовое нормативное число часов работы одного рабочего в месяц, часы (ч.)</t>
        </is>
      </c>
      <c r="C40" s="235" t="inlineStr">
        <is>
          <t>tср</t>
        </is>
      </c>
      <c r="D40" s="235" t="inlineStr">
        <is>
          <t>1973ч/12мес.</t>
        </is>
      </c>
      <c r="E40" s="194">
        <f>1973/12</f>
        <v/>
      </c>
      <c r="F40" s="195" t="inlineStr">
        <is>
          <t>Производственный календарь 2023 год
(40-часов.неделя)</t>
        </is>
      </c>
      <c r="G40" s="197" t="n"/>
    </row>
    <row r="41" ht="15.75" customHeight="1" s="186">
      <c r="A41" s="190" t="inlineStr">
        <is>
          <t>1.3</t>
        </is>
      </c>
      <c r="B41" s="195" t="inlineStr">
        <is>
          <t>Коэффициент увеличения</t>
        </is>
      </c>
      <c r="C41" s="235" t="inlineStr">
        <is>
          <t>Кув</t>
        </is>
      </c>
      <c r="D41" s="235" t="inlineStr">
        <is>
          <t>-</t>
        </is>
      </c>
      <c r="E41" s="194" t="n">
        <v>1</v>
      </c>
      <c r="F41" s="195" t="n"/>
      <c r="G41" s="197" t="n"/>
    </row>
    <row r="42" ht="15.75" customHeight="1" s="186">
      <c r="A42" s="190" t="inlineStr">
        <is>
          <t>1.4</t>
        </is>
      </c>
      <c r="B42" s="195" t="inlineStr">
        <is>
          <t>Средний разряд работ</t>
        </is>
      </c>
      <c r="C42" s="235" t="n"/>
      <c r="D42" s="235" t="n"/>
      <c r="E42" s="343" t="inlineStr">
        <is>
          <t>Инженер III категории</t>
        </is>
      </c>
      <c r="F42" s="195" t="inlineStr">
        <is>
          <t>РТМ</t>
        </is>
      </c>
      <c r="G42" s="197" t="n"/>
    </row>
    <row r="43" ht="78.75" customHeight="1" s="186">
      <c r="A43" s="203" t="inlineStr">
        <is>
          <t>1.5</t>
        </is>
      </c>
      <c r="B43" s="205" t="inlineStr">
        <is>
          <t>Тарифный коэффициент среднего разряда работ</t>
        </is>
      </c>
      <c r="C43" s="236" t="inlineStr">
        <is>
          <t>КТ</t>
        </is>
      </c>
      <c r="D43" s="236" t="inlineStr">
        <is>
          <t>-</t>
        </is>
      </c>
      <c r="E43" s="346" t="n">
        <v>1.76</v>
      </c>
      <c r="F43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88" t="n"/>
    </row>
    <row r="44" ht="78.75" customHeight="1" s="186">
      <c r="A44" s="190" t="inlineStr">
        <is>
          <t>1.6</t>
        </is>
      </c>
      <c r="B44" s="214" t="inlineStr">
        <is>
          <t>Коэффициент инфляции, определяемый поквартально</t>
        </is>
      </c>
      <c r="C44" s="235" t="inlineStr">
        <is>
          <t>Кинф</t>
        </is>
      </c>
      <c r="D44" s="235" t="inlineStr">
        <is>
          <t>-</t>
        </is>
      </c>
      <c r="E44" s="347" t="n">
        <v>1.139</v>
      </c>
      <c r="F44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97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186">
      <c r="A45" s="190" t="inlineStr">
        <is>
          <t>1.7</t>
        </is>
      </c>
      <c r="B45" s="209" t="inlineStr">
        <is>
          <t>Размер средств на оплату труда рабочих-строителей в текущем уровне цен (ФОТр.тек.), руб/чел.-ч</t>
        </is>
      </c>
      <c r="C45" s="235" t="inlineStr">
        <is>
          <t>ФОТр.тек.</t>
        </is>
      </c>
      <c r="D45" s="235" t="inlineStr">
        <is>
          <t>(С1ср/tср*КТ*Т*Кув)*Кинф</t>
        </is>
      </c>
      <c r="E45" s="210">
        <f>((E39*E41/E40)*E43)*E44</f>
        <v/>
      </c>
      <c r="F45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88" t="n"/>
    </row>
    <row r="46" ht="15.75" customHeight="1" s="186">
      <c r="A46" s="211" t="n"/>
      <c r="B46" s="206" t="inlineStr">
        <is>
          <t>Техник I категории</t>
        </is>
      </c>
      <c r="C46" s="206" t="n"/>
      <c r="D46" s="206" t="n"/>
      <c r="E46" s="206" t="n"/>
      <c r="F46" s="207" t="n"/>
    </row>
    <row r="47" ht="110.25" customHeight="1" s="186">
      <c r="A47" s="190" t="inlineStr">
        <is>
          <t>1.1</t>
        </is>
      </c>
      <c r="B4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35" t="inlineStr">
        <is>
          <t>С1ср</t>
        </is>
      </c>
      <c r="D47" s="235" t="inlineStr">
        <is>
          <t>-</t>
        </is>
      </c>
      <c r="E47" s="193" t="n">
        <v>47872.94</v>
      </c>
      <c r="F4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88" t="n"/>
    </row>
    <row r="48" ht="31.5" customHeight="1" s="186">
      <c r="A48" s="190" t="inlineStr">
        <is>
          <t>1.2</t>
        </is>
      </c>
      <c r="B48" s="195" t="inlineStr">
        <is>
          <t>Среднегодовое нормативное число часов работы одного рабочего в месяц, часы (ч.)</t>
        </is>
      </c>
      <c r="C48" s="235" t="inlineStr">
        <is>
          <t>tср</t>
        </is>
      </c>
      <c r="D48" s="235" t="inlineStr">
        <is>
          <t>1973ч/12мес.</t>
        </is>
      </c>
      <c r="E48" s="194">
        <f>1973/12</f>
        <v/>
      </c>
      <c r="F48" s="195" t="inlineStr">
        <is>
          <t>Производственный календарь 2023 год
(40-часов.неделя)</t>
        </is>
      </c>
      <c r="G48" s="197" t="n"/>
    </row>
    <row r="49" ht="15.75" customHeight="1" s="186">
      <c r="A49" s="190" t="inlineStr">
        <is>
          <t>1.3</t>
        </is>
      </c>
      <c r="B49" s="195" t="inlineStr">
        <is>
          <t>Коэффициент увеличения</t>
        </is>
      </c>
      <c r="C49" s="235" t="inlineStr">
        <is>
          <t>Кув</t>
        </is>
      </c>
      <c r="D49" s="235" t="inlineStr">
        <is>
          <t>-</t>
        </is>
      </c>
      <c r="E49" s="194" t="n">
        <v>1</v>
      </c>
      <c r="F49" s="195" t="n"/>
      <c r="G49" s="197" t="n"/>
    </row>
    <row r="50" ht="15.75" customHeight="1" s="186">
      <c r="A50" s="190" t="inlineStr">
        <is>
          <t>1.4</t>
        </is>
      </c>
      <c r="B50" s="195" t="inlineStr">
        <is>
          <t>Средний разряд работ</t>
        </is>
      </c>
      <c r="C50" s="235" t="n"/>
      <c r="D50" s="235" t="n"/>
      <c r="E50" s="343" t="inlineStr">
        <is>
          <t>Техник I категории</t>
        </is>
      </c>
      <c r="F50" s="195" t="inlineStr">
        <is>
          <t>РТМ</t>
        </is>
      </c>
      <c r="G50" s="197" t="n"/>
    </row>
    <row r="51" ht="78.75" customHeight="1" s="186">
      <c r="A51" s="203" t="inlineStr">
        <is>
          <t>1.5</t>
        </is>
      </c>
      <c r="B51" s="205" t="inlineStr">
        <is>
          <t>Тарифный коэффициент среднего разряда работ</t>
        </is>
      </c>
      <c r="C51" s="236" t="inlineStr">
        <is>
          <t>КТ</t>
        </is>
      </c>
      <c r="D51" s="236" t="inlineStr">
        <is>
          <t>-</t>
        </is>
      </c>
      <c r="E51" s="346" t="n">
        <v>1.42</v>
      </c>
      <c r="F5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88" t="n"/>
    </row>
    <row r="52" ht="78.75" customHeight="1" s="186">
      <c r="A52" s="190" t="inlineStr">
        <is>
          <t>1.6</t>
        </is>
      </c>
      <c r="B52" s="214" t="inlineStr">
        <is>
          <t>Коэффициент инфляции, определяемый поквартально</t>
        </is>
      </c>
      <c r="C52" s="235" t="inlineStr">
        <is>
          <t>Кинф</t>
        </is>
      </c>
      <c r="D52" s="235" t="inlineStr">
        <is>
          <t>-</t>
        </is>
      </c>
      <c r="E52" s="347" t="n">
        <v>1.139</v>
      </c>
      <c r="F5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97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186">
      <c r="A53" s="190" t="inlineStr">
        <is>
          <t>1.7</t>
        </is>
      </c>
      <c r="B53" s="209" t="inlineStr">
        <is>
          <t>Размер средств на оплату труда рабочих-строителей в текущем уровне цен (ФОТр.тек.), руб/чел.-ч</t>
        </is>
      </c>
      <c r="C53" s="235" t="inlineStr">
        <is>
          <t>ФОТр.тек.</t>
        </is>
      </c>
      <c r="D53" s="235" t="inlineStr">
        <is>
          <t>(С1ср/tср*КТ*Т*Кув)*Кинф</t>
        </is>
      </c>
      <c r="E53" s="210">
        <f>((E47*E49/E48)*E51)*E52</f>
        <v/>
      </c>
      <c r="F53" s="1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88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2025-01-24T11:51:57Z</dcterms:modified>
  <cp:lastModifiedBy>Николай Трофименко</cp:lastModifiedBy>
  <cp:lastPrinted>2023-12-01T09:44:46Z</cp:lastPrinted>
</cp:coreProperties>
</file>