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'ФОТр.тек.'!$A$1:$F$38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169" fontId="17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1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6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7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1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6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47" customWidth="1" style="302" min="4" max="4"/>
    <col width="37.42578125" customWidth="1" style="302" min="5" max="5"/>
    <col width="9.140625" customWidth="1" style="302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" customHeight="1" s="300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199" t="n"/>
      <c r="C6" s="199" t="n"/>
      <c r="D6" s="199" t="n"/>
    </row>
    <row r="7" ht="64.5" customHeight="1" s="300">
      <c r="B7" s="345" t="inlineStr">
        <is>
          <t>Наименование разрабатываемого показателя УНЦ - Установка пункта коммерческого учета (ПКУ) ЭЭ класса напряжения 20-35 кВ на опоре ВЛ (с выносными датчиками тока и напряжения)</t>
        </is>
      </c>
    </row>
    <row r="8" ht="31.5" customHeight="1" s="300">
      <c r="B8" s="345" t="inlineStr">
        <is>
          <t>Сопоставимый уровень цен: 3 кв. 2019 г.</t>
        </is>
      </c>
    </row>
    <row r="9" ht="15.75" customHeight="1" s="300">
      <c r="B9" s="345" t="inlineStr">
        <is>
          <t>Единица измерения  — 1 ед.</t>
        </is>
      </c>
    </row>
    <row r="10">
      <c r="B10" s="345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00" t="n"/>
    </row>
    <row r="12" ht="96.75" customHeight="1" s="300">
      <c r="B12" s="349" t="n">
        <v>1</v>
      </c>
      <c r="C12" s="314" t="inlineStr">
        <is>
          <t>Наименование объекта-представителя</t>
        </is>
      </c>
      <c r="D12" s="349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49" t="n">
        <v>2</v>
      </c>
      <c r="C13" s="314" t="inlineStr">
        <is>
          <t>Наименование субъекта Российской Федерации</t>
        </is>
      </c>
      <c r="D13" s="349" t="inlineStr">
        <is>
          <t>Республика Калмыкия</t>
        </is>
      </c>
    </row>
    <row r="14">
      <c r="B14" s="349" t="n">
        <v>3</v>
      </c>
      <c r="C14" s="314" t="inlineStr">
        <is>
          <t>Климатический район и подрайон</t>
        </is>
      </c>
      <c r="D14" s="349" t="inlineStr">
        <is>
          <t>IVГ</t>
        </is>
      </c>
    </row>
    <row r="15">
      <c r="B15" s="349" t="n">
        <v>4</v>
      </c>
      <c r="C15" s="314" t="inlineStr">
        <is>
          <t>Мощность объекта</t>
        </is>
      </c>
      <c r="D15" s="349" t="n">
        <v>1</v>
      </c>
    </row>
    <row r="16" ht="63" customHeight="1" s="300">
      <c r="B16" s="349" t="n">
        <v>5</v>
      </c>
      <c r="C16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Счётчик трёхфазный прямого включения в шкафном исполнении с передачей данных в ИВК</t>
        </is>
      </c>
    </row>
    <row r="17" ht="79.5" customHeight="1" s="300">
      <c r="B17" s="349" t="n">
        <v>6</v>
      </c>
      <c r="C17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204" t="n"/>
    </row>
    <row r="18">
      <c r="B18" s="205" t="inlineStr">
        <is>
          <t>6.1</t>
        </is>
      </c>
      <c r="C18" s="314" t="inlineStr">
        <is>
          <t>строительно-монтажные работы</t>
        </is>
      </c>
      <c r="D18" s="203">
        <f>'Прил.2 Расч стоим'!F12+'Прил.2 Расч стоим'!G12</f>
        <v/>
      </c>
    </row>
    <row r="19" ht="15.75" customHeight="1" s="300">
      <c r="B19" s="205" t="inlineStr">
        <is>
          <t>6.2</t>
        </is>
      </c>
      <c r="C19" s="314" t="inlineStr">
        <is>
          <t>оборудование и инвентарь</t>
        </is>
      </c>
      <c r="D19" s="203">
        <f>'Прил.2 Расч стоим'!H12</f>
        <v/>
      </c>
    </row>
    <row r="20" ht="16.5" customHeight="1" s="300">
      <c r="B20" s="205" t="inlineStr">
        <is>
          <t>6.3</t>
        </is>
      </c>
      <c r="C20" s="314" t="inlineStr">
        <is>
          <t>пусконаладочные работы</t>
        </is>
      </c>
      <c r="D20" s="203" t="n"/>
    </row>
    <row r="21" ht="35.25" customHeight="1" s="300">
      <c r="B21" s="205" t="inlineStr">
        <is>
          <t>6.4</t>
        </is>
      </c>
      <c r="C21" s="206" t="inlineStr">
        <is>
          <t>прочие и лимитированные затраты</t>
        </is>
      </c>
      <c r="D21" s="203">
        <f>D18*0.033+(D18*0.033+D18)*0.01</f>
        <v/>
      </c>
    </row>
    <row r="22">
      <c r="B22" s="349" t="n">
        <v>7</v>
      </c>
      <c r="C22" s="206" t="inlineStr">
        <is>
          <t>Сопоставимый уровень цен</t>
        </is>
      </c>
      <c r="D22" s="207" t="inlineStr">
        <is>
          <t>3 кв. 2019 г.</t>
        </is>
      </c>
      <c r="E22" s="208" t="n"/>
    </row>
    <row r="23" ht="123" customHeight="1" s="300">
      <c r="B23" s="349" t="n">
        <v>8</v>
      </c>
      <c r="C23" s="2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204" t="n"/>
    </row>
    <row r="24" ht="60.75" customHeight="1" s="300">
      <c r="B24" s="349" t="n">
        <v>9</v>
      </c>
      <c r="C24" s="280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  <c r="E24" s="208" t="n"/>
    </row>
    <row r="25" ht="48" customHeight="1" s="300">
      <c r="B25" s="349" t="n">
        <v>10</v>
      </c>
      <c r="C25" s="314" t="inlineStr">
        <is>
          <t>Примечание</t>
        </is>
      </c>
      <c r="D25" s="349" t="n"/>
    </row>
    <row r="26">
      <c r="B26" s="210" t="n"/>
      <c r="C26" s="211" t="n"/>
      <c r="D26" s="211" t="n"/>
    </row>
    <row r="27" ht="37.5" customHeight="1" s="300">
      <c r="B27" s="163" t="n"/>
    </row>
    <row r="28">
      <c r="B28" s="302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9.140625" customWidth="1" style="302" min="11" max="11"/>
  </cols>
  <sheetData>
    <row r="3">
      <c r="B3" s="343" t="inlineStr">
        <is>
          <t>Приложение № 2</t>
        </is>
      </c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0">
      <c r="B6" s="345">
        <f>'Прил.1 Сравнит табл'!B7:D7</f>
        <v/>
      </c>
    </row>
    <row r="7">
      <c r="B7" s="345">
        <f>'Прил.1 Сравнит табл'!B9:D9</f>
        <v/>
      </c>
    </row>
    <row r="8" ht="18.75" customHeight="1" s="300">
      <c r="B8" s="161" t="n"/>
    </row>
    <row r="9" ht="15.75" customHeight="1" s="300"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00">
      <c r="B10" s="445" t="n"/>
      <c r="C10" s="445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3 кв. 2019г., тыс. руб.</t>
        </is>
      </c>
      <c r="G10" s="443" t="n"/>
      <c r="H10" s="443" t="n"/>
      <c r="I10" s="443" t="n"/>
      <c r="J10" s="444" t="n"/>
    </row>
    <row r="11" ht="31.5" customHeight="1" s="300">
      <c r="B11" s="446" t="n"/>
      <c r="C11" s="446" t="n"/>
      <c r="D11" s="446" t="n"/>
      <c r="E11" s="446" t="n"/>
      <c r="F11" s="350" t="inlineStr">
        <is>
          <t>Строительные работы</t>
        </is>
      </c>
      <c r="G11" s="350" t="inlineStr">
        <is>
          <t>Монтажные работы</t>
        </is>
      </c>
      <c r="H11" s="350" t="inlineStr">
        <is>
          <t>Оборудование</t>
        </is>
      </c>
      <c r="I11" s="350" t="inlineStr">
        <is>
          <t>Прочее</t>
        </is>
      </c>
      <c r="J11" s="350" t="inlineStr">
        <is>
          <t>Всего</t>
        </is>
      </c>
    </row>
    <row r="12" ht="45" customHeight="1" s="300">
      <c r="B12" s="327" t="n">
        <v>1</v>
      </c>
      <c r="C12" s="328" t="inlineStr">
        <is>
          <t>Счётчик трёхфазный прямого включения в шкафном исполнении с передачей данных в ИВК</t>
        </is>
      </c>
      <c r="D12" s="329" t="inlineStr">
        <is>
          <t>02-01-01</t>
        </is>
      </c>
      <c r="E12" s="328" t="inlineStr">
        <is>
          <t>Установка ПКУ 10 кВ</t>
        </is>
      </c>
      <c r="F12" s="328" t="n">
        <v>0</v>
      </c>
      <c r="G12" s="330" t="n">
        <v>20.83</v>
      </c>
      <c r="H12" s="330" t="n">
        <v>277.33</v>
      </c>
      <c r="I12" s="328" t="n">
        <v>0</v>
      </c>
      <c r="J12" s="328">
        <f>SUM(F12:I12)</f>
        <v/>
      </c>
    </row>
    <row r="13" ht="15" customHeight="1" s="300">
      <c r="B13" s="347" t="inlineStr">
        <is>
          <t>Всего по объекту:</t>
        </is>
      </c>
      <c r="C13" s="447" t="n"/>
      <c r="D13" s="447" t="n"/>
      <c r="E13" s="448" t="n"/>
      <c r="F13" s="331">
        <f>F12</f>
        <v/>
      </c>
      <c r="G13" s="331">
        <f>G12</f>
        <v/>
      </c>
      <c r="H13" s="331">
        <f>H12</f>
        <v/>
      </c>
      <c r="I13" s="331">
        <f>I12</f>
        <v/>
      </c>
      <c r="J13" s="331">
        <f>SUM(F13:I13)</f>
        <v/>
      </c>
    </row>
    <row r="14" ht="15.75" customHeight="1" s="300">
      <c r="B14" s="348" t="inlineStr">
        <is>
          <t>Всего по объекту в сопоставимом уровне цен 3 кв. 2019г:</t>
        </is>
      </c>
      <c r="C14" s="443" t="n"/>
      <c r="D14" s="443" t="n"/>
      <c r="E14" s="444" t="n"/>
      <c r="F14" s="331">
        <f>F13</f>
        <v/>
      </c>
      <c r="G14" s="331">
        <f>G13</f>
        <v/>
      </c>
      <c r="H14" s="331">
        <f>H13</f>
        <v/>
      </c>
      <c r="I14" s="332">
        <f>'Прил.1 Сравнит табл'!D21</f>
        <v/>
      </c>
      <c r="J14" s="333">
        <f>SUM(F14:I14)</f>
        <v/>
      </c>
    </row>
    <row r="15" ht="15" customHeight="1" s="300"/>
    <row r="16" ht="15" customHeight="1" s="300"/>
    <row r="17" ht="15" customHeight="1" s="300"/>
    <row r="18" ht="15" customHeight="1" s="300">
      <c r="C18" s="288" t="inlineStr">
        <is>
          <t>Составил ______________________     Е. М. Добровольская</t>
        </is>
      </c>
      <c r="D18" s="298" t="n"/>
      <c r="E18" s="298" t="n"/>
    </row>
    <row r="19" ht="15" customHeight="1" s="300">
      <c r="C19" s="297" t="inlineStr">
        <is>
          <t xml:space="preserve">                         (подпись, инициалы, фамилия)</t>
        </is>
      </c>
      <c r="D19" s="298" t="n"/>
      <c r="E19" s="298" t="n"/>
    </row>
    <row r="20" ht="15" customHeight="1" s="300">
      <c r="C20" s="288" t="n"/>
      <c r="D20" s="298" t="n"/>
      <c r="E20" s="298" t="n"/>
    </row>
    <row r="21" ht="15" customHeight="1" s="300">
      <c r="C21" s="288" t="inlineStr">
        <is>
          <t>Проверил ______________________        А.В. Костянецкая</t>
        </is>
      </c>
      <c r="D21" s="298" t="n"/>
      <c r="E21" s="298" t="n"/>
    </row>
    <row r="22" ht="15" customHeight="1" s="300">
      <c r="C22" s="297" t="inlineStr">
        <is>
          <t xml:space="preserve">                        (подпись, инициалы, фамилия)</t>
        </is>
      </c>
      <c r="D22" s="298" t="n"/>
      <c r="E22" s="298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25" zoomScale="70" workbookViewId="0">
      <selection activeCell="F46" sqref="F46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6.42578125" customWidth="1" style="302" min="9" max="9"/>
    <col width="9.5703125" customWidth="1" style="302" min="10" max="10"/>
    <col width="15" customWidth="1" style="302" min="11" max="11"/>
    <col width="9.140625" customWidth="1" style="302" min="12" max="12"/>
  </cols>
  <sheetData>
    <row r="2">
      <c r="A2" s="343" t="inlineStr">
        <is>
          <t xml:space="preserve">Приложение № 3 </t>
        </is>
      </c>
    </row>
    <row r="3">
      <c r="A3" s="344" t="inlineStr">
        <is>
          <t>Объектная ресурсная ведомость</t>
        </is>
      </c>
    </row>
    <row r="4" ht="18.75" customHeight="1" s="300">
      <c r="A4" s="212" t="n"/>
      <c r="B4" s="212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5" t="n"/>
    </row>
    <row r="6" ht="33.75" customHeight="1" s="300">
      <c r="A6" s="351" t="inlineStr">
        <is>
          <t>Наименование разрабатываемого показателя УНЦ -  Установка пункта коммерческого учета (ПКУ) ЭЭ класса напряжения 20-35 кВ на опоре ВЛ (с выносными датчиками тока и напряжения)</t>
        </is>
      </c>
    </row>
    <row r="7" ht="33.75" customHeight="1" s="300">
      <c r="A7" s="351" t="n"/>
      <c r="B7" s="351" t="n"/>
      <c r="C7" s="351" t="n"/>
      <c r="D7" s="351" t="n"/>
      <c r="E7" s="351" t="n"/>
      <c r="F7" s="351" t="n"/>
      <c r="G7" s="351" t="n"/>
      <c r="H7" s="351" t="n"/>
      <c r="I7" s="302" t="n"/>
      <c r="J7" s="302" t="n"/>
      <c r="K7" s="302" t="n"/>
      <c r="L7" s="302" t="n"/>
    </row>
    <row r="8">
      <c r="A8" s="213" t="n"/>
      <c r="B8" s="213" t="n"/>
      <c r="C8" s="213" t="n"/>
      <c r="D8" s="213" t="n"/>
      <c r="E8" s="213" t="n"/>
      <c r="F8" s="213" t="n"/>
      <c r="G8" s="213" t="n"/>
      <c r="H8" s="213" t="n"/>
    </row>
    <row r="9" ht="38.25" customHeight="1" s="300">
      <c r="A9" s="349" t="inlineStr">
        <is>
          <t>п/п</t>
        </is>
      </c>
      <c r="B9" s="349" t="inlineStr">
        <is>
          <t>№ЛСР</t>
        </is>
      </c>
      <c r="C9" s="349" t="inlineStr">
        <is>
          <t>Код ресурса</t>
        </is>
      </c>
      <c r="D9" s="349" t="inlineStr">
        <is>
          <t>Наименование ресурса</t>
        </is>
      </c>
      <c r="E9" s="349" t="inlineStr">
        <is>
          <t>Ед. изм.</t>
        </is>
      </c>
      <c r="F9" s="349" t="inlineStr">
        <is>
          <t>Кол-во единиц по данным объекта-представителя</t>
        </is>
      </c>
      <c r="G9" s="349" t="inlineStr">
        <is>
          <t>Сметная стоимость в ценах на 01.01.2000 (руб.)</t>
        </is>
      </c>
      <c r="H9" s="444" t="n"/>
    </row>
    <row r="10" ht="40.5" customHeight="1" s="300">
      <c r="A10" s="446" t="n"/>
      <c r="B10" s="446" t="n"/>
      <c r="C10" s="446" t="n"/>
      <c r="D10" s="446" t="n"/>
      <c r="E10" s="446" t="n"/>
      <c r="F10" s="446" t="n"/>
      <c r="G10" s="349" t="inlineStr">
        <is>
          <t>на ед.изм.</t>
        </is>
      </c>
      <c r="H10" s="349" t="inlineStr">
        <is>
          <t>общая</t>
        </is>
      </c>
    </row>
    <row r="11">
      <c r="A11" s="350" t="n">
        <v>1</v>
      </c>
      <c r="B11" s="350" t="n"/>
      <c r="C11" s="350" t="n">
        <v>2</v>
      </c>
      <c r="D11" s="350" t="inlineStr">
        <is>
          <t>З</t>
        </is>
      </c>
      <c r="E11" s="350" t="n">
        <v>4</v>
      </c>
      <c r="F11" s="350" t="n">
        <v>5</v>
      </c>
      <c r="G11" s="350" t="n">
        <v>6</v>
      </c>
      <c r="H11" s="350" t="n">
        <v>7</v>
      </c>
    </row>
    <row r="12" customFormat="1" s="215">
      <c r="A12" s="354" t="inlineStr">
        <is>
          <t>Затраты труда рабочих</t>
        </is>
      </c>
      <c r="B12" s="443" t="n"/>
      <c r="C12" s="443" t="n"/>
      <c r="D12" s="443" t="n"/>
      <c r="E12" s="444" t="n"/>
      <c r="F12" s="449" t="n">
        <v>66.59999999999999</v>
      </c>
      <c r="G12" s="175" t="n"/>
      <c r="H12" s="449">
        <f>SUM(H13:H16)</f>
        <v/>
      </c>
    </row>
    <row r="13">
      <c r="A13" s="386" t="n">
        <v>1</v>
      </c>
      <c r="B13" s="176" t="n"/>
      <c r="C13" s="217" t="inlineStr">
        <is>
          <t>1-4-0</t>
        </is>
      </c>
      <c r="D13" s="218" t="inlineStr">
        <is>
          <t>Затраты труда рабочих (ср 4)</t>
        </is>
      </c>
      <c r="E13" s="386" t="inlineStr">
        <is>
          <t>чел.-ч</t>
        </is>
      </c>
      <c r="F13" s="386" t="n">
        <v>33.9</v>
      </c>
      <c r="G13" s="222" t="n">
        <v>9.619999999999999</v>
      </c>
      <c r="H13" s="177">
        <f>ROUND(F13*G13,2)</f>
        <v/>
      </c>
      <c r="M13" s="450" t="n"/>
    </row>
    <row r="14">
      <c r="A14" s="386" t="n">
        <v>2</v>
      </c>
      <c r="B14" s="176" t="n"/>
      <c r="C14" s="217" t="inlineStr">
        <is>
          <t>10-3-1</t>
        </is>
      </c>
      <c r="D14" s="218" t="inlineStr">
        <is>
          <t>Инженер I категории</t>
        </is>
      </c>
      <c r="E14" s="386" t="inlineStr">
        <is>
          <t>чел.-ч</t>
        </is>
      </c>
      <c r="F14" s="386" t="n">
        <v>16</v>
      </c>
      <c r="G14" s="222" t="n">
        <v>15.49</v>
      </c>
      <c r="H14" s="177">
        <f>ROUND(F14*G14,2)</f>
        <v/>
      </c>
      <c r="M14" s="450" t="n"/>
    </row>
    <row r="15">
      <c r="A15" s="386" t="n">
        <v>3</v>
      </c>
      <c r="B15" s="176" t="n"/>
      <c r="C15" s="217" t="inlineStr">
        <is>
          <t>10-3-2</t>
        </is>
      </c>
      <c r="D15" s="218" t="inlineStr">
        <is>
          <t>Инженер II категории</t>
        </is>
      </c>
      <c r="E15" s="386" t="inlineStr">
        <is>
          <t>чел.-ч</t>
        </is>
      </c>
      <c r="F15" s="386" t="n">
        <v>16</v>
      </c>
      <c r="G15" s="222" t="n">
        <v>14.09</v>
      </c>
      <c r="H15" s="177">
        <f>ROUND(F15*G15,2)</f>
        <v/>
      </c>
      <c r="M15" s="450" t="n"/>
    </row>
    <row r="16">
      <c r="A16" s="386" t="n">
        <v>4</v>
      </c>
      <c r="B16" s="176" t="n"/>
      <c r="C16" s="217" t="inlineStr">
        <is>
          <t>1-4-2</t>
        </is>
      </c>
      <c r="D16" s="218" t="inlineStr">
        <is>
          <t>Затраты труда рабочих (ср 4,2)</t>
        </is>
      </c>
      <c r="E16" s="386" t="inlineStr">
        <is>
          <t>чел.-ч</t>
        </is>
      </c>
      <c r="F16" s="386" t="n">
        <v>0.7</v>
      </c>
      <c r="G16" s="222" t="n">
        <v>9.92</v>
      </c>
      <c r="H16" s="177">
        <f>ROUND(F16*G16,2)</f>
        <v/>
      </c>
      <c r="M16" s="450" t="n"/>
    </row>
    <row r="17">
      <c r="A17" s="353" t="inlineStr">
        <is>
          <t>Затраты труда машинистов</t>
        </is>
      </c>
      <c r="B17" s="443" t="n"/>
      <c r="C17" s="443" t="n"/>
      <c r="D17" s="443" t="n"/>
      <c r="E17" s="444" t="n"/>
      <c r="F17" s="354" t="n"/>
      <c r="G17" s="178" t="n"/>
      <c r="H17" s="449">
        <f>H18</f>
        <v/>
      </c>
    </row>
    <row r="18">
      <c r="A18" s="386" t="n">
        <v>5</v>
      </c>
      <c r="B18" s="355" t="n"/>
      <c r="C18" s="217" t="n">
        <v>2</v>
      </c>
      <c r="D18" s="218" t="inlineStr">
        <is>
          <t>Затраты труда машинистов</t>
        </is>
      </c>
      <c r="E18" s="386" t="inlineStr">
        <is>
          <t>чел.-ч</t>
        </is>
      </c>
      <c r="F18" s="451" t="n">
        <v>3.65</v>
      </c>
      <c r="G18" s="177" t="n"/>
      <c r="H18" s="452" t="n">
        <v>54.69</v>
      </c>
      <c r="J18" s="453" t="n"/>
    </row>
    <row r="19" customFormat="1" s="215">
      <c r="A19" s="354" t="inlineStr">
        <is>
          <t>Машины и механизмы</t>
        </is>
      </c>
      <c r="B19" s="443" t="n"/>
      <c r="C19" s="443" t="n"/>
      <c r="D19" s="443" t="n"/>
      <c r="E19" s="444" t="n"/>
      <c r="F19" s="354" t="n"/>
      <c r="G19" s="178" t="n"/>
      <c r="H19" s="449">
        <f>SUM(H20:H24)</f>
        <v/>
      </c>
    </row>
    <row r="20">
      <c r="A20" s="386" t="n">
        <v>6</v>
      </c>
      <c r="B20" s="355" t="n"/>
      <c r="C20" s="217" t="inlineStr">
        <is>
          <t>91.06.09-001</t>
        </is>
      </c>
      <c r="D20" s="218" t="inlineStr">
        <is>
          <t>Вышки телескопические 25 м</t>
        </is>
      </c>
      <c r="E20" s="386" t="inlineStr">
        <is>
          <t>маш.-ч</t>
        </is>
      </c>
      <c r="F20" s="386" t="n">
        <v>1.05</v>
      </c>
      <c r="G20" s="222" t="n">
        <v>142.7</v>
      </c>
      <c r="H20" s="177">
        <f>ROUND(F20*G20,2)</f>
        <v/>
      </c>
      <c r="I20" s="223" t="n"/>
      <c r="J20" s="223" t="n"/>
      <c r="L20" s="223" t="n"/>
    </row>
    <row r="21" ht="25.5" customHeight="1" s="300">
      <c r="A21" s="386" t="n">
        <v>7</v>
      </c>
      <c r="B21" s="355" t="n"/>
      <c r="C21" s="217" t="inlineStr">
        <is>
          <t>91.05.05-015</t>
        </is>
      </c>
      <c r="D21" s="218" t="inlineStr">
        <is>
          <t>Краны на автомобильном ходу, грузоподъемность 16 т</t>
        </is>
      </c>
      <c r="E21" s="386" t="inlineStr">
        <is>
          <t>маш.час</t>
        </is>
      </c>
      <c r="F21" s="386" t="n">
        <v>0.76</v>
      </c>
      <c r="G21" s="222" t="n">
        <v>115.4</v>
      </c>
      <c r="H21" s="177">
        <f>ROUND(F21*G21,2)</f>
        <v/>
      </c>
      <c r="I21" s="223" t="n"/>
      <c r="J21" s="223" t="n"/>
      <c r="K21" s="223" t="n"/>
      <c r="L21" s="223" t="n"/>
    </row>
    <row r="22" customFormat="1" s="215">
      <c r="A22" s="386" t="n">
        <v>8</v>
      </c>
      <c r="B22" s="355" t="n"/>
      <c r="C22" s="217" t="inlineStr">
        <is>
          <t>91.06.06-042</t>
        </is>
      </c>
      <c r="D22" s="218" t="inlineStr">
        <is>
          <t>Подъемники гидравлические, высота подъема 10 м</t>
        </is>
      </c>
      <c r="E22" s="386" t="inlineStr">
        <is>
          <t>маш.час</t>
        </is>
      </c>
      <c r="F22" s="386" t="n">
        <v>2.13</v>
      </c>
      <c r="G22" s="222" t="n">
        <v>29.6</v>
      </c>
      <c r="H22" s="177">
        <f>ROUND(F22*G22,2)</f>
        <v/>
      </c>
      <c r="I22" s="223" t="n"/>
      <c r="J22" s="223" t="n"/>
      <c r="K22" s="223" t="n"/>
      <c r="L22" s="223" t="n"/>
    </row>
    <row r="23">
      <c r="A23" s="386" t="n">
        <v>9</v>
      </c>
      <c r="B23" s="355" t="n"/>
      <c r="C23" s="217" t="inlineStr">
        <is>
          <t>91.14.02-001</t>
        </is>
      </c>
      <c r="D23" s="218" t="inlineStr">
        <is>
          <t>Автомобили бортовые, грузоподъемность до 5 т</t>
        </is>
      </c>
      <c r="E23" s="386" t="inlineStr">
        <is>
          <t>маш.час</t>
        </is>
      </c>
      <c r="F23" s="386" t="n">
        <v>0.76</v>
      </c>
      <c r="G23" s="222" t="n">
        <v>65.70999999999999</v>
      </c>
      <c r="H23" s="177">
        <f>ROUND(F23*G23,2)</f>
        <v/>
      </c>
      <c r="I23" s="223" t="n"/>
      <c r="J23" s="223" t="n"/>
      <c r="K23" s="223" t="n"/>
      <c r="L23" s="223" t="n"/>
    </row>
    <row r="24" ht="25.5" customFormat="1" customHeight="1" s="215">
      <c r="A24" s="386" t="n">
        <v>10</v>
      </c>
      <c r="B24" s="355" t="n"/>
      <c r="C24" s="217" t="inlineStr">
        <is>
          <t>91.17.04-233</t>
        </is>
      </c>
      <c r="D24" s="218" t="inlineStr">
        <is>
          <t>Установки для сварки ручной дуговой (постоянного тока)</t>
        </is>
      </c>
      <c r="E24" s="386" t="inlineStr">
        <is>
          <t>маш.час</t>
        </is>
      </c>
      <c r="F24" s="386" t="n">
        <v>1.08</v>
      </c>
      <c r="G24" s="222" t="n">
        <v>8.1</v>
      </c>
      <c r="H24" s="177">
        <f>ROUND(F24*G24,2)</f>
        <v/>
      </c>
      <c r="I24" s="223" t="n"/>
      <c r="J24" s="223" t="n"/>
      <c r="K24" s="223" t="n"/>
      <c r="L24" s="223" t="n"/>
    </row>
    <row r="25" ht="15" customHeight="1" s="300">
      <c r="A25" s="354" t="inlineStr">
        <is>
          <t>Оборудование</t>
        </is>
      </c>
      <c r="B25" s="443" t="n"/>
      <c r="C25" s="443" t="n"/>
      <c r="D25" s="443" t="n"/>
      <c r="E25" s="444" t="n"/>
      <c r="F25" s="175" t="n"/>
      <c r="G25" s="175" t="n"/>
      <c r="H25" s="449">
        <f>SUM(H26)</f>
        <v/>
      </c>
    </row>
    <row r="26" ht="25.5" customHeight="1" s="300">
      <c r="A26" s="386" t="n">
        <v>11</v>
      </c>
      <c r="B26" s="355" t="n"/>
      <c r="C26" s="217" t="inlineStr">
        <is>
          <t>Прайс из СД ОП</t>
        </is>
      </c>
      <c r="D26" s="218" t="inlineStr">
        <is>
          <t>ПКУ 10 кВ с датчиками напряжения и тока с передачей в ИВК</t>
        </is>
      </c>
      <c r="E26" s="386" t="inlineStr">
        <is>
          <t>шт</t>
        </is>
      </c>
      <c r="F26" s="386" t="n">
        <v>1</v>
      </c>
      <c r="G26" s="177" t="n">
        <v>58880.78</v>
      </c>
      <c r="H26" s="177">
        <f>ROUND(F26*G26,2)</f>
        <v/>
      </c>
      <c r="I26" s="223" t="n"/>
      <c r="J26" s="223" t="n"/>
      <c r="L26" s="223" t="n"/>
    </row>
    <row r="27">
      <c r="A27" s="354" t="inlineStr">
        <is>
          <t>Материалы</t>
        </is>
      </c>
      <c r="B27" s="443" t="n"/>
      <c r="C27" s="443" t="n"/>
      <c r="D27" s="443" t="n"/>
      <c r="E27" s="444" t="n"/>
      <c r="F27" s="354" t="n"/>
      <c r="G27" s="178" t="n"/>
      <c r="H27" s="449">
        <f>SUM(H28:H35)</f>
        <v/>
      </c>
    </row>
    <row r="28">
      <c r="A28" s="224" t="n">
        <v>12</v>
      </c>
      <c r="B28" s="355" t="n"/>
      <c r="C28" s="217" t="inlineStr">
        <is>
          <t>01.7.15.03-0042</t>
        </is>
      </c>
      <c r="D28" s="218" t="inlineStr">
        <is>
          <t>Болты с гайками и шайбами строительные</t>
        </is>
      </c>
      <c r="E28" s="386" t="inlineStr">
        <is>
          <t>кг</t>
        </is>
      </c>
      <c r="F28" s="386" t="n">
        <v>44.7</v>
      </c>
      <c r="G28" s="177" t="n">
        <v>9.039999999999999</v>
      </c>
      <c r="H28" s="177">
        <f>ROUND(F28*G28,2)</f>
        <v/>
      </c>
      <c r="I28" s="234" t="n"/>
      <c r="J28" s="223" t="n"/>
      <c r="K28" s="223" t="n"/>
    </row>
    <row r="29" ht="25.5" customHeight="1" s="300">
      <c r="A29" s="224" t="n">
        <v>13</v>
      </c>
      <c r="B29" s="355" t="n"/>
      <c r="C29" s="217" t="inlineStr">
        <is>
          <t>08.3.07.01-0076</t>
        </is>
      </c>
      <c r="D29" s="218" t="inlineStr">
        <is>
          <t>Прокат полосовой, горячекатаный, марка стали Ст3сп, ширина 50-200 мм, толщина 4-5 мм</t>
        </is>
      </c>
      <c r="E29" s="386" t="inlineStr">
        <is>
          <t>т</t>
        </is>
      </c>
      <c r="F29" s="386" t="n">
        <v>0.027</v>
      </c>
      <c r="G29" s="177" t="n">
        <v>5000</v>
      </c>
      <c r="H29" s="177">
        <f>ROUND(F29*G29,2)</f>
        <v/>
      </c>
      <c r="I29" s="234" t="n"/>
      <c r="J29" s="223" t="n"/>
      <c r="K29" s="223" t="n"/>
    </row>
    <row r="30">
      <c r="A30" s="224" t="n">
        <v>14</v>
      </c>
      <c r="B30" s="355" t="n"/>
      <c r="C30" s="217" t="inlineStr">
        <is>
          <t>14.4.02.09-0001</t>
        </is>
      </c>
      <c r="D30" s="218" t="inlineStr">
        <is>
          <t>Краска</t>
        </is>
      </c>
      <c r="E30" s="386" t="inlineStr">
        <is>
          <t>кг</t>
        </is>
      </c>
      <c r="F30" s="386" t="n">
        <v>3.6</v>
      </c>
      <c r="G30" s="177" t="n">
        <v>28.6</v>
      </c>
      <c r="H30" s="177">
        <f>ROUND(F30*G30,2)</f>
        <v/>
      </c>
      <c r="I30" s="234" t="n"/>
      <c r="J30" s="223" t="n"/>
    </row>
    <row r="31" ht="25.5" customHeight="1" s="300">
      <c r="A31" s="224" t="n">
        <v>15</v>
      </c>
      <c r="B31" s="355" t="n"/>
      <c r="C31" s="217" t="inlineStr">
        <is>
          <t>999-9950</t>
        </is>
      </c>
      <c r="D31" s="218" t="inlineStr">
        <is>
          <t>Вспомогательные ненормируемые ресурсы (2% от Оплаты труда рабочих)</t>
        </is>
      </c>
      <c r="E31" s="386" t="inlineStr">
        <is>
          <t>руб</t>
        </is>
      </c>
      <c r="F31" s="386" t="n">
        <v>16.12</v>
      </c>
      <c r="G31" s="177" t="n">
        <v>1</v>
      </c>
      <c r="H31" s="177">
        <f>ROUND(F31*G31,2)</f>
        <v/>
      </c>
      <c r="I31" s="234" t="n"/>
      <c r="J31" s="223" t="n"/>
    </row>
    <row r="32">
      <c r="A32" s="224" t="n">
        <v>16</v>
      </c>
      <c r="B32" s="355" t="n"/>
      <c r="C32" s="217" t="inlineStr">
        <is>
          <t>01.7.20.08-0031</t>
        </is>
      </c>
      <c r="D32" s="218" t="inlineStr">
        <is>
          <t>Бязь суровая</t>
        </is>
      </c>
      <c r="E32" s="386" t="inlineStr">
        <is>
          <t>10 м2</t>
        </is>
      </c>
      <c r="F32" s="386" t="n">
        <v>0.117</v>
      </c>
      <c r="G32" s="177" t="n">
        <v>79.09999999999999</v>
      </c>
      <c r="H32" s="177">
        <f>ROUND(F32*G32,2)</f>
        <v/>
      </c>
      <c r="I32" s="234" t="n"/>
      <c r="J32" s="223" t="n"/>
      <c r="K32" s="223" t="n"/>
    </row>
    <row r="33" ht="25.5" customHeight="1" s="300">
      <c r="A33" s="224" t="n">
        <v>17</v>
      </c>
      <c r="B33" s="355" t="n"/>
      <c r="C33" s="217" t="inlineStr">
        <is>
          <t>01.3.01.06-0050</t>
        </is>
      </c>
      <c r="D33" s="218" t="inlineStr">
        <is>
          <t>Смазка универсальная тугоплавкая УТ (консталин жировой)</t>
        </is>
      </c>
      <c r="E33" s="386" t="inlineStr">
        <is>
          <t>т</t>
        </is>
      </c>
      <c r="F33" s="386" t="n">
        <v>0.00045</v>
      </c>
      <c r="G33" s="177" t="n">
        <v>17500</v>
      </c>
      <c r="H33" s="177">
        <f>ROUND(F33*G33,2)</f>
        <v/>
      </c>
      <c r="I33" s="234" t="n"/>
      <c r="J33" s="223" t="n"/>
    </row>
    <row r="34">
      <c r="A34" s="224" t="n">
        <v>18</v>
      </c>
      <c r="B34" s="355" t="n"/>
      <c r="C34" s="217" t="inlineStr">
        <is>
          <t>01.7.11.07-0034</t>
        </is>
      </c>
      <c r="D34" s="218" t="inlineStr">
        <is>
          <t>Электроды сварочные Э42А, диаметр 4 мм</t>
        </is>
      </c>
      <c r="E34" s="386" t="inlineStr">
        <is>
          <t>кг</t>
        </is>
      </c>
      <c r="F34" s="386" t="n">
        <v>0.45</v>
      </c>
      <c r="G34" s="177" t="n">
        <v>10.57</v>
      </c>
      <c r="H34" s="177">
        <f>ROUND(F34*G34,2)</f>
        <v/>
      </c>
      <c r="I34" s="234" t="n"/>
      <c r="J34" s="223" t="n"/>
    </row>
    <row r="35">
      <c r="A35" s="224" t="n">
        <v>19</v>
      </c>
      <c r="B35" s="355" t="n"/>
      <c r="C35" s="217" t="inlineStr">
        <is>
          <t>01.7.15.04-0011</t>
        </is>
      </c>
      <c r="D35" s="218" t="inlineStr">
        <is>
          <t>Винты с полукруглой головкой, длина 50 мм</t>
        </is>
      </c>
      <c r="E35" s="386" t="inlineStr">
        <is>
          <t>т</t>
        </is>
      </c>
      <c r="F35" s="386" t="n">
        <v>3e-05</v>
      </c>
      <c r="G35" s="177" t="n">
        <v>12430</v>
      </c>
      <c r="H35" s="177">
        <f>ROUND(F35*G35,2)</f>
        <v/>
      </c>
      <c r="I35" s="234" t="n"/>
      <c r="J35" s="223" t="n"/>
    </row>
    <row r="38">
      <c r="B38" s="302" t="inlineStr">
        <is>
          <t>Составил ______________________     Е. М. Добровольская</t>
        </is>
      </c>
    </row>
    <row r="39">
      <c r="B39" s="163" t="inlineStr">
        <is>
          <t xml:space="preserve">                         (подпись, инициалы, фамилия)</t>
        </is>
      </c>
    </row>
    <row r="41">
      <c r="B41" s="302" t="inlineStr">
        <is>
          <t>Проверил ______________________        А.В. Костянецкая</t>
        </is>
      </c>
    </row>
    <row r="42">
      <c r="B42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11.42578125" customWidth="1" style="300" min="6" max="6"/>
    <col width="14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81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36" t="inlineStr">
        <is>
          <t>Ресурсная модель</t>
        </is>
      </c>
    </row>
    <row r="6">
      <c r="B6" s="226" t="n"/>
      <c r="C6" s="288" t="n"/>
      <c r="D6" s="288" t="n"/>
      <c r="E6" s="288" t="n"/>
    </row>
    <row r="7" ht="38.25" customHeight="1" s="300">
      <c r="B7" s="360" t="inlineStr">
        <is>
          <t>Наименование разрабатываемого показателя УНЦ — Установка пункта коммерческого учета (ПКУ) ЭЭ класса напряжения 20-35 кВ на опоре ВЛ (с выносными датчиками тока и напряжения)</t>
        </is>
      </c>
    </row>
    <row r="8">
      <c r="B8" s="361" t="inlineStr">
        <is>
          <t>Единица измерения  — 1 ед.</t>
        </is>
      </c>
    </row>
    <row r="9">
      <c r="B9" s="226" t="n"/>
      <c r="C9" s="288" t="n"/>
      <c r="D9" s="288" t="n"/>
      <c r="E9" s="288" t="n"/>
    </row>
    <row r="10" ht="51" customHeight="1" s="300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28" t="inlineStr">
        <is>
          <t>Оплата труда рабочих</t>
        </is>
      </c>
      <c r="C11" s="290">
        <f>'Прил.5 Расчет СМР и ОБ'!J16</f>
        <v/>
      </c>
      <c r="D11" s="230">
        <f>C11/$C$24</f>
        <v/>
      </c>
      <c r="E11" s="230">
        <f>C11/$C$40</f>
        <v/>
      </c>
    </row>
    <row r="12">
      <c r="B12" s="228" t="inlineStr">
        <is>
          <t>Эксплуатация машин основных</t>
        </is>
      </c>
      <c r="C12" s="290">
        <f>'Прил.5 Расчет СМР и ОБ'!J25</f>
        <v/>
      </c>
      <c r="D12" s="230">
        <f>C12/$C$24</f>
        <v/>
      </c>
      <c r="E12" s="230">
        <f>C12/$C$40</f>
        <v/>
      </c>
    </row>
    <row r="13">
      <c r="B13" s="228" t="inlineStr">
        <is>
          <t>Эксплуатация машин прочих</t>
        </is>
      </c>
      <c r="C13" s="290">
        <f>'Прил.5 Расчет СМР и ОБ'!J27</f>
        <v/>
      </c>
      <c r="D13" s="230">
        <f>C13/$C$24</f>
        <v/>
      </c>
      <c r="E13" s="230">
        <f>C13/$C$40</f>
        <v/>
      </c>
    </row>
    <row r="14">
      <c r="B14" s="228" t="inlineStr">
        <is>
          <t>ЭКСПЛУАТАЦИЯ МАШИН, ВСЕГО:</t>
        </is>
      </c>
      <c r="C14" s="290">
        <f>C13+C12</f>
        <v/>
      </c>
      <c r="D14" s="230">
        <f>C14/$C$24</f>
        <v/>
      </c>
      <c r="E14" s="230">
        <f>C14/$C$40</f>
        <v/>
      </c>
    </row>
    <row r="15">
      <c r="B15" s="228" t="inlineStr">
        <is>
          <t>в том числе зарплата машинистов</t>
        </is>
      </c>
      <c r="C15" s="290">
        <f>'Прил.5 Расчет СМР и ОБ'!J18</f>
        <v/>
      </c>
      <c r="D15" s="230">
        <f>C15/$C$24</f>
        <v/>
      </c>
      <c r="E15" s="230">
        <f>C15/$C$40</f>
        <v/>
      </c>
    </row>
    <row r="16">
      <c r="B16" s="228" t="inlineStr">
        <is>
          <t>Материалы основные</t>
        </is>
      </c>
      <c r="C16" s="290">
        <f>'Прил.5 Расчет СМР и ОБ'!J41</f>
        <v/>
      </c>
      <c r="D16" s="230">
        <f>C16/$C$24</f>
        <v/>
      </c>
      <c r="E16" s="230">
        <f>C16/$C$40</f>
        <v/>
      </c>
    </row>
    <row r="17">
      <c r="B17" s="228" t="inlineStr">
        <is>
          <t>Материалы прочие</t>
        </is>
      </c>
      <c r="C17" s="290">
        <f>'Прил.5 Расчет СМР и ОБ'!J47</f>
        <v/>
      </c>
      <c r="D17" s="230">
        <f>C17/$C$24</f>
        <v/>
      </c>
      <c r="E17" s="230">
        <f>C17/$C$40</f>
        <v/>
      </c>
      <c r="G17" s="454" t="n"/>
    </row>
    <row r="18">
      <c r="B18" s="228" t="inlineStr">
        <is>
          <t>МАТЕРИАЛЫ, ВСЕГО:</t>
        </is>
      </c>
      <c r="C18" s="290">
        <f>C17+C16</f>
        <v/>
      </c>
      <c r="D18" s="230">
        <f>C18/$C$24</f>
        <v/>
      </c>
      <c r="E18" s="230">
        <f>C18/$C$40</f>
        <v/>
      </c>
    </row>
    <row r="19">
      <c r="B19" s="228" t="inlineStr">
        <is>
          <t>ИТОГО</t>
        </is>
      </c>
      <c r="C19" s="290">
        <f>C18+C14+C11</f>
        <v/>
      </c>
      <c r="D19" s="230" t="n"/>
      <c r="E19" s="228" t="n"/>
    </row>
    <row r="20">
      <c r="B20" s="228" t="inlineStr">
        <is>
          <t>Сметная прибыль, руб.</t>
        </is>
      </c>
      <c r="C20" s="290">
        <f>ROUND(C21*(C11+C15),2)</f>
        <v/>
      </c>
      <c r="D20" s="230">
        <f>C20/$C$24</f>
        <v/>
      </c>
      <c r="E20" s="230">
        <f>C20/$C$40</f>
        <v/>
      </c>
    </row>
    <row r="21">
      <c r="B21" s="228" t="inlineStr">
        <is>
          <t>Сметная прибыль, %</t>
        </is>
      </c>
      <c r="C21" s="232">
        <f>'Прил.5 Расчет СМР и ОБ'!D51</f>
        <v/>
      </c>
      <c r="D21" s="230" t="n"/>
      <c r="E21" s="228" t="n"/>
    </row>
    <row r="22">
      <c r="B22" s="228" t="inlineStr">
        <is>
          <t>Накладные расходы, руб.</t>
        </is>
      </c>
      <c r="C22" s="290">
        <f>ROUND(C23*(C11+C15),2)</f>
        <v/>
      </c>
      <c r="D22" s="230">
        <f>C22/$C$24</f>
        <v/>
      </c>
      <c r="E22" s="230">
        <f>C22/$C$40</f>
        <v/>
      </c>
    </row>
    <row r="23">
      <c r="B23" s="228" t="inlineStr">
        <is>
          <t>Накладные расходы, %</t>
        </is>
      </c>
      <c r="C23" s="232">
        <f>'Прил.5 Расчет СМР и ОБ'!D50</f>
        <v/>
      </c>
      <c r="D23" s="230" t="n"/>
      <c r="E23" s="228" t="n"/>
    </row>
    <row r="24">
      <c r="B24" s="228" t="inlineStr">
        <is>
          <t>ВСЕГО СМР с НР и СП</t>
        </is>
      </c>
      <c r="C24" s="290">
        <f>C19+C20+C22</f>
        <v/>
      </c>
      <c r="D24" s="230">
        <f>C24/$C$24</f>
        <v/>
      </c>
      <c r="E24" s="230">
        <f>C24/$C$40</f>
        <v/>
      </c>
    </row>
    <row r="25" ht="25.5" customHeight="1" s="300">
      <c r="B25" s="228" t="inlineStr">
        <is>
          <t>ВСЕГО стоимость оборудования, в том числе</t>
        </is>
      </c>
      <c r="C25" s="290">
        <f>'Прил.5 Расчет СМР и ОБ'!J34</f>
        <v/>
      </c>
      <c r="D25" s="230" t="n"/>
      <c r="E25" s="230">
        <f>C25/$C$40</f>
        <v/>
      </c>
    </row>
    <row r="26" ht="25.5" customHeight="1" s="300">
      <c r="B26" s="228" t="inlineStr">
        <is>
          <t>стоимость оборудования технологического</t>
        </is>
      </c>
      <c r="C26" s="290">
        <f>'Прил.5 Расчет СМР и ОБ'!J35</f>
        <v/>
      </c>
      <c r="D26" s="230" t="n"/>
      <c r="E26" s="230">
        <f>C26/$C$40</f>
        <v/>
      </c>
    </row>
    <row r="27">
      <c r="B27" s="228" t="inlineStr">
        <is>
          <t>ИТОГО (СМР + ОБОРУДОВАНИЕ)</t>
        </is>
      </c>
      <c r="C27" s="158">
        <f>C24+C25</f>
        <v/>
      </c>
      <c r="D27" s="230" t="n"/>
      <c r="E27" s="230">
        <f>C27/$C$40</f>
        <v/>
      </c>
    </row>
    <row r="28" ht="33" customHeight="1" s="300">
      <c r="B28" s="228" t="inlineStr">
        <is>
          <t>ПРОЧ. ЗАТР., УЧТЕННЫЕ ПОКАЗАТЕЛЕМ,  в том числе</t>
        </is>
      </c>
      <c r="C28" s="228" t="n"/>
      <c r="D28" s="228" t="n"/>
      <c r="E28" s="228" t="n"/>
      <c r="F28" s="233" t="n"/>
    </row>
    <row r="29" ht="25.5" customHeight="1" s="300">
      <c r="B29" s="228" t="inlineStr">
        <is>
          <t>Временные здания и сооружения - 3,3%</t>
        </is>
      </c>
      <c r="C29" s="158">
        <f>ROUND(C24*3.3%,2)</f>
        <v/>
      </c>
      <c r="D29" s="228" t="n"/>
      <c r="E29" s="230">
        <f>C29/$C$40</f>
        <v/>
      </c>
    </row>
    <row r="30" ht="38.25" customHeight="1" s="300">
      <c r="B30" s="228" t="inlineStr">
        <is>
          <t>Дополнительные затраты при производстве строительно-монтажных работ в зимнее время - 1%</t>
        </is>
      </c>
      <c r="C30" s="158">
        <f>ROUND((C24+C29)*1%,2)</f>
        <v/>
      </c>
      <c r="D30" s="228" t="n"/>
      <c r="E30" s="230">
        <f>C30/$C$40</f>
        <v/>
      </c>
      <c r="F30" s="233" t="n"/>
    </row>
    <row r="31">
      <c r="B31" s="228" t="inlineStr">
        <is>
          <t>Пусконаладочные работы</t>
        </is>
      </c>
      <c r="C31" s="158" t="n">
        <v>9896.16</v>
      </c>
      <c r="D31" s="228" t="n"/>
      <c r="E31" s="230">
        <f>C31/$C$40</f>
        <v/>
      </c>
    </row>
    <row r="32" ht="25.5" customHeight="1" s="300">
      <c r="B32" s="228" t="inlineStr">
        <is>
          <t>Затраты по перевозке работников к месту работы и обратно</t>
        </is>
      </c>
      <c r="C32" s="158">
        <f>ROUND(C27*0%,2)</f>
        <v/>
      </c>
      <c r="D32" s="228" t="n"/>
      <c r="E32" s="230">
        <f>C32/$C$40</f>
        <v/>
      </c>
    </row>
    <row r="33" ht="25.5" customHeight="1" s="300">
      <c r="B33" s="228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28" t="n"/>
      <c r="E33" s="230">
        <f>C33/$C$40</f>
        <v/>
      </c>
    </row>
    <row r="34" ht="51" customHeight="1" s="300">
      <c r="B34" s="2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28" t="n"/>
      <c r="E34" s="230">
        <f>C34/$C$40</f>
        <v/>
      </c>
      <c r="H34" s="234" t="n"/>
    </row>
    <row r="35" ht="76.5" customHeight="1" s="300">
      <c r="B35" s="2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28" t="n"/>
      <c r="E35" s="230">
        <f>C35/$C$40</f>
        <v/>
      </c>
    </row>
    <row r="36" ht="25.5" customHeight="1" s="300">
      <c r="B36" s="228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28" t="n"/>
      <c r="E36" s="230">
        <f>C36/$C$40</f>
        <v/>
      </c>
      <c r="L36" s="233" t="n"/>
    </row>
    <row r="37">
      <c r="B37" s="228" t="inlineStr">
        <is>
          <t>Авторский надзор - 0,2%</t>
        </is>
      </c>
      <c r="C37" s="158">
        <f>ROUND((C27+C32+C33+C34+C35+C29+C31+C30)*0.2%,2)</f>
        <v/>
      </c>
      <c r="D37" s="228" t="n"/>
      <c r="E37" s="230">
        <f>C37/$C$40</f>
        <v/>
      </c>
      <c r="L37" s="233" t="n"/>
    </row>
    <row r="38" ht="38.25" customHeight="1" s="300">
      <c r="B38" s="228" t="inlineStr">
        <is>
          <t>ИТОГО (СМР+ОБОРУДОВАНИЕ+ПРОЧ. ЗАТР., УЧТЕННЫЕ ПОКАЗАТЕЛЕМ)</t>
        </is>
      </c>
      <c r="C38" s="290">
        <f>C27+C32+C33+C34+C35+C29+C31+C30+C36+C37</f>
        <v/>
      </c>
      <c r="D38" s="228" t="n"/>
      <c r="E38" s="230">
        <f>C38/$C$40</f>
        <v/>
      </c>
    </row>
    <row r="39" ht="13.5" customHeight="1" s="300">
      <c r="B39" s="228" t="inlineStr">
        <is>
          <t>Непредвиденные расходы</t>
        </is>
      </c>
      <c r="C39" s="290">
        <f>ROUND(C38*3%,2)</f>
        <v/>
      </c>
      <c r="D39" s="228" t="n"/>
      <c r="E39" s="230">
        <f>C39/$C$38</f>
        <v/>
      </c>
    </row>
    <row r="40">
      <c r="B40" s="228" t="inlineStr">
        <is>
          <t>ВСЕГО:</t>
        </is>
      </c>
      <c r="C40" s="290">
        <f>C39+C38</f>
        <v/>
      </c>
      <c r="D40" s="228" t="n"/>
      <c r="E40" s="230">
        <f>C40/$C$40</f>
        <v/>
      </c>
    </row>
    <row r="41">
      <c r="B41" s="228" t="inlineStr">
        <is>
          <t>ИТОГО ПОКАЗАТЕЛЬ НА ЕД. ИЗМ.</t>
        </is>
      </c>
      <c r="C41" s="290">
        <f>C40/'Прил.5 Расчет СМР и ОБ'!E54</f>
        <v/>
      </c>
      <c r="D41" s="228" t="n"/>
      <c r="E41" s="228" t="n"/>
    </row>
    <row r="42">
      <c r="B42" s="292" t="n"/>
      <c r="C42" s="288" t="n"/>
      <c r="D42" s="288" t="n"/>
      <c r="E42" s="288" t="n"/>
    </row>
    <row r="43">
      <c r="B43" s="292" t="inlineStr">
        <is>
          <t>Составил ____________________________ Е. М. Добровольская</t>
        </is>
      </c>
      <c r="C43" s="288" t="n"/>
      <c r="D43" s="288" t="n"/>
      <c r="E43" s="288" t="n"/>
    </row>
    <row r="44">
      <c r="B44" s="292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92" t="n"/>
      <c r="C45" s="288" t="n"/>
      <c r="D45" s="288" t="n"/>
      <c r="E45" s="288" t="n"/>
    </row>
    <row r="46">
      <c r="B46" s="292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61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0"/>
  <sheetViews>
    <sheetView view="pageBreakPreview" topLeftCell="A48" workbookViewId="0">
      <selection activeCell="B63" sqref="B63"/>
    </sheetView>
  </sheetViews>
  <sheetFormatPr baseColWidth="8" defaultColWidth="9.140625" defaultRowHeight="15" outlineLevelRow="1"/>
  <cols>
    <col width="5.7109375" customWidth="1" style="298" min="1" max="1"/>
    <col width="22.5703125" customWidth="1" style="298" min="2" max="2"/>
    <col width="39.140625" customWidth="1" style="298" min="3" max="3"/>
    <col width="10.7109375" customWidth="1" style="298" min="4" max="4"/>
    <col width="12.7109375" customWidth="1" style="298" min="5" max="5"/>
    <col width="15" customWidth="1" style="298" min="6" max="6"/>
    <col width="13.42578125" customWidth="1" style="298" min="7" max="7"/>
    <col width="12.7109375" customWidth="1" style="298" min="8" max="8"/>
    <col width="13.85546875" customWidth="1" style="298" min="9" max="9"/>
    <col width="17.5703125" customWidth="1" style="298" min="10" max="10"/>
    <col width="10.85546875" customWidth="1" style="298" min="11" max="11"/>
    <col width="9.140625" customWidth="1" style="298" min="12" max="12"/>
    <col width="9.140625" customWidth="1" style="300" min="13" max="13"/>
  </cols>
  <sheetData>
    <row r="1" s="300">
      <c r="A1" s="29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</row>
    <row r="2" ht="15.75" customHeight="1" s="300">
      <c r="A2" s="298" t="n"/>
      <c r="B2" s="298" t="n"/>
      <c r="C2" s="298" t="n"/>
      <c r="D2" s="298" t="n"/>
      <c r="E2" s="298" t="n"/>
      <c r="F2" s="298" t="n"/>
      <c r="G2" s="298" t="n"/>
      <c r="H2" s="376" t="inlineStr">
        <is>
          <t>Приложение №5</t>
        </is>
      </c>
      <c r="K2" s="298" t="n"/>
      <c r="L2" s="298" t="n"/>
      <c r="M2" s="298" t="n"/>
      <c r="N2" s="298" t="n"/>
    </row>
    <row r="3" s="300">
      <c r="A3" s="298" t="n"/>
      <c r="B3" s="298" t="n"/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298" t="n"/>
    </row>
    <row r="4" ht="12.75" customFormat="1" customHeight="1" s="288">
      <c r="A4" s="336" t="inlineStr">
        <is>
          <t>Расчет стоимости СМР и оборудования</t>
        </is>
      </c>
    </row>
    <row r="5" ht="12.75" customFormat="1" customHeight="1" s="288">
      <c r="A5" s="336" t="n"/>
      <c r="B5" s="336" t="n"/>
      <c r="C5" s="388" t="n"/>
      <c r="D5" s="336" t="n"/>
      <c r="E5" s="336" t="n"/>
      <c r="F5" s="336" t="n"/>
      <c r="G5" s="336" t="n"/>
      <c r="H5" s="336" t="n"/>
      <c r="I5" s="336" t="n"/>
      <c r="J5" s="336" t="n"/>
    </row>
    <row r="6" ht="27.75" customFormat="1" customHeight="1" s="288">
      <c r="A6" s="239" t="inlineStr">
        <is>
          <t>Наименование разрабатываемого показателя УНЦ</t>
        </is>
      </c>
      <c r="B6" s="240" t="n"/>
      <c r="C6" s="240" t="n"/>
      <c r="D6" s="380" t="inlineStr">
        <is>
          <t>Установка пункта коммерческого учета (ПКУ) ЭЭ класса напряжения 20-35 кВ на опоре ВЛ (с выносными датчиками тока и напряжения)</t>
        </is>
      </c>
    </row>
    <row r="7" ht="12.75" customFormat="1" customHeight="1" s="288">
      <c r="A7" s="339" t="inlineStr">
        <is>
          <t>Единица измерения  — 1 ед.</t>
        </is>
      </c>
      <c r="I7" s="360" t="n"/>
      <c r="J7" s="360" t="n"/>
    </row>
    <row r="8" ht="13.5" customFormat="1" customHeight="1" s="288">
      <c r="A8" s="339" t="n"/>
    </row>
    <row r="9" ht="27" customHeight="1" s="300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44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44" t="n"/>
      <c r="K9" s="298" t="n"/>
      <c r="L9" s="298" t="n"/>
      <c r="M9" s="298" t="n"/>
      <c r="N9" s="298" t="n"/>
    </row>
    <row r="10" ht="28.5" customHeight="1" s="300">
      <c r="A10" s="446" t="n"/>
      <c r="B10" s="446" t="n"/>
      <c r="C10" s="446" t="n"/>
      <c r="D10" s="446" t="n"/>
      <c r="E10" s="446" t="n"/>
      <c r="F10" s="368" t="inlineStr">
        <is>
          <t>на ед. изм.</t>
        </is>
      </c>
      <c r="G10" s="368" t="inlineStr">
        <is>
          <t>общая</t>
        </is>
      </c>
      <c r="H10" s="446" t="n"/>
      <c r="I10" s="368" t="inlineStr">
        <is>
          <t>на ед. изм.</t>
        </is>
      </c>
      <c r="J10" s="368" t="inlineStr">
        <is>
          <t>общая</t>
        </is>
      </c>
      <c r="K10" s="298" t="n"/>
      <c r="L10" s="298" t="n"/>
      <c r="M10" s="298" t="n"/>
      <c r="N10" s="298" t="n"/>
    </row>
    <row r="11" s="300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3" t="n">
        <v>9</v>
      </c>
      <c r="J11" s="363" t="n">
        <v>10</v>
      </c>
      <c r="K11" s="298" t="n"/>
      <c r="L11" s="298" t="n"/>
      <c r="M11" s="298" t="n"/>
      <c r="N11" s="298" t="n"/>
    </row>
    <row r="12">
      <c r="A12" s="368" t="n"/>
      <c r="B12" s="353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86" t="n"/>
      <c r="J12" s="186" t="n"/>
    </row>
    <row r="13" ht="25.5" customHeight="1" s="300">
      <c r="A13" s="368" t="n">
        <v>1</v>
      </c>
      <c r="B13" s="241" t="inlineStr">
        <is>
          <t>1-4-0</t>
        </is>
      </c>
      <c r="C13" s="367" t="inlineStr">
        <is>
          <t>Затраты труда рабочих-строителей среднего разряда (4,0)</t>
        </is>
      </c>
      <c r="D13" s="368" t="inlineStr">
        <is>
          <t>чел.-ч.</t>
        </is>
      </c>
      <c r="E13" s="455">
        <f>G13/F13</f>
        <v/>
      </c>
      <c r="F13" s="251" t="n">
        <v>9.619999999999999</v>
      </c>
      <c r="G13" s="251">
        <f>'Прил. 3'!H12-'Прил. 3'!H14-'Прил. 3'!H15</f>
        <v/>
      </c>
      <c r="H13" s="250">
        <f>G13/$G$16</f>
        <v/>
      </c>
      <c r="I13" s="251">
        <f>'ФОТр.тек.'!E13</f>
        <v/>
      </c>
      <c r="J13" s="251">
        <f>ROUND(I13*E13,2)</f>
        <v/>
      </c>
    </row>
    <row r="14">
      <c r="A14" s="368" t="n">
        <v>2</v>
      </c>
      <c r="B14" s="241" t="inlineStr">
        <is>
          <t>10-3-1</t>
        </is>
      </c>
      <c r="C14" s="367" t="inlineStr">
        <is>
          <t>Инженер I категории</t>
        </is>
      </c>
      <c r="D14" s="368" t="inlineStr">
        <is>
          <t>чел.-ч.</t>
        </is>
      </c>
      <c r="E14" s="455">
        <f>G14/F14</f>
        <v/>
      </c>
      <c r="F14" s="251" t="n">
        <v>15.49</v>
      </c>
      <c r="G14" s="251">
        <f>'Прил. 3'!H14</f>
        <v/>
      </c>
      <c r="H14" s="250">
        <f>G14/$G$16</f>
        <v/>
      </c>
      <c r="I14" s="251">
        <f>'ФОТр.тек.'!E21</f>
        <v/>
      </c>
      <c r="J14" s="251">
        <f>ROUND(I14*E14,2)</f>
        <v/>
      </c>
    </row>
    <row r="15">
      <c r="A15" s="368" t="n">
        <v>3</v>
      </c>
      <c r="B15" s="241" t="inlineStr">
        <is>
          <t>10-3-2</t>
        </is>
      </c>
      <c r="C15" s="367" t="inlineStr">
        <is>
          <t>Инженер II категории</t>
        </is>
      </c>
      <c r="D15" s="368" t="inlineStr">
        <is>
          <t>чел.-ч.</t>
        </is>
      </c>
      <c r="E15" s="455">
        <f>G15/F15</f>
        <v/>
      </c>
      <c r="F15" s="251" t="n">
        <v>14.09</v>
      </c>
      <c r="G15" s="251">
        <f>'Прил. 3'!H15</f>
        <v/>
      </c>
      <c r="H15" s="250">
        <f>G15/$G$16</f>
        <v/>
      </c>
      <c r="I15" s="251">
        <f>'ФОТр.тек.'!E29</f>
        <v/>
      </c>
      <c r="J15" s="251">
        <f>ROUND(I15*E15,2)</f>
        <v/>
      </c>
    </row>
    <row r="16" ht="25.5" customFormat="1" customHeight="1" s="298">
      <c r="A16" s="368" t="n"/>
      <c r="B16" s="368" t="n"/>
      <c r="C16" s="353" t="inlineStr">
        <is>
          <t>Итого по разделу "Затраты труда рабочих-строителей"</t>
        </is>
      </c>
      <c r="D16" s="368" t="inlineStr">
        <is>
          <t>чел.-ч.</t>
        </is>
      </c>
      <c r="E16" s="455">
        <f>SUM(E13:E15)</f>
        <v/>
      </c>
      <c r="F16" s="251" t="n"/>
      <c r="G16" s="251">
        <f>SUM(G13:G15)</f>
        <v/>
      </c>
      <c r="H16" s="371">
        <f>SUM(H13:H13)</f>
        <v/>
      </c>
      <c r="I16" s="186" t="n"/>
      <c r="J16" s="251">
        <f>SUM(J13:J15)</f>
        <v/>
      </c>
    </row>
    <row r="17" ht="14.25" customFormat="1" customHeight="1" s="298">
      <c r="A17" s="368" t="n"/>
      <c r="B17" s="367" t="inlineStr">
        <is>
          <t>Затраты труда машинистов</t>
        </is>
      </c>
      <c r="C17" s="443" t="n"/>
      <c r="D17" s="443" t="n"/>
      <c r="E17" s="443" t="n"/>
      <c r="F17" s="443" t="n"/>
      <c r="G17" s="443" t="n"/>
      <c r="H17" s="444" t="n"/>
      <c r="I17" s="186" t="n"/>
      <c r="J17" s="186" t="n"/>
    </row>
    <row r="18" ht="14.25" customFormat="1" customHeight="1" s="298">
      <c r="A18" s="368" t="n">
        <v>4</v>
      </c>
      <c r="B18" s="368" t="n">
        <v>2</v>
      </c>
      <c r="C18" s="367" t="inlineStr">
        <is>
          <t>Затраты труда машинистов</t>
        </is>
      </c>
      <c r="D18" s="368" t="inlineStr">
        <is>
          <t>чел.-ч.</t>
        </is>
      </c>
      <c r="E18" s="455">
        <f>'Прил. 3'!F18</f>
        <v/>
      </c>
      <c r="F18" s="251">
        <f>G18/E18</f>
        <v/>
      </c>
      <c r="G18" s="251">
        <f>'Прил. 3'!H17</f>
        <v/>
      </c>
      <c r="H18" s="371" t="n">
        <v>1</v>
      </c>
      <c r="I18" s="251">
        <f>ROUND(F18*'Прил. 10'!D11,2)</f>
        <v/>
      </c>
      <c r="J18" s="251">
        <f>ROUND(I18*E18,2)</f>
        <v/>
      </c>
    </row>
    <row r="19" ht="14.25" customFormat="1" customHeight="1" s="298">
      <c r="A19" s="368" t="n"/>
      <c r="B19" s="353" t="inlineStr">
        <is>
          <t>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186" t="n"/>
      <c r="J19" s="186" t="n"/>
    </row>
    <row r="20" ht="14.25" customFormat="1" customHeight="1" s="298">
      <c r="A20" s="368" t="n"/>
      <c r="B20" s="367" t="inlineStr">
        <is>
          <t>Основные машины и механизмы</t>
        </is>
      </c>
      <c r="C20" s="443" t="n"/>
      <c r="D20" s="443" t="n"/>
      <c r="E20" s="443" t="n"/>
      <c r="F20" s="443" t="n"/>
      <c r="G20" s="443" t="n"/>
      <c r="H20" s="444" t="n"/>
      <c r="I20" s="186" t="n"/>
      <c r="J20" s="186" t="n"/>
    </row>
    <row r="21" ht="14.25" customFormat="1" customHeight="1" s="298">
      <c r="A21" s="368" t="n">
        <v>5</v>
      </c>
      <c r="B21" s="241" t="inlineStr">
        <is>
          <t>91.06.09-001</t>
        </is>
      </c>
      <c r="C21" s="367" t="inlineStr">
        <is>
          <t>Вышки телескопические 25 м</t>
        </is>
      </c>
      <c r="D21" s="368" t="inlineStr">
        <is>
          <t>маш.-ч</t>
        </is>
      </c>
      <c r="E21" s="455" t="n">
        <v>1.05</v>
      </c>
      <c r="F21" s="370" t="n">
        <v>142.7</v>
      </c>
      <c r="G21" s="251">
        <f>ROUND(E21*F21,2)</f>
        <v/>
      </c>
      <c r="H21" s="250">
        <f>G21/$G$28</f>
        <v/>
      </c>
      <c r="I21" s="251">
        <f>ROUND(F21*'Прил. 10'!$D$12,2)</f>
        <v/>
      </c>
      <c r="J21" s="251">
        <f>ROUND(I21*E21,2)</f>
        <v/>
      </c>
    </row>
    <row r="22" ht="25.5" customFormat="1" customHeight="1" s="298">
      <c r="A22" s="368" t="n">
        <v>6</v>
      </c>
      <c r="B22" s="241" t="inlineStr">
        <is>
          <t>91.05.05-015</t>
        </is>
      </c>
      <c r="C22" s="367" t="inlineStr">
        <is>
          <t>Краны на автомобильном ходу, грузоподъемность 16 т</t>
        </is>
      </c>
      <c r="D22" s="368" t="inlineStr">
        <is>
          <t>маш.час</t>
        </is>
      </c>
      <c r="E22" s="455" t="n">
        <v>0.76</v>
      </c>
      <c r="F22" s="370" t="n">
        <v>115.4</v>
      </c>
      <c r="G22" s="251">
        <f>ROUND(E22*F22,2)</f>
        <v/>
      </c>
      <c r="H22" s="250">
        <f>G22/$G$28</f>
        <v/>
      </c>
      <c r="I22" s="251">
        <f>ROUND(F22*'Прил. 10'!$D$12,2)</f>
        <v/>
      </c>
      <c r="J22" s="251">
        <f>ROUND(I22*E22,2)</f>
        <v/>
      </c>
    </row>
    <row r="23" ht="25.5" customFormat="1" customHeight="1" s="298">
      <c r="A23" s="368" t="n">
        <v>7</v>
      </c>
      <c r="B23" s="241" t="inlineStr">
        <is>
          <t>91.06.06-042</t>
        </is>
      </c>
      <c r="C23" s="367" t="inlineStr">
        <is>
          <t>Подъемники гидравлические, высота подъема 10 м</t>
        </is>
      </c>
      <c r="D23" s="368" t="inlineStr">
        <is>
          <t>маш.час</t>
        </is>
      </c>
      <c r="E23" s="455" t="n">
        <v>2.13</v>
      </c>
      <c r="F23" s="370" t="n">
        <v>29.6</v>
      </c>
      <c r="G23" s="251">
        <f>ROUND(E23*F23,2)</f>
        <v/>
      </c>
      <c r="H23" s="250">
        <f>G23/$G$28</f>
        <v/>
      </c>
      <c r="I23" s="251">
        <f>ROUND(F23*'Прил. 10'!$D$12,2)</f>
        <v/>
      </c>
      <c r="J23" s="251">
        <f>ROUND(I23*E23,2)</f>
        <v/>
      </c>
    </row>
    <row r="24" ht="25.5" customFormat="1" customHeight="1" s="298">
      <c r="A24" s="368" t="n">
        <v>8</v>
      </c>
      <c r="B24" s="241" t="inlineStr">
        <is>
          <t>91.14.02-001</t>
        </is>
      </c>
      <c r="C24" s="367" t="inlineStr">
        <is>
          <t>Автомобили бортовые, грузоподъемность до 5 т</t>
        </is>
      </c>
      <c r="D24" s="368" t="inlineStr">
        <is>
          <t>маш.час</t>
        </is>
      </c>
      <c r="E24" s="455" t="n">
        <v>0.76</v>
      </c>
      <c r="F24" s="370" t="n">
        <v>65.70999999999999</v>
      </c>
      <c r="G24" s="251">
        <f>ROUND(E24*F24,2)</f>
        <v/>
      </c>
      <c r="H24" s="250">
        <f>G24/$G$28</f>
        <v/>
      </c>
      <c r="I24" s="251">
        <f>ROUND(F24*'Прил. 10'!$D$12,2)</f>
        <v/>
      </c>
      <c r="J24" s="251">
        <f>ROUND(I24*E24,2)</f>
        <v/>
      </c>
    </row>
    <row r="25" ht="14.25" customFormat="1" customHeight="1" s="298">
      <c r="A25" s="368" t="n"/>
      <c r="B25" s="368" t="n"/>
      <c r="C25" s="367" t="inlineStr">
        <is>
          <t>Итого основные машины и механизмы</t>
        </is>
      </c>
      <c r="D25" s="368" t="n"/>
      <c r="E25" s="455" t="n"/>
      <c r="F25" s="251" t="n"/>
      <c r="G25" s="251">
        <f>SUM(G21:G24)</f>
        <v/>
      </c>
      <c r="H25" s="371">
        <f>G25/G28</f>
        <v/>
      </c>
      <c r="I25" s="249" t="n"/>
      <c r="J25" s="251">
        <f>SUM(J21:J24)</f>
        <v/>
      </c>
    </row>
    <row r="26" hidden="1" outlineLevel="1" ht="25.5" customFormat="1" customHeight="1" s="298">
      <c r="A26" s="368" t="n">
        <v>9</v>
      </c>
      <c r="B26" s="241" t="inlineStr">
        <is>
          <t>91.17.04-233</t>
        </is>
      </c>
      <c r="C26" s="367" t="inlineStr">
        <is>
          <t>Установки для сварки ручной дуговой (постоянного тока)</t>
        </is>
      </c>
      <c r="D26" s="368" t="inlineStr">
        <is>
          <t>маш.час</t>
        </is>
      </c>
      <c r="E26" s="455" t="n">
        <v>1.08</v>
      </c>
      <c r="F26" s="370" t="n">
        <v>8.1</v>
      </c>
      <c r="G26" s="251">
        <f>ROUND(E26*F26,2)</f>
        <v/>
      </c>
      <c r="H26" s="250">
        <f>G26/$G$28</f>
        <v/>
      </c>
      <c r="I26" s="251">
        <f>ROUND(F26*'Прил. 10'!$D$12,2)</f>
        <v/>
      </c>
      <c r="J26" s="251">
        <f>ROUND(I26*E26,2)</f>
        <v/>
      </c>
    </row>
    <row r="27" collapsed="1" ht="14.25" customFormat="1" customHeight="1" s="298">
      <c r="A27" s="368" t="n"/>
      <c r="B27" s="368" t="n"/>
      <c r="C27" s="367" t="inlineStr">
        <is>
          <t>Итого прочие машины и механизмы</t>
        </is>
      </c>
      <c r="D27" s="368" t="n"/>
      <c r="E27" s="369" t="n"/>
      <c r="F27" s="251" t="n"/>
      <c r="G27" s="249">
        <f>SUM(G26:G26)</f>
        <v/>
      </c>
      <c r="H27" s="250">
        <f>G27/G28</f>
        <v/>
      </c>
      <c r="I27" s="251" t="n"/>
      <c r="J27" s="249">
        <f>SUM(J26:J26)</f>
        <v/>
      </c>
    </row>
    <row r="28" ht="25.5" customFormat="1" customHeight="1" s="298">
      <c r="A28" s="368" t="n"/>
      <c r="B28" s="368" t="n"/>
      <c r="C28" s="353" t="inlineStr">
        <is>
          <t>Итого по разделу «Машины и механизмы»</t>
        </is>
      </c>
      <c r="D28" s="368" t="n"/>
      <c r="E28" s="369" t="n"/>
      <c r="F28" s="251" t="n"/>
      <c r="G28" s="251">
        <f>G25+G27</f>
        <v/>
      </c>
      <c r="H28" s="371">
        <f>H25+H27</f>
        <v/>
      </c>
      <c r="I28" s="184" t="n"/>
      <c r="J28" s="251">
        <f>J25+J27</f>
        <v/>
      </c>
    </row>
    <row r="29" ht="14.25" customFormat="1" customHeight="1" s="298">
      <c r="A29" s="368" t="n"/>
      <c r="B29" s="353" t="inlineStr">
        <is>
          <t>Оборудование</t>
        </is>
      </c>
      <c r="C29" s="443" t="n"/>
      <c r="D29" s="443" t="n"/>
      <c r="E29" s="443" t="n"/>
      <c r="F29" s="443" t="n"/>
      <c r="G29" s="443" t="n"/>
      <c r="H29" s="444" t="n"/>
      <c r="I29" s="186" t="n"/>
      <c r="J29" s="186" t="n"/>
    </row>
    <row r="30">
      <c r="A30" s="368" t="n"/>
      <c r="B30" s="367" t="inlineStr">
        <is>
          <t>Основное оборудование</t>
        </is>
      </c>
      <c r="C30" s="443" t="n"/>
      <c r="D30" s="443" t="n"/>
      <c r="E30" s="443" t="n"/>
      <c r="F30" s="443" t="n"/>
      <c r="G30" s="443" t="n"/>
      <c r="H30" s="444" t="n"/>
      <c r="I30" s="186" t="n"/>
      <c r="J30" s="186" t="n"/>
      <c r="K30" s="298" t="n"/>
      <c r="L30" s="298" t="n"/>
    </row>
    <row r="31" ht="25.5" customFormat="1" customHeight="1" s="298">
      <c r="A31" s="368" t="n">
        <v>10</v>
      </c>
      <c r="B31" s="368" t="inlineStr">
        <is>
          <t>БЦ.47.19</t>
        </is>
      </c>
      <c r="C31" s="367" t="inlineStr">
        <is>
          <t>ПКУ 10 кВ с датчиками напряжения и тока с передачей в ИВК</t>
        </is>
      </c>
      <c r="D31" s="368" t="inlineStr">
        <is>
          <t>компл.</t>
        </is>
      </c>
      <c r="E31" s="456" t="n">
        <v>1</v>
      </c>
      <c r="F31" s="370">
        <f>ROUND(I31/'Прил. 10'!$D$14,2)</f>
        <v/>
      </c>
      <c r="G31" s="251">
        <f>ROUND(E31*F31,2)</f>
        <v/>
      </c>
      <c r="H31" s="250" t="n">
        <v>0</v>
      </c>
      <c r="I31" s="251" t="n">
        <v>915619.05</v>
      </c>
      <c r="J31" s="251">
        <f>ROUND(I31*E31,2)</f>
        <v/>
      </c>
    </row>
    <row r="32">
      <c r="A32" s="368" t="n"/>
      <c r="B32" s="368" t="n"/>
      <c r="C32" s="367" t="inlineStr">
        <is>
          <t>Итого основное оборудование</t>
        </is>
      </c>
      <c r="D32" s="368" t="n"/>
      <c r="E32" s="456" t="n"/>
      <c r="F32" s="370" t="n"/>
      <c r="G32" s="251">
        <f>SUM(G31)</f>
        <v/>
      </c>
      <c r="H32" s="250">
        <f>SUM(H31)</f>
        <v/>
      </c>
      <c r="I32" s="249" t="n"/>
      <c r="J32" s="251">
        <f>SUM(J31)</f>
        <v/>
      </c>
      <c r="K32" s="298" t="n"/>
      <c r="L32" s="298" t="n"/>
    </row>
    <row r="33">
      <c r="A33" s="368" t="n"/>
      <c r="B33" s="368" t="n"/>
      <c r="C33" s="367" t="inlineStr">
        <is>
          <t>Итого прочее оборудование</t>
        </is>
      </c>
      <c r="D33" s="368" t="n"/>
      <c r="E33" s="455" t="n"/>
      <c r="F33" s="370" t="n"/>
      <c r="G33" s="251" t="n">
        <v>0</v>
      </c>
      <c r="H33" s="250" t="n">
        <v>0</v>
      </c>
      <c r="I33" s="249" t="n"/>
      <c r="J33" s="251" t="n">
        <v>0</v>
      </c>
      <c r="K33" s="298" t="n"/>
      <c r="L33" s="298" t="n"/>
    </row>
    <row r="34">
      <c r="A34" s="368" t="n"/>
      <c r="B34" s="368" t="n"/>
      <c r="C34" s="353" t="inlineStr">
        <is>
          <t>Итого по разделу «Оборудование»</t>
        </is>
      </c>
      <c r="D34" s="368" t="n"/>
      <c r="E34" s="369" t="n"/>
      <c r="F34" s="370" t="n"/>
      <c r="G34" s="251">
        <f>G32+G33</f>
        <v/>
      </c>
      <c r="H34" s="250">
        <f>H32+H33</f>
        <v/>
      </c>
      <c r="I34" s="249" t="n"/>
      <c r="J34" s="251">
        <f>J33+J32</f>
        <v/>
      </c>
      <c r="K34" s="298" t="n"/>
      <c r="L34" s="298" t="n"/>
    </row>
    <row r="35" ht="25.5" customHeight="1" s="300">
      <c r="A35" s="368" t="n"/>
      <c r="B35" s="368" t="n"/>
      <c r="C35" s="367" t="inlineStr">
        <is>
          <t>в том числе технологическое оборудование</t>
        </is>
      </c>
      <c r="D35" s="368" t="n"/>
      <c r="E35" s="456" t="n"/>
      <c r="F35" s="370" t="n"/>
      <c r="G35" s="251">
        <f>'Прил.6 Расчет ОБ'!G13</f>
        <v/>
      </c>
      <c r="H35" s="371" t="n"/>
      <c r="I35" s="249" t="n"/>
      <c r="J35" s="251">
        <f>J34</f>
        <v/>
      </c>
      <c r="K35" s="298" t="n"/>
      <c r="L35" s="298" t="n"/>
    </row>
    <row r="36" ht="14.25" customFormat="1" customHeight="1" s="298">
      <c r="A36" s="368" t="n"/>
      <c r="B36" s="353" t="inlineStr">
        <is>
          <t>Материалы</t>
        </is>
      </c>
      <c r="C36" s="443" t="n"/>
      <c r="D36" s="443" t="n"/>
      <c r="E36" s="443" t="n"/>
      <c r="F36" s="443" t="n"/>
      <c r="G36" s="443" t="n"/>
      <c r="H36" s="444" t="n"/>
      <c r="I36" s="186" t="n"/>
      <c r="J36" s="186" t="n"/>
    </row>
    <row r="37" ht="14.25" customFormat="1" customHeight="1" s="298">
      <c r="A37" s="363" t="n"/>
      <c r="B37" s="362" t="inlineStr">
        <is>
          <t>Основные материалы</t>
        </is>
      </c>
      <c r="C37" s="457" t="n"/>
      <c r="D37" s="457" t="n"/>
      <c r="E37" s="457" t="n"/>
      <c r="F37" s="457" t="n"/>
      <c r="G37" s="457" t="n"/>
      <c r="H37" s="458" t="n"/>
      <c r="I37" s="255" t="n"/>
      <c r="J37" s="255" t="n"/>
    </row>
    <row r="38" ht="34.5" customFormat="1" customHeight="1" s="298">
      <c r="A38" s="368" t="n">
        <v>11</v>
      </c>
      <c r="B38" s="368" t="inlineStr">
        <is>
          <t>01.7.15.03-0042</t>
        </is>
      </c>
      <c r="C38" s="367" t="inlineStr">
        <is>
          <t>Болты с гайками и шайбами строительные</t>
        </is>
      </c>
      <c r="D38" s="368" t="inlineStr">
        <is>
          <t>кг</t>
        </is>
      </c>
      <c r="E38" s="456" t="n">
        <v>44.7</v>
      </c>
      <c r="F38" s="370" t="n">
        <v>9.039999999999999</v>
      </c>
      <c r="G38" s="251">
        <f>ROUND(E38*F38,2)</f>
        <v/>
      </c>
      <c r="H38" s="250">
        <f>G38/$G$48</f>
        <v/>
      </c>
      <c r="I38" s="251">
        <f>ROUND(F38*'Прил. 10'!$D$13,2)</f>
        <v/>
      </c>
      <c r="J38" s="251">
        <f>ROUND(I38*E38,2)</f>
        <v/>
      </c>
    </row>
    <row r="39" ht="38.25" customFormat="1" customHeight="1" s="298">
      <c r="A39" s="368" t="n">
        <v>12</v>
      </c>
      <c r="B39" s="368" t="inlineStr">
        <is>
          <t>08.3.07.01-0076</t>
        </is>
      </c>
      <c r="C39" s="367" t="inlineStr">
        <is>
          <t>Прокат полосовой, горячекатаный, марка стали Ст3сп, ширина 50-200 мм, толщина 4-5 мм</t>
        </is>
      </c>
      <c r="D39" s="368" t="inlineStr">
        <is>
          <t>т</t>
        </is>
      </c>
      <c r="E39" s="456" t="n">
        <v>0.027</v>
      </c>
      <c r="F39" s="370" t="n">
        <v>5000</v>
      </c>
      <c r="G39" s="251">
        <f>ROUND(E39*F39,2)</f>
        <v/>
      </c>
      <c r="H39" s="250">
        <f>G39/$G$48</f>
        <v/>
      </c>
      <c r="I39" s="251">
        <f>ROUND(F39*'Прил. 10'!$D$13,2)</f>
        <v/>
      </c>
      <c r="J39" s="251">
        <f>ROUND(I39*E39,2)</f>
        <v/>
      </c>
    </row>
    <row r="40" ht="33.75" customFormat="1" customHeight="1" s="298">
      <c r="A40" s="368" t="n">
        <v>13</v>
      </c>
      <c r="B40" s="368" t="inlineStr">
        <is>
          <t>14.4.02.09-0001</t>
        </is>
      </c>
      <c r="C40" s="367" t="inlineStr">
        <is>
          <t>Краска</t>
        </is>
      </c>
      <c r="D40" s="368" t="inlineStr">
        <is>
          <t>кг</t>
        </is>
      </c>
      <c r="E40" s="456" t="n">
        <v>3.6</v>
      </c>
      <c r="F40" s="370" t="n">
        <v>28.6</v>
      </c>
      <c r="G40" s="251">
        <f>ROUND(E40*F40,2)</f>
        <v/>
      </c>
      <c r="H40" s="250">
        <f>G40/$G$48</f>
        <v/>
      </c>
      <c r="I40" s="251">
        <f>ROUND(F40*'Прил. 10'!$D$13,2)</f>
        <v/>
      </c>
      <c r="J40" s="251">
        <f>ROUND(I40*E40,2)</f>
        <v/>
      </c>
    </row>
    <row r="41" ht="14.25" customFormat="1" customHeight="1" s="298">
      <c r="A41" s="379" t="n"/>
      <c r="B41" s="257" t="n"/>
      <c r="C41" s="258" t="inlineStr">
        <is>
          <t>Итого основные материалы</t>
        </is>
      </c>
      <c r="D41" s="379" t="n"/>
      <c r="E41" s="459" t="n"/>
      <c r="F41" s="262" t="n"/>
      <c r="G41" s="262">
        <f>SUM(G38:G40)</f>
        <v/>
      </c>
      <c r="H41" s="250">
        <f>G41/$G$48</f>
        <v/>
      </c>
      <c r="I41" s="251" t="n"/>
      <c r="J41" s="262">
        <f>SUM(J38:J40)</f>
        <v/>
      </c>
    </row>
    <row r="42" hidden="1" outlineLevel="1" ht="25.5" customFormat="1" customHeight="1" s="298">
      <c r="A42" s="368" t="n">
        <v>14</v>
      </c>
      <c r="B42" s="368" t="inlineStr">
        <is>
          <t>999-9950</t>
        </is>
      </c>
      <c r="C42" s="367" t="inlineStr">
        <is>
          <t>Вспомогательные ненормируемые ресурсы (2% от Оплаты труда рабочих)</t>
        </is>
      </c>
      <c r="D42" s="368" t="inlineStr">
        <is>
          <t>руб</t>
        </is>
      </c>
      <c r="E42" s="456" t="n">
        <v>16.12</v>
      </c>
      <c r="F42" s="370" t="n">
        <v>1</v>
      </c>
      <c r="G42" s="251">
        <f>ROUND(E42*F42,2)</f>
        <v/>
      </c>
      <c r="H42" s="250">
        <f>G42/$G$48</f>
        <v/>
      </c>
      <c r="I42" s="251">
        <f>ROUND(F42*'Прил. 10'!$D$13,2)</f>
        <v/>
      </c>
      <c r="J42" s="251">
        <f>ROUND(I42*E42,2)</f>
        <v/>
      </c>
    </row>
    <row r="43" hidden="1" outlineLevel="1" ht="21.75" customFormat="1" customHeight="1" s="298">
      <c r="A43" s="368" t="n">
        <v>15</v>
      </c>
      <c r="B43" s="368" t="inlineStr">
        <is>
          <t>01.7.20.08-0031</t>
        </is>
      </c>
      <c r="C43" s="367" t="inlineStr">
        <is>
          <t>Бязь суровая</t>
        </is>
      </c>
      <c r="D43" s="368" t="inlineStr">
        <is>
          <t>10 м2</t>
        </is>
      </c>
      <c r="E43" s="456" t="n">
        <v>0.117</v>
      </c>
      <c r="F43" s="370" t="n">
        <v>79.09999999999999</v>
      </c>
      <c r="G43" s="251">
        <f>ROUND(E43*F43,2)</f>
        <v/>
      </c>
      <c r="H43" s="250">
        <f>G43/$G$48</f>
        <v/>
      </c>
      <c r="I43" s="251">
        <f>ROUND(F43*'Прил. 10'!$D$13,2)</f>
        <v/>
      </c>
      <c r="J43" s="251">
        <f>ROUND(I43*E43,2)</f>
        <v/>
      </c>
    </row>
    <row r="44" hidden="1" outlineLevel="1" ht="25.5" customFormat="1" customHeight="1" s="298">
      <c r="A44" s="368" t="n">
        <v>16</v>
      </c>
      <c r="B44" s="368" t="inlineStr">
        <is>
          <t>01.3.01.06-0050</t>
        </is>
      </c>
      <c r="C44" s="367" t="inlineStr">
        <is>
          <t>Смазка универсальная тугоплавкая УТ (консталин жировой)</t>
        </is>
      </c>
      <c r="D44" s="368" t="inlineStr">
        <is>
          <t>т</t>
        </is>
      </c>
      <c r="E44" s="456" t="n">
        <v>0.00045</v>
      </c>
      <c r="F44" s="370" t="n">
        <v>17500</v>
      </c>
      <c r="G44" s="251">
        <f>ROUND(E44*F44,2)</f>
        <v/>
      </c>
      <c r="H44" s="250">
        <f>G44/$G$48</f>
        <v/>
      </c>
      <c r="I44" s="251">
        <f>ROUND(F44*'Прил. 10'!$D$13,2)</f>
        <v/>
      </c>
      <c r="J44" s="251">
        <f>ROUND(I44*E44,2)</f>
        <v/>
      </c>
    </row>
    <row r="45" hidden="1" outlineLevel="1" ht="25.5" customFormat="1" customHeight="1" s="298">
      <c r="A45" s="368" t="n">
        <v>17</v>
      </c>
      <c r="B45" s="368" t="inlineStr">
        <is>
          <t>01.7.11.07-0034</t>
        </is>
      </c>
      <c r="C45" s="367" t="inlineStr">
        <is>
          <t>Электроды сварочные Э42А, диаметр 4 мм</t>
        </is>
      </c>
      <c r="D45" s="368" t="inlineStr">
        <is>
          <t>кг</t>
        </is>
      </c>
      <c r="E45" s="456" t="n">
        <v>0.45</v>
      </c>
      <c r="F45" s="370" t="n">
        <v>10.57</v>
      </c>
      <c r="G45" s="251">
        <f>ROUND(E45*F45,2)</f>
        <v/>
      </c>
      <c r="H45" s="250">
        <f>G45/$G$48</f>
        <v/>
      </c>
      <c r="I45" s="251">
        <f>ROUND(F45*'Прил. 10'!$D$13,2)</f>
        <v/>
      </c>
      <c r="J45" s="251">
        <f>ROUND(I45*E45,2)</f>
        <v/>
      </c>
    </row>
    <row r="46" hidden="1" outlineLevel="1" ht="25.5" customFormat="1" customHeight="1" s="298">
      <c r="A46" s="368" t="n">
        <v>18</v>
      </c>
      <c r="B46" s="368" t="inlineStr">
        <is>
          <t>01.7.15.04-0011</t>
        </is>
      </c>
      <c r="C46" s="367" t="inlineStr">
        <is>
          <t>Винты с полукруглой головкой, длина 50 мм</t>
        </is>
      </c>
      <c r="D46" s="368" t="inlineStr">
        <is>
          <t>т</t>
        </is>
      </c>
      <c r="E46" s="456" t="n">
        <v>3e-05</v>
      </c>
      <c r="F46" s="370" t="n">
        <v>12430</v>
      </c>
      <c r="G46" s="251">
        <f>ROUND(E46*F46,2)</f>
        <v/>
      </c>
      <c r="H46" s="250">
        <f>G46/$G$48</f>
        <v/>
      </c>
      <c r="I46" s="251">
        <f>ROUND(F46*'Прил. 10'!$D$13,2)</f>
        <v/>
      </c>
      <c r="J46" s="251">
        <f>ROUND(I46*E46,2)</f>
        <v/>
      </c>
    </row>
    <row r="47" collapsed="1" ht="14.25" customFormat="1" customHeight="1" s="298">
      <c r="A47" s="368" t="n"/>
      <c r="B47" s="368" t="n"/>
      <c r="C47" s="367" t="inlineStr">
        <is>
          <t>Итого прочие материалы</t>
        </is>
      </c>
      <c r="D47" s="368" t="n"/>
      <c r="E47" s="369" t="n"/>
      <c r="F47" s="370" t="n"/>
      <c r="G47" s="251">
        <f>SUM(G42:G46)</f>
        <v/>
      </c>
      <c r="H47" s="250">
        <f>G47/$G$48</f>
        <v/>
      </c>
      <c r="I47" s="251" t="n"/>
      <c r="J47" s="251">
        <f>SUM(J42:J46)</f>
        <v/>
      </c>
    </row>
    <row r="48" ht="14.25" customFormat="1" customHeight="1" s="298">
      <c r="A48" s="368" t="n"/>
      <c r="B48" s="368" t="n"/>
      <c r="C48" s="353" t="inlineStr">
        <is>
          <t>Итого по разделу «Материалы»</t>
        </is>
      </c>
      <c r="D48" s="368" t="n"/>
      <c r="E48" s="369" t="n"/>
      <c r="F48" s="370" t="n"/>
      <c r="G48" s="251">
        <f>G41+G47</f>
        <v/>
      </c>
      <c r="H48" s="371">
        <f>G48/$G$48</f>
        <v/>
      </c>
      <c r="I48" s="251" t="n"/>
      <c r="J48" s="251">
        <f>J41+J47</f>
        <v/>
      </c>
    </row>
    <row r="49" ht="14.25" customFormat="1" customHeight="1" s="298">
      <c r="A49" s="368" t="n"/>
      <c r="B49" s="368" t="n"/>
      <c r="C49" s="367" t="inlineStr">
        <is>
          <t>ИТОГО ПО РМ</t>
        </is>
      </c>
      <c r="D49" s="368" t="n"/>
      <c r="E49" s="369" t="n"/>
      <c r="F49" s="370" t="n"/>
      <c r="G49" s="251">
        <f>G16+G28+G48</f>
        <v/>
      </c>
      <c r="H49" s="371" t="n"/>
      <c r="I49" s="251" t="n"/>
      <c r="J49" s="251">
        <f>J16+J28+J48</f>
        <v/>
      </c>
    </row>
    <row r="50" ht="14.25" customFormat="1" customHeight="1" s="298">
      <c r="A50" s="368" t="n"/>
      <c r="B50" s="368" t="n"/>
      <c r="C50" s="367" t="inlineStr">
        <is>
          <t>Накладные расходы</t>
        </is>
      </c>
      <c r="D50" s="173">
        <f>ROUND(G50/(G$18+$G$16),2)</f>
        <v/>
      </c>
      <c r="E50" s="369" t="n"/>
      <c r="F50" s="370" t="n"/>
      <c r="G50" s="251" t="n">
        <v>802.09</v>
      </c>
      <c r="H50" s="371" t="n"/>
      <c r="I50" s="251" t="n"/>
      <c r="J50" s="251">
        <f>ROUND(D50*(J16+J18),2)</f>
        <v/>
      </c>
    </row>
    <row r="51" ht="14.25" customFormat="1" customHeight="1" s="298">
      <c r="A51" s="368" t="n"/>
      <c r="B51" s="368" t="n"/>
      <c r="C51" s="367" t="inlineStr">
        <is>
          <t>Сметная прибыль</t>
        </is>
      </c>
      <c r="D51" s="173">
        <f>ROUND(G51/(G$16+G$18),2)</f>
        <v/>
      </c>
      <c r="E51" s="369" t="n"/>
      <c r="F51" s="370" t="n"/>
      <c r="G51" s="251" t="n">
        <v>415.47</v>
      </c>
      <c r="H51" s="371" t="n"/>
      <c r="I51" s="251" t="n"/>
      <c r="J51" s="251">
        <f>ROUND(D51*(J16+J18),2)</f>
        <v/>
      </c>
    </row>
    <row r="52" ht="14.25" customFormat="1" customHeight="1" s="298">
      <c r="A52" s="368" t="n"/>
      <c r="B52" s="368" t="n"/>
      <c r="C52" s="367" t="inlineStr">
        <is>
          <t>Итого СМР (с НР и СП)</t>
        </is>
      </c>
      <c r="D52" s="368" t="n"/>
      <c r="E52" s="369" t="n"/>
      <c r="F52" s="370" t="n"/>
      <c r="G52" s="251">
        <f>G16+G28+G48+G50+G51</f>
        <v/>
      </c>
      <c r="H52" s="371" t="n"/>
      <c r="I52" s="251" t="n"/>
      <c r="J52" s="251">
        <f>J16+J28+J48+J50+J51</f>
        <v/>
      </c>
    </row>
    <row r="53" ht="14.25" customFormat="1" customHeight="1" s="298">
      <c r="A53" s="368" t="n"/>
      <c r="B53" s="368" t="n"/>
      <c r="C53" s="367" t="inlineStr">
        <is>
          <t>ВСЕГО СМР + ОБОРУДОВАНИЕ</t>
        </is>
      </c>
      <c r="D53" s="368" t="n"/>
      <c r="E53" s="369" t="n"/>
      <c r="F53" s="370" t="n"/>
      <c r="G53" s="251">
        <f>G52+G34</f>
        <v/>
      </c>
      <c r="H53" s="371" t="n"/>
      <c r="I53" s="251" t="n"/>
      <c r="J53" s="251">
        <f>J52+J34</f>
        <v/>
      </c>
    </row>
    <row r="54" ht="34.5" customFormat="1" customHeight="1" s="298">
      <c r="A54" s="368" t="n"/>
      <c r="B54" s="368" t="n"/>
      <c r="C54" s="367" t="inlineStr">
        <is>
          <t>ИТОГО ПОКАЗАТЕЛЬ НА ЕД. ИЗМ.</t>
        </is>
      </c>
      <c r="D54" s="368" t="inlineStr">
        <is>
          <t>ед.</t>
        </is>
      </c>
      <c r="E54" s="460" t="n">
        <v>1</v>
      </c>
      <c r="F54" s="370" t="n"/>
      <c r="G54" s="251">
        <f>G53/E54</f>
        <v/>
      </c>
      <c r="H54" s="371" t="n"/>
      <c r="I54" s="251" t="n"/>
      <c r="J54" s="251">
        <f>J53/E54</f>
        <v/>
      </c>
    </row>
    <row r="56" ht="14.25" customFormat="1" customHeight="1" s="298">
      <c r="A56" s="288" t="inlineStr">
        <is>
          <t>Составил ______________________    Е. М. Добровольская</t>
        </is>
      </c>
    </row>
    <row r="57" ht="14.25" customFormat="1" customHeight="1" s="298">
      <c r="A57" s="297" t="inlineStr">
        <is>
          <t xml:space="preserve">                         (подпись, инициалы, фамилия)</t>
        </is>
      </c>
    </row>
    <row r="58" ht="14.25" customFormat="1" customHeight="1" s="298">
      <c r="A58" s="288" t="n"/>
    </row>
    <row r="59" ht="14.25" customFormat="1" customHeight="1" s="298">
      <c r="A59" s="288" t="inlineStr">
        <is>
          <t>Проверил ______________________        А.В. Костянецкая</t>
        </is>
      </c>
    </row>
    <row r="60" ht="14.25" customFormat="1" customHeight="1" s="298">
      <c r="A60" s="29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9:B10"/>
    <mergeCell ref="D9:D10"/>
    <mergeCell ref="B12:H12"/>
    <mergeCell ref="D6:J6"/>
    <mergeCell ref="A8:H8"/>
    <mergeCell ref="F9:G9"/>
    <mergeCell ref="B17:H17"/>
    <mergeCell ref="A9:A10"/>
    <mergeCell ref="B29:H29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81" t="inlineStr">
        <is>
          <t>Приложение №6</t>
        </is>
      </c>
    </row>
    <row r="2" ht="21.75" customHeight="1" s="300">
      <c r="A2" s="381" t="n"/>
      <c r="B2" s="381" t="n"/>
      <c r="C2" s="381" t="n"/>
      <c r="D2" s="381" t="n"/>
      <c r="E2" s="381" t="n"/>
      <c r="F2" s="381" t="n"/>
      <c r="G2" s="381" t="n"/>
    </row>
    <row r="3">
      <c r="A3" s="336" t="inlineStr">
        <is>
          <t>Расчет стоимости оборудования</t>
        </is>
      </c>
    </row>
    <row r="4" ht="27" customHeight="1" s="300">
      <c r="A4" s="339" t="inlineStr">
        <is>
          <t>Наименование разрабатываемого показателя УНЦ — Установка пункта коммерческого учета (ПКУ) ЭЭ класса напряжения 20-35 кВ на опоре ВЛ (с выносными датчиками тока и напряжения)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" customHeight="1" s="300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00">
      <c r="A9" s="228" t="n"/>
      <c r="B9" s="367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00">
      <c r="A10" s="368" t="n"/>
      <c r="B10" s="353" t="n"/>
      <c r="C10" s="367" t="inlineStr">
        <is>
          <t>ИТОГО ИНЖЕНЕРНОЕ ОБОРУДОВАНИЕ</t>
        </is>
      </c>
      <c r="D10" s="353" t="n"/>
      <c r="E10" s="169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00">
      <c r="A12" s="368" t="n">
        <v>1</v>
      </c>
      <c r="B12" s="367">
        <f>'Прил.5 Расчет СМР и ОБ'!B31</f>
        <v/>
      </c>
      <c r="C12" s="367">
        <f>'Прил.5 Расчет СМР и ОБ'!C31</f>
        <v/>
      </c>
      <c r="D12" s="367">
        <f>'Прил.5 Расчет СМР и ОБ'!D31</f>
        <v/>
      </c>
      <c r="E12" s="367">
        <f>'Прил.5 Расчет СМР и ОБ'!E31</f>
        <v/>
      </c>
      <c r="F12" s="367">
        <f>'Прил.5 Расчет СМР и ОБ'!F31</f>
        <v/>
      </c>
      <c r="G12" s="370">
        <f>ROUND(E12*F12,2)</f>
        <v/>
      </c>
    </row>
    <row r="13" ht="25.5" customHeight="1" s="300">
      <c r="A13" s="368" t="n"/>
      <c r="B13" s="367" t="n"/>
      <c r="C13" s="367" t="inlineStr">
        <is>
          <t>ИТОГО ТЕХНОЛОГИЧЕСКОЕ ОБОРУДОВАНИЕ</t>
        </is>
      </c>
      <c r="D13" s="367" t="n"/>
      <c r="E13" s="385" t="n"/>
      <c r="F13" s="370" t="n"/>
      <c r="G13" s="251">
        <f>SUM(G12)</f>
        <v/>
      </c>
    </row>
    <row r="14" ht="19.5" customHeight="1" s="300">
      <c r="A14" s="368" t="n"/>
      <c r="B14" s="367" t="n"/>
      <c r="C14" s="367" t="inlineStr">
        <is>
          <t>Всего по разделу «Оборудование»</t>
        </is>
      </c>
      <c r="D14" s="367" t="n"/>
      <c r="E14" s="385" t="n"/>
      <c r="F14" s="370" t="n"/>
      <c r="G14" s="251">
        <f>G10+G13</f>
        <v/>
      </c>
    </row>
    <row r="15">
      <c r="A15" s="299" t="n"/>
      <c r="B15" s="294" t="n"/>
      <c r="C15" s="299" t="n"/>
      <c r="D15" s="299" t="n"/>
      <c r="E15" s="299" t="n"/>
      <c r="F15" s="299" t="n"/>
      <c r="G15" s="299" t="n"/>
    </row>
    <row r="16">
      <c r="A16" s="288" t="inlineStr">
        <is>
          <t>Составил ______________________    Е. М. Добровольская</t>
        </is>
      </c>
      <c r="B16" s="298" t="n"/>
      <c r="C16" s="298" t="n"/>
      <c r="D16" s="299" t="n"/>
      <c r="E16" s="299" t="n"/>
      <c r="F16" s="299" t="n"/>
      <c r="G16" s="299" t="n"/>
    </row>
    <row r="17">
      <c r="A17" s="297" t="inlineStr">
        <is>
          <t xml:space="preserve">                         (подпись, инициалы, фамилия)</t>
        </is>
      </c>
      <c r="B17" s="298" t="n"/>
      <c r="C17" s="298" t="n"/>
      <c r="D17" s="299" t="n"/>
      <c r="E17" s="299" t="n"/>
      <c r="F17" s="299" t="n"/>
      <c r="G17" s="299" t="n"/>
    </row>
    <row r="18">
      <c r="A18" s="288" t="n"/>
      <c r="B18" s="298" t="n"/>
      <c r="C18" s="298" t="n"/>
      <c r="D18" s="299" t="n"/>
      <c r="E18" s="299" t="n"/>
      <c r="F18" s="299" t="n"/>
      <c r="G18" s="299" t="n"/>
    </row>
    <row r="19">
      <c r="A19" s="288" t="inlineStr">
        <is>
          <t>Проверил ______________________        А.В. Костянецкая</t>
        </is>
      </c>
      <c r="B19" s="298" t="n"/>
      <c r="C19" s="298" t="n"/>
      <c r="D19" s="299" t="n"/>
      <c r="E19" s="299" t="n"/>
      <c r="F19" s="299" t="n"/>
      <c r="G19" s="299" t="n"/>
    </row>
    <row r="20">
      <c r="A20" s="297" t="inlineStr">
        <is>
          <t xml:space="preserve">                        (подпись, инициалы, фамилия)</t>
        </is>
      </c>
      <c r="B20" s="298" t="n"/>
      <c r="C20" s="298" t="n"/>
      <c r="D20" s="299" t="n"/>
      <c r="E20" s="299" t="n"/>
      <c r="F20" s="299" t="n"/>
      <c r="G20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4.42578125" customWidth="1" style="300" min="1" max="1"/>
    <col width="29.7109375" customWidth="1" style="300" min="2" max="2"/>
    <col width="39.140625" customWidth="1" style="300" min="3" max="3"/>
    <col width="24.5703125" customWidth="1" style="300" min="4" max="4"/>
    <col width="8.85546875" customWidth="1" style="300" min="5" max="5"/>
  </cols>
  <sheetData>
    <row r="1">
      <c r="B1" s="288" t="n"/>
      <c r="C1" s="288" t="n"/>
      <c r="D1" s="381" t="inlineStr">
        <is>
          <t>Приложение №7</t>
        </is>
      </c>
    </row>
    <row r="2">
      <c r="A2" s="381" t="n"/>
      <c r="B2" s="381" t="n"/>
      <c r="C2" s="381" t="n"/>
      <c r="D2" s="381" t="n"/>
    </row>
    <row r="3" ht="24.75" customHeight="1" s="300">
      <c r="A3" s="336" t="inlineStr">
        <is>
          <t>Расчет показателя УНЦ</t>
        </is>
      </c>
    </row>
    <row r="4" ht="24.75" customHeight="1" s="300">
      <c r="A4" s="336" t="n"/>
      <c r="B4" s="336" t="n"/>
      <c r="C4" s="336" t="n"/>
      <c r="D4" s="336" t="n"/>
    </row>
    <row r="5" ht="24.6" customHeight="1" s="300">
      <c r="A5" s="339" t="inlineStr">
        <is>
          <t xml:space="preserve">Наименование разрабатываемого показателя УНЦ - </t>
        </is>
      </c>
      <c r="D5" s="339">
        <f>'Прил.5 Расчет СМР и ОБ'!D6:J6</f>
        <v/>
      </c>
    </row>
    <row r="6" ht="19.9" customHeight="1" s="300">
      <c r="A6" s="339" t="inlineStr">
        <is>
          <t>Единица измерения  — 1 ед</t>
        </is>
      </c>
      <c r="D6" s="339" t="n"/>
    </row>
    <row r="7">
      <c r="A7" s="288" t="n"/>
      <c r="B7" s="288" t="n"/>
      <c r="C7" s="288" t="n"/>
      <c r="D7" s="288" t="n"/>
    </row>
    <row r="8" ht="14.45" customHeight="1" s="300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 ht="15" customHeight="1" s="300">
      <c r="A9" s="446" t="n"/>
      <c r="B9" s="446" t="n"/>
      <c r="C9" s="446" t="n"/>
      <c r="D9" s="446" t="n"/>
    </row>
    <row r="10">
      <c r="A10" s="368" t="n">
        <v>1</v>
      </c>
      <c r="B10" s="368" t="n">
        <v>2</v>
      </c>
      <c r="C10" s="368" t="n">
        <v>3</v>
      </c>
      <c r="D10" s="368" t="n">
        <v>4</v>
      </c>
    </row>
    <row r="11" ht="41.45" customHeight="1" s="300">
      <c r="A11" s="368" t="inlineStr">
        <is>
          <t>А1-40</t>
        </is>
      </c>
      <c r="B11" s="368" t="inlineStr">
        <is>
          <t>УНЦ ИИК</t>
        </is>
      </c>
      <c r="C11" s="290">
        <f>D5</f>
        <v/>
      </c>
      <c r="D11" s="291">
        <f>'Прил.4 РМ'!C41/1000</f>
        <v/>
      </c>
      <c r="E11" s="292" t="n"/>
    </row>
    <row r="12">
      <c r="A12" s="299" t="n"/>
      <c r="B12" s="294" t="n"/>
      <c r="C12" s="299" t="n"/>
      <c r="D12" s="299" t="n"/>
    </row>
    <row r="13">
      <c r="A13" s="288" t="inlineStr">
        <is>
          <t>Составил ______________________      Е. М. Добровольская</t>
        </is>
      </c>
      <c r="B13" s="298" t="n"/>
      <c r="C13" s="298" t="n"/>
      <c r="D13" s="299" t="n"/>
    </row>
    <row r="14">
      <c r="A14" s="297" t="inlineStr">
        <is>
          <t xml:space="preserve">                         (подпись, инициалы, фамилия)</t>
        </is>
      </c>
      <c r="B14" s="298" t="n"/>
      <c r="C14" s="298" t="n"/>
      <c r="D14" s="299" t="n"/>
    </row>
    <row r="15">
      <c r="A15" s="288" t="n"/>
      <c r="B15" s="298" t="n"/>
      <c r="C15" s="298" t="n"/>
      <c r="D15" s="299" t="n"/>
    </row>
    <row r="16">
      <c r="A16" s="288" t="inlineStr">
        <is>
          <t>Проверил ______________________        А.В. Костянецкая</t>
        </is>
      </c>
      <c r="B16" s="298" t="n"/>
      <c r="C16" s="298" t="n"/>
      <c r="D16" s="299" t="n"/>
    </row>
    <row r="17">
      <c r="A17" s="297" t="inlineStr">
        <is>
          <t xml:space="preserve">                        (подпись, инициалы, фамилия)</t>
        </is>
      </c>
      <c r="B17" s="298" t="n"/>
      <c r="C17" s="298" t="n"/>
      <c r="D17" s="2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00" min="1" max="1"/>
    <col width="40.7109375" customWidth="1" style="300" min="2" max="2"/>
    <col width="37.5703125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43" t="inlineStr">
        <is>
          <t>Приложение № 10</t>
        </is>
      </c>
    </row>
    <row r="5" ht="18.75" customHeight="1" s="300">
      <c r="B5" s="153" t="n"/>
    </row>
    <row r="6" ht="15.75" customHeight="1" s="300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00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00">
      <c r="B10" s="349" t="n">
        <v>1</v>
      </c>
      <c r="C10" s="349" t="n">
        <v>2</v>
      </c>
      <c r="D10" s="349" t="n">
        <v>3</v>
      </c>
    </row>
    <row r="11" ht="45" customHeight="1" s="300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46.83</v>
      </c>
    </row>
    <row r="12" ht="29.25" customHeight="1" s="300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11.96</v>
      </c>
    </row>
    <row r="13" ht="29.25" customHeight="1" s="300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9.84</v>
      </c>
    </row>
    <row r="14" ht="30.75" customHeight="1" s="300">
      <c r="B14" s="349" t="inlineStr">
        <is>
          <t>Индекс изменения сметной стоимости на 1 квартал 2023 года. ОБ</t>
        </is>
      </c>
      <c r="C14" s="280" t="inlineStr">
        <is>
          <t>Письмо Минстроя России от 23.02.2023г. №9791-ИФ/09 прил.6</t>
        </is>
      </c>
      <c r="D14" s="349" t="n">
        <v>6.26</v>
      </c>
    </row>
    <row r="15" ht="89.25" customHeight="1" s="300">
      <c r="B15" s="349" t="inlineStr">
        <is>
          <t>Временные здания и сооружения</t>
        </is>
      </c>
      <c r="C15" s="349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0.033</v>
      </c>
    </row>
    <row r="16" ht="78.75" customHeight="1" s="300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</v>
      </c>
    </row>
    <row r="17" ht="31.5" customHeight="1" s="300">
      <c r="B17" s="349" t="inlineStr">
        <is>
          <t>Строительный контроль</t>
        </is>
      </c>
      <c r="C17" s="349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0">
      <c r="B18" s="349" t="inlineStr">
        <is>
          <t>Авторский надзор - 0,2%</t>
        </is>
      </c>
      <c r="C18" s="349" t="inlineStr">
        <is>
          <t>Приказ от 4.08.2020 № 421/пр п.173</t>
        </is>
      </c>
      <c r="D18" s="156" t="n">
        <v>0.002</v>
      </c>
    </row>
    <row r="19" ht="24" customHeight="1" s="300">
      <c r="B19" s="349" t="inlineStr">
        <is>
          <t>Непредвиденные расходы</t>
        </is>
      </c>
      <c r="C19" s="349" t="inlineStr">
        <is>
          <t>Приказ от 4.08.2020 № 421/пр п.179</t>
        </is>
      </c>
      <c r="D19" s="156" t="n">
        <v>0.03</v>
      </c>
    </row>
    <row r="20" ht="18.75" customHeight="1" s="300">
      <c r="B20" s="161" t="n"/>
    </row>
    <row r="21" ht="18.75" customHeight="1" s="300">
      <c r="B21" s="161" t="n"/>
    </row>
    <row r="22" ht="18.75" customHeight="1" s="300">
      <c r="B22" s="161" t="n"/>
    </row>
    <row r="23" ht="18.75" customHeight="1" s="300">
      <c r="B23" s="161" t="n"/>
    </row>
    <row r="26">
      <c r="B26" s="288" t="inlineStr">
        <is>
          <t>Составил ______________________    Е. М. Добровольская</t>
        </is>
      </c>
      <c r="C26" s="298" t="n"/>
    </row>
    <row r="27">
      <c r="B27" s="297" t="inlineStr">
        <is>
          <t xml:space="preserve">                         (подпись, инициалы, фамилия)</t>
        </is>
      </c>
      <c r="C27" s="298" t="n"/>
    </row>
    <row r="28">
      <c r="B28" s="288" t="n"/>
      <c r="C28" s="298" t="n"/>
    </row>
    <row r="29">
      <c r="B29" s="288" t="inlineStr">
        <is>
          <t>Проверил ______________________        А.В. Костянецкая</t>
        </is>
      </c>
      <c r="C29" s="298" t="n"/>
    </row>
    <row r="30">
      <c r="B30" s="297" t="inlineStr">
        <is>
          <t xml:space="preserve">                        (подпись, инициалы, фамилия)</t>
        </is>
      </c>
      <c r="C30" s="2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19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53.7109375" bestFit="1" customWidth="1" style="300" min="6" max="6"/>
  </cols>
  <sheetData>
    <row r="1" s="300"/>
    <row r="2" ht="17.25" customHeight="1" s="300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49" t="n"/>
      <c r="D10" s="349" t="n"/>
      <c r="E10" s="461" t="n">
        <v>4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62" t="n">
        <v>1.34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1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63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0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  <row r="14" ht="15.75" customHeight="1" s="300">
      <c r="A14" s="435" t="n"/>
      <c r="B14" s="436" t="inlineStr">
        <is>
          <t>Инженер I категории</t>
        </is>
      </c>
      <c r="C14" s="436" t="n"/>
      <c r="D14" s="436" t="n"/>
      <c r="E14" s="436" t="n"/>
      <c r="F14" s="437" t="n"/>
    </row>
    <row r="15" ht="110.25" customHeight="1" s="300">
      <c r="A15" s="304" t="inlineStr">
        <is>
          <t>1.1</t>
        </is>
      </c>
      <c r="B15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49" t="inlineStr">
        <is>
          <t>С1ср</t>
        </is>
      </c>
      <c r="D15" s="349" t="inlineStr">
        <is>
          <t>-</t>
        </is>
      </c>
      <c r="E15" s="307" t="n">
        <v>47872.94</v>
      </c>
      <c r="F15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2" t="n"/>
    </row>
    <row r="16" ht="31.5" customHeight="1" s="300">
      <c r="A16" s="304" t="inlineStr">
        <is>
          <t>1.2</t>
        </is>
      </c>
      <c r="B16" s="309" t="inlineStr">
        <is>
          <t>Среднегодовое нормативное число часов работы одного рабочего в месяц, часы (ч.)</t>
        </is>
      </c>
      <c r="C16" s="349" t="inlineStr">
        <is>
          <t>tср</t>
        </is>
      </c>
      <c r="D16" s="349" t="inlineStr">
        <is>
          <t>1973ч/12мес.</t>
        </is>
      </c>
      <c r="E16" s="308">
        <f>1973/12</f>
        <v/>
      </c>
      <c r="F16" s="309" t="inlineStr">
        <is>
          <t>Производственный календарь 2023 год
(40-часов.неделя)</t>
        </is>
      </c>
      <c r="G16" s="311" t="n"/>
    </row>
    <row r="17" ht="15.75" customHeight="1" s="300">
      <c r="A17" s="304" t="inlineStr">
        <is>
          <t>1.3</t>
        </is>
      </c>
      <c r="B17" s="309" t="inlineStr">
        <is>
          <t>Коэффициент увеличения</t>
        </is>
      </c>
      <c r="C17" s="349" t="inlineStr">
        <is>
          <t>Кув</t>
        </is>
      </c>
      <c r="D17" s="349" t="inlineStr">
        <is>
          <t>-</t>
        </is>
      </c>
      <c r="E17" s="308" t="n">
        <v>1</v>
      </c>
      <c r="F17" s="309" t="n"/>
      <c r="G17" s="311" t="n"/>
    </row>
    <row r="18" ht="15.75" customHeight="1" s="300">
      <c r="A18" s="304" t="inlineStr">
        <is>
          <t>1.4</t>
        </is>
      </c>
      <c r="B18" s="309" t="inlineStr">
        <is>
          <t>Средний разряд работ</t>
        </is>
      </c>
      <c r="C18" s="349" t="n"/>
      <c r="D18" s="349" t="n"/>
      <c r="E18" s="461" t="inlineStr">
        <is>
          <t>Инженер I категории</t>
        </is>
      </c>
      <c r="F18" s="309" t="inlineStr">
        <is>
          <t>РТМ</t>
        </is>
      </c>
      <c r="G18" s="311" t="n"/>
    </row>
    <row r="19" ht="78.75" customHeight="1" s="300">
      <c r="A19" s="317" t="inlineStr">
        <is>
          <t>1.5</t>
        </is>
      </c>
      <c r="B19" s="319" t="inlineStr">
        <is>
          <t>Тарифный коэффициент среднего разряда работ</t>
        </is>
      </c>
      <c r="C19" s="350" t="inlineStr">
        <is>
          <t>КТ</t>
        </is>
      </c>
      <c r="D19" s="350" t="inlineStr">
        <is>
          <t>-</t>
        </is>
      </c>
      <c r="E19" s="464" t="n">
        <v>2.15</v>
      </c>
      <c r="F19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2" t="n"/>
    </row>
    <row r="20" ht="78.75" customHeight="1" s="300">
      <c r="A20" s="304" t="inlineStr">
        <is>
          <t>1.6</t>
        </is>
      </c>
      <c r="B20" s="314" t="inlineStr">
        <is>
          <t>Коэффициент инфляции, определяемый поквартально</t>
        </is>
      </c>
      <c r="C20" s="349" t="inlineStr">
        <is>
          <t>Кинф</t>
        </is>
      </c>
      <c r="D20" s="349" t="inlineStr">
        <is>
          <t>-</t>
        </is>
      </c>
      <c r="E20" s="465" t="n">
        <v>1.139</v>
      </c>
      <c r="F20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1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300">
      <c r="A21" s="304" t="inlineStr">
        <is>
          <t>1.7</t>
        </is>
      </c>
      <c r="B21" s="324" t="inlineStr">
        <is>
          <t>Размер средств на оплату труда рабочих-строителей в текущем уровне цен (ФОТр.тек.), руб/чел.-ч</t>
        </is>
      </c>
      <c r="C21" s="349" t="inlineStr">
        <is>
          <t>ФОТр.тек.</t>
        </is>
      </c>
      <c r="D21" s="349" t="inlineStr">
        <is>
          <t>(С1ср/tср*КТ*Т*Кув)*Кинф</t>
        </is>
      </c>
      <c r="E21" s="325">
        <f>((E15*E17/E16)*E19)*E20</f>
        <v/>
      </c>
      <c r="F21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2" t="n"/>
    </row>
    <row r="22" ht="15.75" customHeight="1" s="300">
      <c r="A22" s="320" t="n"/>
      <c r="B22" s="321" t="inlineStr">
        <is>
          <t>Инженер II категории</t>
        </is>
      </c>
      <c r="C22" s="321" t="n"/>
      <c r="D22" s="321" t="n"/>
      <c r="E22" s="321" t="n"/>
      <c r="F22" s="322" t="n"/>
    </row>
    <row r="23" ht="110.25" customHeight="1" s="300">
      <c r="A23" s="304" t="inlineStr">
        <is>
          <t>1.1</t>
        </is>
      </c>
      <c r="B23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49" t="inlineStr">
        <is>
          <t>С1ср</t>
        </is>
      </c>
      <c r="D23" s="349" t="inlineStr">
        <is>
          <t>-</t>
        </is>
      </c>
      <c r="E23" s="307" t="n">
        <v>47872.94</v>
      </c>
      <c r="F23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2" t="n"/>
    </row>
    <row r="24" ht="31.5" customHeight="1" s="300">
      <c r="A24" s="304" t="inlineStr">
        <is>
          <t>1.2</t>
        </is>
      </c>
      <c r="B24" s="309" t="inlineStr">
        <is>
          <t>Среднегодовое нормативное число часов работы одного рабочего в месяц, часы (ч.)</t>
        </is>
      </c>
      <c r="C24" s="349" t="inlineStr">
        <is>
          <t>tср</t>
        </is>
      </c>
      <c r="D24" s="349" t="inlineStr">
        <is>
          <t>1973ч/12мес.</t>
        </is>
      </c>
      <c r="E24" s="308">
        <f>1973/12</f>
        <v/>
      </c>
      <c r="F24" s="309" t="inlineStr">
        <is>
          <t>Производственный календарь 2023 год
(40-часов.неделя)</t>
        </is>
      </c>
      <c r="G24" s="311" t="n"/>
    </row>
    <row r="25" ht="15.75" customHeight="1" s="300">
      <c r="A25" s="304" t="inlineStr">
        <is>
          <t>1.3</t>
        </is>
      </c>
      <c r="B25" s="309" t="inlineStr">
        <is>
          <t>Коэффициент увеличения</t>
        </is>
      </c>
      <c r="C25" s="349" t="inlineStr">
        <is>
          <t>Кув</t>
        </is>
      </c>
      <c r="D25" s="349" t="inlineStr">
        <is>
          <t>-</t>
        </is>
      </c>
      <c r="E25" s="308" t="n">
        <v>1</v>
      </c>
      <c r="F25" s="309" t="n"/>
      <c r="G25" s="311" t="n"/>
    </row>
    <row r="26" ht="15.75" customHeight="1" s="300">
      <c r="A26" s="304" t="inlineStr">
        <is>
          <t>1.4</t>
        </is>
      </c>
      <c r="B26" s="309" t="inlineStr">
        <is>
          <t>Средний разряд работ</t>
        </is>
      </c>
      <c r="C26" s="349" t="n"/>
      <c r="D26" s="349" t="n"/>
      <c r="E26" s="461" t="inlineStr">
        <is>
          <t>Инженер II категории</t>
        </is>
      </c>
      <c r="F26" s="309" t="inlineStr">
        <is>
          <t>РТМ</t>
        </is>
      </c>
      <c r="G26" s="311" t="n"/>
    </row>
    <row r="27" ht="78.75" customHeight="1" s="300">
      <c r="A27" s="317" t="inlineStr">
        <is>
          <t>1.5</t>
        </is>
      </c>
      <c r="B27" s="319" t="inlineStr">
        <is>
          <t>Тарифный коэффициент среднего разряда работ</t>
        </is>
      </c>
      <c r="C27" s="350" t="inlineStr">
        <is>
          <t>КТ</t>
        </is>
      </c>
      <c r="D27" s="350" t="inlineStr">
        <is>
          <t>-</t>
        </is>
      </c>
      <c r="E27" s="464" t="n">
        <v>1.96</v>
      </c>
      <c r="F27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2" t="n"/>
    </row>
    <row r="28" ht="78.75" customHeight="1" s="300">
      <c r="A28" s="304" t="inlineStr">
        <is>
          <t>1.6</t>
        </is>
      </c>
      <c r="B28" s="314" t="inlineStr">
        <is>
          <t>Коэффициент инфляции, определяемый поквартально</t>
        </is>
      </c>
      <c r="C28" s="349" t="inlineStr">
        <is>
          <t>Кинф</t>
        </is>
      </c>
      <c r="D28" s="349" t="inlineStr">
        <is>
          <t>-</t>
        </is>
      </c>
      <c r="E28" s="465" t="n">
        <v>1.139</v>
      </c>
      <c r="F28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1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300">
      <c r="A29" s="304" t="inlineStr">
        <is>
          <t>1.7</t>
        </is>
      </c>
      <c r="B29" s="324" t="inlineStr">
        <is>
          <t>Размер средств на оплату труда рабочих-строителей в текущем уровне цен (ФОТр.тек.), руб/чел.-ч</t>
        </is>
      </c>
      <c r="C29" s="349" t="inlineStr">
        <is>
          <t>ФОТр.тек.</t>
        </is>
      </c>
      <c r="D29" s="349" t="inlineStr">
        <is>
          <t>(С1ср/tср*КТ*Т*Кув)*Кинф</t>
        </is>
      </c>
      <c r="E29" s="325">
        <f>((E23*E25/E24)*E27)*E28</f>
        <v/>
      </c>
      <c r="F29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2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2025-01-24T11:51:58Z</dcterms:modified>
  <cp:lastModifiedBy>Николай Трофименко</cp:lastModifiedBy>
  <cp:lastPrinted>2023-12-01T09:50:11Z</cp:lastPrinted>
</cp:coreProperties>
</file>