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3'!$A$1:$H$116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'ФОТр.тек.'!$A$1:$F$38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169" fontId="17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1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5" fillId="0" borderId="4" applyAlignment="1" pivotButton="0" quotePrefix="0" xfId="0">
      <alignment vertical="center" wrapText="1"/>
    </xf>
    <xf numFmtId="4" fontId="25" fillId="0" borderId="4" applyAlignment="1" pivotButton="0" quotePrefix="0" xfId="0">
      <alignment vertical="center" wrapText="1"/>
    </xf>
    <xf numFmtId="2" fontId="25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6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1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303" min="1" max="2"/>
    <col width="51.7109375" customWidth="1" style="303" min="3" max="3"/>
    <col width="47" customWidth="1" style="303" min="4" max="4"/>
    <col width="37.42578125" customWidth="1" style="303" min="5" max="5"/>
    <col width="9.140625" customWidth="1" style="303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01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1">
      <c r="B6" s="199" t="n"/>
      <c r="C6" s="199" t="n"/>
      <c r="D6" s="199" t="n"/>
    </row>
    <row r="7" ht="64.5" customHeight="1" s="301">
      <c r="B7" s="346" t="inlineStr">
        <is>
          <t>Наименование разрабатываемого показателя УНЦ - ПКУ класса напряжения 110 кВ</t>
        </is>
      </c>
    </row>
    <row r="8" ht="31.5" customHeight="1" s="301">
      <c r="B8" s="346" t="inlineStr">
        <is>
          <t>Сопоставимый уровень цен: 3 кв. 2019 г.</t>
        </is>
      </c>
    </row>
    <row r="9" ht="15.75" customHeight="1" s="301">
      <c r="B9" s="346" t="inlineStr">
        <is>
          <t>Единица измерения  — 1 ед.</t>
        </is>
      </c>
    </row>
    <row r="10">
      <c r="B10" s="346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 xml:space="preserve">Объект-представитель </t>
        </is>
      </c>
      <c r="E11" s="200" t="n"/>
    </row>
    <row r="12" ht="96.75" customHeight="1" s="301">
      <c r="B12" s="350" t="n">
        <v>1</v>
      </c>
      <c r="C12" s="315" t="inlineStr">
        <is>
          <t>Наименование объекта-представителя</t>
        </is>
      </c>
      <c r="D12" s="350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0" t="n">
        <v>2</v>
      </c>
      <c r="C13" s="315" t="inlineStr">
        <is>
          <t>Наименование субъекта Российской Федерации</t>
        </is>
      </c>
      <c r="D13" s="350" t="inlineStr">
        <is>
          <t>Республика Калмыкия</t>
        </is>
      </c>
    </row>
    <row r="14">
      <c r="B14" s="350" t="n">
        <v>3</v>
      </c>
      <c r="C14" s="315" t="inlineStr">
        <is>
          <t>Климатический район и подрайон</t>
        </is>
      </c>
      <c r="D14" s="350" t="inlineStr">
        <is>
          <t>IVГ</t>
        </is>
      </c>
    </row>
    <row r="15">
      <c r="B15" s="350" t="n">
        <v>4</v>
      </c>
      <c r="C15" s="315" t="inlineStr">
        <is>
          <t>Мощность объекта</t>
        </is>
      </c>
      <c r="D15" s="350" t="n">
        <v>1</v>
      </c>
    </row>
    <row r="16" ht="63" customHeight="1" s="301">
      <c r="B16" s="350" t="n">
        <v>5</v>
      </c>
      <c r="C16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Счётчик трёхфазный прямого включения в шкафном исполнении с передачей данных в ИВК</t>
        </is>
      </c>
    </row>
    <row r="17" ht="79.5" customHeight="1" s="301">
      <c r="B17" s="350" t="n">
        <v>6</v>
      </c>
      <c r="C17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204" t="n"/>
    </row>
    <row r="18">
      <c r="B18" s="205" t="inlineStr">
        <is>
          <t>6.1</t>
        </is>
      </c>
      <c r="C18" s="315" t="inlineStr">
        <is>
          <t>строительно-монтажные работы</t>
        </is>
      </c>
      <c r="D18" s="203">
        <f>'Прил.2 Расч стоим'!F12+'Прил.2 Расч стоим'!G12</f>
        <v/>
      </c>
    </row>
    <row r="19" ht="15.75" customHeight="1" s="301">
      <c r="B19" s="205" t="inlineStr">
        <is>
          <t>6.2</t>
        </is>
      </c>
      <c r="C19" s="315" t="inlineStr">
        <is>
          <t>оборудование и инвентарь</t>
        </is>
      </c>
      <c r="D19" s="203">
        <f>'Прил.2 Расч стоим'!H12</f>
        <v/>
      </c>
    </row>
    <row r="20" ht="16.5" customHeight="1" s="301">
      <c r="B20" s="205" t="inlineStr">
        <is>
          <t>6.3</t>
        </is>
      </c>
      <c r="C20" s="315" t="inlineStr">
        <is>
          <t>пусконаладочные работы</t>
        </is>
      </c>
      <c r="D20" s="203" t="n"/>
    </row>
    <row r="21" ht="35.25" customHeight="1" s="301">
      <c r="B21" s="205" t="inlineStr">
        <is>
          <t>6.4</t>
        </is>
      </c>
      <c r="C21" s="206" t="inlineStr">
        <is>
          <t>прочие и лимитированные затраты</t>
        </is>
      </c>
      <c r="D21" s="203">
        <f>D18*0.033+(D18*0.033+D18)*0.01</f>
        <v/>
      </c>
    </row>
    <row r="22">
      <c r="B22" s="350" t="n">
        <v>7</v>
      </c>
      <c r="C22" s="206" t="inlineStr">
        <is>
          <t>Сопоставимый уровень цен</t>
        </is>
      </c>
      <c r="D22" s="207" t="inlineStr">
        <is>
          <t>3 кв. 2019 г.</t>
        </is>
      </c>
      <c r="E22" s="208" t="n"/>
    </row>
    <row r="23" ht="123" customHeight="1" s="301">
      <c r="B23" s="350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204" t="n"/>
    </row>
    <row r="24" ht="60.75" customHeight="1" s="301">
      <c r="B24" s="350" t="n">
        <v>9</v>
      </c>
      <c r="C24" s="280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E24" s="208" t="n"/>
    </row>
    <row r="25" ht="48" customHeight="1" s="301">
      <c r="B25" s="350" t="n">
        <v>10</v>
      </c>
      <c r="C25" s="315" t="inlineStr">
        <is>
          <t>Примечание</t>
        </is>
      </c>
      <c r="D25" s="350" t="n"/>
    </row>
    <row r="26">
      <c r="B26" s="210" t="n"/>
      <c r="C26" s="211" t="n"/>
      <c r="D26" s="211" t="n"/>
    </row>
    <row r="27" ht="37.5" customHeight="1" s="301">
      <c r="B27" s="163" t="n"/>
    </row>
    <row r="28">
      <c r="B28" s="303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3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3" min="1" max="1"/>
    <col width="9.140625" customWidth="1" style="303" min="2" max="2"/>
    <col width="35.28515625" customWidth="1" style="303" min="3" max="3"/>
    <col width="13.85546875" customWidth="1" style="303" min="4" max="4"/>
    <col width="24.85546875" customWidth="1" style="303" min="5" max="5"/>
    <col width="15.5703125" customWidth="1" style="303" min="6" max="6"/>
    <col width="14.85546875" customWidth="1" style="303" min="7" max="7"/>
    <col width="16.7109375" customWidth="1" style="303" min="8" max="8"/>
    <col width="13" customWidth="1" style="303" min="9" max="10"/>
    <col width="9.140625" customWidth="1" style="303" min="11" max="11"/>
  </cols>
  <sheetData>
    <row r="3">
      <c r="B3" s="344" t="inlineStr">
        <is>
          <t>Приложение № 2</t>
        </is>
      </c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1">
      <c r="B6" s="346">
        <f>'Прил.1 Сравнит табл'!B7:D7</f>
        <v/>
      </c>
    </row>
    <row r="7">
      <c r="B7" s="346">
        <f>'Прил.1 Сравнит табл'!B9:D9</f>
        <v/>
      </c>
    </row>
    <row r="8" ht="18.75" customHeight="1" s="301">
      <c r="B8" s="161" t="n"/>
    </row>
    <row r="9" ht="15.75" customHeight="1" s="301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01">
      <c r="B10" s="446" t="n"/>
      <c r="C10" s="446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</row>
    <row r="11" ht="31.5" customHeight="1" s="301">
      <c r="B11" s="447" t="n"/>
      <c r="C11" s="447" t="n"/>
      <c r="D11" s="447" t="n"/>
      <c r="E11" s="447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</row>
    <row r="12" ht="48" customHeight="1" s="301">
      <c r="B12" s="330" t="n">
        <v>1</v>
      </c>
      <c r="C12" s="331" t="inlineStr">
        <is>
          <t>Счётчик трёхфазный прямого включения в шкафном исполнении с передачей данных в ИВК</t>
        </is>
      </c>
      <c r="D12" s="332" t="inlineStr">
        <is>
          <t>02-01-01</t>
        </is>
      </c>
      <c r="E12" s="331" t="inlineStr">
        <is>
          <t>Установка ПКУ 10 кВ</t>
        </is>
      </c>
      <c r="F12" s="331" t="n">
        <v>0</v>
      </c>
      <c r="G12" s="333" t="n">
        <v>107.51</v>
      </c>
      <c r="H12" s="333" t="n">
        <v>3624.79</v>
      </c>
      <c r="I12" s="331" t="n">
        <v>0</v>
      </c>
      <c r="J12" s="331">
        <f>SUM(F12:I12)</f>
        <v/>
      </c>
    </row>
    <row r="13" ht="15.75" customHeight="1" s="301">
      <c r="B13" s="348" t="inlineStr">
        <is>
          <t>Всего по объекту:</t>
        </is>
      </c>
      <c r="C13" s="448" t="n"/>
      <c r="D13" s="448" t="n"/>
      <c r="E13" s="449" t="n"/>
      <c r="F13" s="334">
        <f>F12</f>
        <v/>
      </c>
      <c r="G13" s="334">
        <f>G12</f>
        <v/>
      </c>
      <c r="H13" s="334">
        <f>H12</f>
        <v/>
      </c>
      <c r="I13" s="334">
        <f>I12</f>
        <v/>
      </c>
      <c r="J13" s="334">
        <f>SUM(F13:I13)</f>
        <v/>
      </c>
    </row>
    <row r="14" ht="15.75" customHeight="1" s="301">
      <c r="B14" s="349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334">
        <f>F13</f>
        <v/>
      </c>
      <c r="G14" s="334">
        <f>G13</f>
        <v/>
      </c>
      <c r="H14" s="334">
        <f>H13</f>
        <v/>
      </c>
      <c r="I14" s="335">
        <f>'Прил.1 Сравнит табл'!D21</f>
        <v/>
      </c>
      <c r="J14" s="336">
        <f>SUM(F14:I14)</f>
        <v/>
      </c>
    </row>
    <row r="15" ht="15" customHeight="1" s="301"/>
    <row r="16" ht="15" customHeight="1" s="301"/>
    <row r="17" ht="15" customHeight="1" s="301"/>
    <row r="18" ht="15" customHeight="1" s="301">
      <c r="C18" s="289" t="inlineStr">
        <is>
          <t>Составил ______________________     Е. М. Добровольская</t>
        </is>
      </c>
      <c r="D18" s="299" t="n"/>
      <c r="E18" s="299" t="n"/>
    </row>
    <row r="19" ht="15" customHeight="1" s="301">
      <c r="C19" s="298" t="inlineStr">
        <is>
          <t xml:space="preserve">                         (подпись, инициалы, фамилия)</t>
        </is>
      </c>
      <c r="D19" s="299" t="n"/>
      <c r="E19" s="299" t="n"/>
    </row>
    <row r="20" ht="15" customHeight="1" s="301">
      <c r="C20" s="289" t="n"/>
      <c r="D20" s="299" t="n"/>
      <c r="E20" s="299" t="n"/>
    </row>
    <row r="21" ht="15" customHeight="1" s="301">
      <c r="C21" s="289" t="inlineStr">
        <is>
          <t>Проверил ______________________        А.В. Костянецкая</t>
        </is>
      </c>
      <c r="D21" s="299" t="n"/>
      <c r="E21" s="299" t="n"/>
    </row>
    <row r="22" ht="15" customHeight="1" s="301">
      <c r="C22" s="298" t="inlineStr">
        <is>
          <t xml:space="preserve">                        (подпись, инициалы, фамилия)</t>
        </is>
      </c>
      <c r="D22" s="299" t="n"/>
      <c r="E22" s="299" t="n"/>
    </row>
    <row r="23" ht="15" customHeight="1" s="301"/>
    <row r="24" ht="15" customHeight="1" s="301"/>
    <row r="25" ht="15" customHeight="1" s="301"/>
    <row r="26" ht="15" customHeight="1" s="301"/>
    <row r="27" ht="15" customHeight="1" s="301"/>
    <row r="28" ht="15" customHeight="1" s="30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16"/>
  <sheetViews>
    <sheetView view="pageBreakPreview" topLeftCell="A86" zoomScale="70" workbookViewId="0">
      <selection activeCell="D114" sqref="D114"/>
    </sheetView>
  </sheetViews>
  <sheetFormatPr baseColWidth="8" defaultColWidth="9.140625" defaultRowHeight="15.75"/>
  <cols>
    <col width="9.140625" customWidth="1" style="303" min="1" max="1"/>
    <col width="12.5703125" customWidth="1" style="303" min="2" max="2"/>
    <col width="22.42578125" customWidth="1" style="303" min="3" max="3"/>
    <col width="49.7109375" customWidth="1" style="303" min="4" max="4"/>
    <col width="10.140625" customWidth="1" style="303" min="5" max="5"/>
    <col width="20.7109375" customWidth="1" style="303" min="6" max="6"/>
    <col width="20" customWidth="1" style="303" min="7" max="7"/>
    <col width="16.7109375" customWidth="1" style="303" min="8" max="8"/>
    <col width="8.28515625" customWidth="1" style="303" min="9" max="9"/>
    <col width="12.5703125" customWidth="1" style="303" min="10" max="10"/>
    <col width="15" customWidth="1" style="303" min="11" max="11"/>
    <col width="9.140625" customWidth="1" style="303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01">
      <c r="A4" s="212" t="n"/>
      <c r="B4" s="212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 ht="33.75" customHeight="1" s="301">
      <c r="A6" s="359" t="inlineStr">
        <is>
          <t>Наименование разрабатываемого показателя УНЦ -  ПКУ класса напряжения 110 кВ</t>
        </is>
      </c>
    </row>
    <row r="7" ht="33.75" customHeight="1" s="301">
      <c r="A7" s="359" t="n"/>
      <c r="B7" s="359" t="n"/>
      <c r="C7" s="359" t="n"/>
      <c r="D7" s="359" t="n"/>
      <c r="E7" s="359" t="n"/>
      <c r="F7" s="359" t="n"/>
      <c r="G7" s="359" t="n"/>
      <c r="H7" s="359" t="n"/>
      <c r="I7" s="303" t="n"/>
      <c r="J7" s="303" t="n"/>
      <c r="K7" s="303" t="n"/>
      <c r="L7" s="303" t="n"/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301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45" t="n"/>
    </row>
    <row r="10" ht="40.5" customHeight="1" s="301">
      <c r="A10" s="447" t="n"/>
      <c r="B10" s="447" t="n"/>
      <c r="C10" s="447" t="n"/>
      <c r="D10" s="447" t="n"/>
      <c r="E10" s="447" t="n"/>
      <c r="F10" s="447" t="n"/>
      <c r="G10" s="350" t="inlineStr">
        <is>
          <t>на ед.изм.</t>
        </is>
      </c>
      <c r="H10" s="350" t="inlineStr">
        <is>
          <t>общая</t>
        </is>
      </c>
    </row>
    <row r="11">
      <c r="A11" s="351" t="n">
        <v>1</v>
      </c>
      <c r="B11" s="351" t="n"/>
      <c r="C11" s="351" t="n">
        <v>2</v>
      </c>
      <c r="D11" s="351" t="inlineStr">
        <is>
          <t>З</t>
        </is>
      </c>
      <c r="E11" s="351" t="n">
        <v>4</v>
      </c>
      <c r="F11" s="351" t="n">
        <v>5</v>
      </c>
      <c r="G11" s="351" t="n">
        <v>6</v>
      </c>
      <c r="H11" s="351" t="n">
        <v>7</v>
      </c>
    </row>
    <row r="12" customFormat="1" s="215">
      <c r="A12" s="353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249.29</v>
      </c>
      <c r="G12" s="175" t="n"/>
      <c r="H12" s="450">
        <f>SUM(H13:H23)</f>
        <v/>
      </c>
    </row>
    <row r="13">
      <c r="A13" s="387" t="n">
        <v>1</v>
      </c>
      <c r="B13" s="176" t="n"/>
      <c r="C13" s="217" t="inlineStr">
        <is>
          <t>10-3-1</t>
        </is>
      </c>
      <c r="D13" s="218" t="inlineStr">
        <is>
          <t>Инженер I категории</t>
        </is>
      </c>
      <c r="E13" s="387" t="inlineStr">
        <is>
          <t>чел.-ч</t>
        </is>
      </c>
      <c r="F13" s="387" t="n">
        <v>59</v>
      </c>
      <c r="G13" s="283" t="n">
        <v>15.49</v>
      </c>
      <c r="H13" s="177">
        <f>ROUND(F13*G13,2)</f>
        <v/>
      </c>
      <c r="M13" s="451" t="n"/>
    </row>
    <row r="14">
      <c r="A14" s="387" t="n">
        <v>2</v>
      </c>
      <c r="B14" s="176" t="n"/>
      <c r="C14" s="217" t="inlineStr">
        <is>
          <t>10-3-2</t>
        </is>
      </c>
      <c r="D14" s="218" t="inlineStr">
        <is>
          <t>Инженер II категории</t>
        </is>
      </c>
      <c r="E14" s="387" t="inlineStr">
        <is>
          <t>чел.-ч</t>
        </is>
      </c>
      <c r="F14" s="387" t="n">
        <v>59</v>
      </c>
      <c r="G14" s="283" t="n">
        <v>14.09</v>
      </c>
      <c r="H14" s="177">
        <f>ROUND(F14*G14,2)</f>
        <v/>
      </c>
      <c r="M14" s="451" t="n"/>
    </row>
    <row r="15">
      <c r="A15" s="387" t="n">
        <v>3</v>
      </c>
      <c r="B15" s="176" t="n"/>
      <c r="C15" s="217" t="inlineStr">
        <is>
          <t>1-5-0</t>
        </is>
      </c>
      <c r="D15" s="218" t="inlineStr">
        <is>
          <t>Затраты труда рабочих (средний разряд работы 5,0)</t>
        </is>
      </c>
      <c r="E15" s="387" t="inlineStr">
        <is>
          <t>чел.-ч</t>
        </is>
      </c>
      <c r="F15" s="387" t="n">
        <v>30.3</v>
      </c>
      <c r="G15" s="283" t="n">
        <v>11.09</v>
      </c>
      <c r="H15" s="177">
        <f>ROUND(F15*G15,2)</f>
        <v/>
      </c>
      <c r="M15" s="451" t="n"/>
    </row>
    <row r="16">
      <c r="A16" s="387" t="n">
        <v>4</v>
      </c>
      <c r="B16" s="176" t="n"/>
      <c r="C16" s="217" t="inlineStr">
        <is>
          <t>1-3-5</t>
        </is>
      </c>
      <c r="D16" s="218" t="inlineStr">
        <is>
          <t>Затраты труда рабочих (средний разряд работы 3,5)</t>
        </is>
      </c>
      <c r="E16" s="387" t="inlineStr">
        <is>
          <t>чел.-ч</t>
        </is>
      </c>
      <c r="F16" s="387" t="n">
        <v>29.58</v>
      </c>
      <c r="G16" s="283" t="n">
        <v>9.07</v>
      </c>
      <c r="H16" s="177">
        <f>ROUND(F16*G16,2)</f>
        <v/>
      </c>
      <c r="M16" s="451" t="n"/>
    </row>
    <row r="17">
      <c r="A17" s="387" t="n">
        <v>5</v>
      </c>
      <c r="B17" s="176" t="n"/>
      <c r="C17" s="217" t="inlineStr">
        <is>
          <t>1-4-0</t>
        </is>
      </c>
      <c r="D17" s="218" t="inlineStr">
        <is>
          <t>Затраты труда рабочих (средний разряд работы 4,0)</t>
        </is>
      </c>
      <c r="E17" s="387" t="inlineStr">
        <is>
          <t>чел.-ч</t>
        </is>
      </c>
      <c r="F17" s="387" t="n">
        <v>20.24</v>
      </c>
      <c r="G17" s="283" t="n">
        <v>9.619999999999999</v>
      </c>
      <c r="H17" s="177">
        <f>ROUND(F17*G17,2)</f>
        <v/>
      </c>
      <c r="M17" s="451" t="n"/>
    </row>
    <row r="18">
      <c r="A18" s="387" t="n">
        <v>6</v>
      </c>
      <c r="B18" s="176" t="n"/>
      <c r="C18" s="217" t="inlineStr">
        <is>
          <t>1-3-8</t>
        </is>
      </c>
      <c r="D18" s="218" t="inlineStr">
        <is>
          <t>Затраты труда рабочих (средний разряд работы 3,8)</t>
        </is>
      </c>
      <c r="E18" s="387" t="inlineStr">
        <is>
          <t>чел.-ч</t>
        </is>
      </c>
      <c r="F18" s="387" t="n">
        <v>19.76</v>
      </c>
      <c r="G18" s="283" t="n">
        <v>9.4</v>
      </c>
      <c r="H18" s="177">
        <f>ROUND(F18*G18,2)</f>
        <v/>
      </c>
      <c r="M18" s="451" t="n"/>
    </row>
    <row r="19">
      <c r="A19" s="387" t="n">
        <v>7</v>
      </c>
      <c r="B19" s="176" t="n"/>
      <c r="C19" s="217" t="inlineStr">
        <is>
          <t>1-2-5</t>
        </is>
      </c>
      <c r="D19" s="218" t="inlineStr">
        <is>
          <t>Затраты труда рабочих (средний разряд работы 2,5)</t>
        </is>
      </c>
      <c r="E19" s="387" t="inlineStr">
        <is>
          <t>чел.-ч</t>
        </is>
      </c>
      <c r="F19" s="387" t="n">
        <v>10.37</v>
      </c>
      <c r="G19" s="283" t="n">
        <v>8.17</v>
      </c>
      <c r="H19" s="177">
        <f>ROUND(F19*G19,2)</f>
        <v/>
      </c>
      <c r="M19" s="451" t="n"/>
    </row>
    <row r="20">
      <c r="A20" s="387" t="n">
        <v>8</v>
      </c>
      <c r="B20" s="176" t="n"/>
      <c r="C20" s="217" t="inlineStr">
        <is>
          <t>1-3-9</t>
        </is>
      </c>
      <c r="D20" s="218" t="inlineStr">
        <is>
          <t>Затраты труда рабочих (средний разряд работы 3,9)</t>
        </is>
      </c>
      <c r="E20" s="387" t="inlineStr">
        <is>
          <t>чел.-ч</t>
        </is>
      </c>
      <c r="F20" s="387" t="n">
        <v>8.52</v>
      </c>
      <c r="G20" s="283" t="n">
        <v>9.51</v>
      </c>
      <c r="H20" s="177">
        <f>ROUND(F20*G20,2)</f>
        <v/>
      </c>
      <c r="M20" s="451" t="n"/>
    </row>
    <row r="21">
      <c r="A21" s="387" t="n">
        <v>9</v>
      </c>
      <c r="B21" s="176" t="n"/>
      <c r="C21" s="217" t="inlineStr">
        <is>
          <t>1-3-0</t>
        </is>
      </c>
      <c r="D21" s="218" t="inlineStr">
        <is>
          <t>Затраты труда рабочих (средний разряд работы 3,0)</t>
        </is>
      </c>
      <c r="E21" s="387" t="inlineStr">
        <is>
          <t>чел.-ч</t>
        </is>
      </c>
      <c r="F21" s="387" t="n">
        <v>7.9</v>
      </c>
      <c r="G21" s="283" t="n">
        <v>8.529999999999999</v>
      </c>
      <c r="H21" s="177">
        <f>ROUND(F21*G21,2)</f>
        <v/>
      </c>
      <c r="M21" s="451" t="n"/>
    </row>
    <row r="22">
      <c r="A22" s="387" t="n">
        <v>10</v>
      </c>
      <c r="B22" s="176" t="n"/>
      <c r="C22" s="217" t="inlineStr">
        <is>
          <t>1-4-2</t>
        </is>
      </c>
      <c r="D22" s="218" t="inlineStr">
        <is>
          <t>Затраты труда рабочих (средний разряд работы 4,2)</t>
        </is>
      </c>
      <c r="E22" s="387" t="inlineStr">
        <is>
          <t>чел.-ч</t>
        </is>
      </c>
      <c r="F22" s="387" t="n">
        <v>3.59</v>
      </c>
      <c r="G22" s="283" t="n">
        <v>9.92</v>
      </c>
      <c r="H22" s="177">
        <f>ROUND(F22*G22,2)</f>
        <v/>
      </c>
      <c r="M22" s="451" t="n"/>
    </row>
    <row r="23">
      <c r="A23" s="387" t="n">
        <v>11</v>
      </c>
      <c r="B23" s="176" t="n"/>
      <c r="C23" s="217" t="inlineStr">
        <is>
          <t>1-3-1</t>
        </is>
      </c>
      <c r="D23" s="218" t="inlineStr">
        <is>
          <t>Затраты труда рабочих (средний разряд работы 3,1)</t>
        </is>
      </c>
      <c r="E23" s="387" t="inlineStr">
        <is>
          <t>чел.-ч</t>
        </is>
      </c>
      <c r="F23" s="387" t="n">
        <v>1.03</v>
      </c>
      <c r="G23" s="283" t="n">
        <v>8.640000000000001</v>
      </c>
      <c r="H23" s="177">
        <f>ROUND(F23*G23,2)</f>
        <v/>
      </c>
      <c r="M23" s="451" t="n"/>
    </row>
    <row r="24">
      <c r="A24" s="352" t="inlineStr">
        <is>
          <t>Затраты труда машинистов</t>
        </is>
      </c>
      <c r="B24" s="444" t="n"/>
      <c r="C24" s="444" t="n"/>
      <c r="D24" s="444" t="n"/>
      <c r="E24" s="445" t="n"/>
      <c r="F24" s="353" t="n"/>
      <c r="G24" s="178" t="n"/>
      <c r="H24" s="450">
        <f>H25</f>
        <v/>
      </c>
    </row>
    <row r="25">
      <c r="A25" s="387" t="n">
        <v>12</v>
      </c>
      <c r="B25" s="354" t="n"/>
      <c r="C25" s="217" t="n">
        <v>2</v>
      </c>
      <c r="D25" s="218" t="inlineStr">
        <is>
          <t>Затраты труда машинистов</t>
        </is>
      </c>
      <c r="E25" s="387" t="inlineStr">
        <is>
          <t>чел.-ч</t>
        </is>
      </c>
      <c r="F25" s="452" t="n">
        <v>15.9</v>
      </c>
      <c r="G25" s="177" t="n"/>
      <c r="H25" s="453" t="n">
        <v>166.35</v>
      </c>
      <c r="J25" s="454" t="n"/>
    </row>
    <row r="26" customFormat="1" s="215">
      <c r="A26" s="353" t="inlineStr">
        <is>
          <t>Машины и механизмы</t>
        </is>
      </c>
      <c r="B26" s="444" t="n"/>
      <c r="C26" s="444" t="n"/>
      <c r="D26" s="444" t="n"/>
      <c r="E26" s="445" t="n"/>
      <c r="F26" s="353" t="n"/>
      <c r="G26" s="178" t="n"/>
      <c r="H26" s="450">
        <f>SUM(H27:H37)</f>
        <v/>
      </c>
    </row>
    <row r="27">
      <c r="A27" s="387" t="n">
        <v>13</v>
      </c>
      <c r="B27" s="354" t="n"/>
      <c r="C27" s="217" t="inlineStr">
        <is>
          <t>91.06.06-011</t>
        </is>
      </c>
      <c r="D27" s="218" t="inlineStr">
        <is>
          <t>Автогидроподъемники, высота подъема 12 м</t>
        </is>
      </c>
      <c r="E27" s="387" t="inlineStr">
        <is>
          <t>маш.-ч</t>
        </is>
      </c>
      <c r="F27" s="387" t="n">
        <v>10.71</v>
      </c>
      <c r="G27" s="283" t="n">
        <v>82.22</v>
      </c>
      <c r="H27" s="177">
        <f>ROUND(F27*G27,2)</f>
        <v/>
      </c>
      <c r="I27" s="223" t="n"/>
      <c r="J27" s="223" t="n"/>
      <c r="L27" s="223" t="n"/>
    </row>
    <row r="28">
      <c r="A28" s="387" t="n">
        <v>14</v>
      </c>
      <c r="B28" s="354" t="n"/>
      <c r="C28" s="217" t="inlineStr">
        <is>
          <t>91.14.02-001</t>
        </is>
      </c>
      <c r="D28" s="218" t="inlineStr">
        <is>
          <t>Автомобили бортовые, грузоподъемность до 5 т</t>
        </is>
      </c>
      <c r="E28" s="387" t="inlineStr">
        <is>
          <t>маш.-ч</t>
        </is>
      </c>
      <c r="F28" s="387" t="n">
        <v>2.7</v>
      </c>
      <c r="G28" s="283" t="n">
        <v>65.70999999999999</v>
      </c>
      <c r="H28" s="177">
        <f>ROUND(F28*G28,2)</f>
        <v/>
      </c>
      <c r="I28" s="223" t="n"/>
      <c r="J28" s="223" t="n"/>
      <c r="K28" s="223" t="n"/>
      <c r="L28" s="223" t="n"/>
    </row>
    <row r="29" customFormat="1" s="215">
      <c r="A29" s="387" t="n">
        <v>15</v>
      </c>
      <c r="B29" s="354" t="n"/>
      <c r="C29" s="217" t="inlineStr">
        <is>
          <t>91.06.05-011</t>
        </is>
      </c>
      <c r="D29" s="218" t="inlineStr">
        <is>
          <t>Погрузчики, грузоподъемность 5 т</t>
        </is>
      </c>
      <c r="E29" s="387" t="inlineStr">
        <is>
          <t>маш.-ч</t>
        </is>
      </c>
      <c r="F29" s="387" t="n">
        <v>1.48</v>
      </c>
      <c r="G29" s="283" t="n">
        <v>89.98999999999999</v>
      </c>
      <c r="H29" s="177">
        <f>ROUND(F29*G29,2)</f>
        <v/>
      </c>
      <c r="I29" s="223" t="n"/>
      <c r="J29" s="223" t="n"/>
      <c r="K29" s="223" t="n"/>
      <c r="L29" s="223" t="n"/>
    </row>
    <row r="30" ht="25.5" customHeight="1" s="301">
      <c r="A30" s="387" t="n">
        <v>16</v>
      </c>
      <c r="B30" s="354" t="n"/>
      <c r="C30" s="217" t="inlineStr">
        <is>
          <t>91.05.05-014</t>
        </is>
      </c>
      <c r="D30" s="218" t="inlineStr">
        <is>
          <t>Краны на автомобильном ходу, грузоподъемность 10 т</t>
        </is>
      </c>
      <c r="E30" s="387" t="inlineStr">
        <is>
          <t>маш.-ч</t>
        </is>
      </c>
      <c r="F30" s="387" t="n">
        <v>0.65</v>
      </c>
      <c r="G30" s="283" t="n">
        <v>111.99</v>
      </c>
      <c r="H30" s="177">
        <f>ROUND(F30*G30,2)</f>
        <v/>
      </c>
      <c r="I30" s="223" t="n"/>
      <c r="J30" s="223" t="n"/>
      <c r="K30" s="223" t="n"/>
      <c r="L30" s="223" t="n"/>
    </row>
    <row r="31" ht="38.25" customHeight="1" s="301">
      <c r="A31" s="387" t="n">
        <v>17</v>
      </c>
      <c r="B31" s="354" t="n"/>
      <c r="C31" s="217" t="inlineStr">
        <is>
          <t>91.18.01-007</t>
        </is>
      </c>
      <c r="D31" s="21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387" t="inlineStr">
        <is>
          <t>маш.-ч</t>
        </is>
      </c>
      <c r="F31" s="387" t="n">
        <v>0.29</v>
      </c>
      <c r="G31" s="283" t="n">
        <v>90</v>
      </c>
      <c r="H31" s="177">
        <f>ROUND(F31*G31,2)</f>
        <v/>
      </c>
      <c r="I31" s="223" t="n"/>
      <c r="J31" s="223" t="n"/>
      <c r="K31" s="223" t="n"/>
      <c r="L31" s="223" t="n"/>
    </row>
    <row r="32" ht="25.5" customHeight="1" s="301">
      <c r="A32" s="387" t="n">
        <v>18</v>
      </c>
      <c r="B32" s="354" t="n"/>
      <c r="C32" s="217" t="inlineStr">
        <is>
          <t>91.17.04-233</t>
        </is>
      </c>
      <c r="D32" s="218" t="inlineStr">
        <is>
          <t>Установки для сварки ручной дуговой (постоянного тока)</t>
        </is>
      </c>
      <c r="E32" s="387" t="inlineStr">
        <is>
          <t>маш.-ч</t>
        </is>
      </c>
      <c r="F32" s="387" t="n">
        <v>1.36</v>
      </c>
      <c r="G32" s="283" t="n">
        <v>8.1</v>
      </c>
      <c r="H32" s="177">
        <f>ROUND(F32*G32,2)</f>
        <v/>
      </c>
      <c r="I32" s="223" t="n"/>
      <c r="J32" s="223" t="n"/>
      <c r="K32" s="223" t="n"/>
      <c r="L32" s="223" t="n"/>
    </row>
    <row r="33" ht="25.5" customFormat="1" customHeight="1" s="215">
      <c r="A33" s="387" t="n">
        <v>19</v>
      </c>
      <c r="B33" s="354" t="n"/>
      <c r="C33" s="217" t="inlineStr">
        <is>
          <t>91.06.03-058</t>
        </is>
      </c>
      <c r="D33" s="218" t="inlineStr">
        <is>
          <t>Лебедки электрические тяговым усилием 156,96 кН (16 т)</t>
        </is>
      </c>
      <c r="E33" s="387" t="inlineStr">
        <is>
          <t>маш.-ч</t>
        </is>
      </c>
      <c r="F33" s="387" t="n">
        <v>0.06</v>
      </c>
      <c r="G33" s="283" t="n">
        <v>131.44</v>
      </c>
      <c r="H33" s="177">
        <f>ROUND(F33*G33,2)</f>
        <v/>
      </c>
      <c r="I33" s="223" t="n"/>
      <c r="J33" s="223" t="n"/>
      <c r="K33" s="223" t="n"/>
      <c r="L33" s="223" t="n"/>
    </row>
    <row r="34" ht="25.5" customHeight="1" s="301">
      <c r="A34" s="387" t="n">
        <v>20</v>
      </c>
      <c r="B34" s="354" t="n"/>
      <c r="C34" s="217" t="inlineStr">
        <is>
          <t>91.04.01-041</t>
        </is>
      </c>
      <c r="D34" s="218" t="inlineStr">
        <is>
          <t>Молотки бурильные легкие при работе от передвижных компрессорных станций</t>
        </is>
      </c>
      <c r="E34" s="387" t="inlineStr">
        <is>
          <t>маш.-ч</t>
        </is>
      </c>
      <c r="F34" s="387" t="n">
        <v>0.29</v>
      </c>
      <c r="G34" s="283" t="n">
        <v>2.99</v>
      </c>
      <c r="H34" s="177">
        <f>ROUND(F34*G34,2)</f>
        <v/>
      </c>
      <c r="I34" s="223" t="n"/>
      <c r="J34" s="223" t="n"/>
      <c r="K34" s="223" t="n"/>
      <c r="L34" s="223" t="n"/>
    </row>
    <row r="35">
      <c r="A35" s="387" t="n">
        <v>21</v>
      </c>
      <c r="B35" s="354" t="n"/>
      <c r="C35" s="217" t="inlineStr">
        <is>
          <t>91.21.16-012</t>
        </is>
      </c>
      <c r="D35" s="218" t="inlineStr">
        <is>
          <t>Прессы гидравлические с электроприводом</t>
        </is>
      </c>
      <c r="E35" s="387" t="inlineStr">
        <is>
          <t>маш.-ч</t>
        </is>
      </c>
      <c r="F35" s="387" t="n">
        <v>0.6</v>
      </c>
      <c r="G35" s="283" t="n">
        <v>1.11</v>
      </c>
      <c r="H35" s="177">
        <f>ROUND(F35*G35,2)</f>
        <v/>
      </c>
      <c r="I35" s="223" t="n"/>
      <c r="J35" s="223" t="n"/>
      <c r="K35" s="223" t="n"/>
      <c r="L35" s="223" t="n"/>
    </row>
    <row r="36" ht="25.5" customHeight="1" s="301">
      <c r="A36" s="387" t="n">
        <v>22</v>
      </c>
      <c r="B36" s="354" t="n"/>
      <c r="C36" s="217" t="inlineStr">
        <is>
          <t>91.06.03-061</t>
        </is>
      </c>
      <c r="D36" s="218" t="inlineStr">
        <is>
          <t>Лебедки электрические тяговым усилием до 12,26 кН (1,25 т)</t>
        </is>
      </c>
      <c r="E36" s="387" t="inlineStr">
        <is>
          <t>маш.-ч</t>
        </is>
      </c>
      <c r="F36" s="387" t="n">
        <v>0.11</v>
      </c>
      <c r="G36" s="283" t="n">
        <v>3.28</v>
      </c>
      <c r="H36" s="177">
        <f>ROUND(F36*G36,2)</f>
        <v/>
      </c>
      <c r="I36" s="223" t="n"/>
      <c r="J36" s="223" t="n"/>
      <c r="K36" s="223" t="n"/>
      <c r="L36" s="223" t="n"/>
    </row>
    <row r="37" ht="25.5" customFormat="1" customHeight="1" s="215">
      <c r="A37" s="387" t="n">
        <v>23</v>
      </c>
      <c r="B37" s="354" t="n"/>
      <c r="C37" s="217" t="inlineStr">
        <is>
          <t>91.06.01-003</t>
        </is>
      </c>
      <c r="D37" s="218" t="inlineStr">
        <is>
          <t>Домкраты гидравлические, грузоподъемность 63-100 т</t>
        </is>
      </c>
      <c r="E37" s="387" t="inlineStr">
        <is>
          <t>маш.-ч</t>
        </is>
      </c>
      <c r="F37" s="387" t="n">
        <v>0.11</v>
      </c>
      <c r="G37" s="283" t="n">
        <v>0.9</v>
      </c>
      <c r="H37" s="177">
        <f>ROUND(F37*G37,2)</f>
        <v/>
      </c>
      <c r="I37" s="223" t="n"/>
      <c r="J37" s="223" t="n"/>
      <c r="K37" s="223" t="n"/>
      <c r="L37" s="223" t="n"/>
    </row>
    <row r="38" ht="15" customHeight="1" s="301">
      <c r="A38" s="353" t="inlineStr">
        <is>
          <t>Оборудование</t>
        </is>
      </c>
      <c r="B38" s="444" t="n"/>
      <c r="C38" s="444" t="n"/>
      <c r="D38" s="444" t="n"/>
      <c r="E38" s="445" t="n"/>
      <c r="F38" s="175" t="n"/>
      <c r="G38" s="175" t="n"/>
      <c r="H38" s="450">
        <f>SUM(H39:H39)</f>
        <v/>
      </c>
    </row>
    <row r="39">
      <c r="A39" s="387" t="n">
        <v>24</v>
      </c>
      <c r="B39" s="354" t="n"/>
      <c r="C39" s="217" t="inlineStr">
        <is>
          <t>Прайс из СД ОП</t>
        </is>
      </c>
      <c r="D39" s="218" t="inlineStr">
        <is>
          <t>ПКУ 110 Кв с ТТ и ТН и передачей данных в ИВК</t>
        </is>
      </c>
      <c r="E39" s="387" t="inlineStr">
        <is>
          <t>шт</t>
        </is>
      </c>
      <c r="F39" s="387" t="n">
        <v>1</v>
      </c>
      <c r="G39" s="177" t="n">
        <v>769594.59</v>
      </c>
      <c r="H39" s="177">
        <f>ROUND(F39*G39,2)</f>
        <v/>
      </c>
      <c r="I39" s="223" t="n"/>
      <c r="J39" s="223" t="n"/>
      <c r="L39" s="223" t="n"/>
    </row>
    <row r="40">
      <c r="A40" s="353" t="inlineStr">
        <is>
          <t>Материалы</t>
        </is>
      </c>
      <c r="B40" s="444" t="n"/>
      <c r="C40" s="444" t="n"/>
      <c r="D40" s="444" t="n"/>
      <c r="E40" s="445" t="n"/>
      <c r="F40" s="353" t="n"/>
      <c r="G40" s="178" t="n"/>
      <c r="H40" s="450">
        <f>SUM(H41:H109)</f>
        <v/>
      </c>
    </row>
    <row r="41">
      <c r="A41" s="224" t="n">
        <v>25</v>
      </c>
      <c r="B41" s="354" t="n"/>
      <c r="C41" s="217" t="inlineStr">
        <is>
          <t>Прайс из СД ОП</t>
        </is>
      </c>
      <c r="D41" s="218" t="inlineStr">
        <is>
          <t>Кабельная сборка UHF (male) – SMA (male) 10 м.</t>
        </is>
      </c>
      <c r="E41" s="387" t="inlineStr">
        <is>
          <t>шт.</t>
        </is>
      </c>
      <c r="F41" s="387" t="n">
        <v>1</v>
      </c>
      <c r="G41" s="177" t="n">
        <v>1442.2</v>
      </c>
      <c r="H41" s="177">
        <f>ROUND(F41*G41,2)</f>
        <v/>
      </c>
      <c r="I41" s="234" t="n"/>
      <c r="J41" s="223" t="n"/>
      <c r="K41" s="223" t="n"/>
    </row>
    <row r="42">
      <c r="A42" s="224" t="n">
        <v>26</v>
      </c>
      <c r="B42" s="354" t="n"/>
      <c r="C42" s="217" t="inlineStr">
        <is>
          <t>21.2.01.01-0062</t>
        </is>
      </c>
      <c r="D42" s="218" t="inlineStr">
        <is>
          <t>Провод самонесущий изолированный СИП-4 2х16</t>
        </is>
      </c>
      <c r="E42" s="387" t="inlineStr">
        <is>
          <t>1000 м</t>
        </is>
      </c>
      <c r="F42" s="387" t="n">
        <v>0.2392</v>
      </c>
      <c r="G42" s="177" t="n">
        <v>4805.96</v>
      </c>
      <c r="H42" s="177">
        <f>ROUND(F42*G42,2)</f>
        <v/>
      </c>
      <c r="I42" s="234" t="n"/>
      <c r="J42" s="223" t="n"/>
      <c r="K42" s="223" t="n"/>
    </row>
    <row r="43">
      <c r="A43" s="224" t="n">
        <v>27</v>
      </c>
      <c r="B43" s="354" t="n"/>
      <c r="C43" s="217" t="inlineStr">
        <is>
          <t>21.2.01.01-0065</t>
        </is>
      </c>
      <c r="D43" s="218" t="inlineStr">
        <is>
          <t>Провод самонесущий изолированный СИП 4х16-0,6/1</t>
        </is>
      </c>
      <c r="E43" s="387" t="inlineStr">
        <is>
          <t>1000 м</t>
        </is>
      </c>
      <c r="F43" s="387" t="n">
        <v>0.08400000000000001</v>
      </c>
      <c r="G43" s="177" t="n">
        <v>9524.879999999999</v>
      </c>
      <c r="H43" s="177">
        <f>ROUND(F43*G43,2)</f>
        <v/>
      </c>
      <c r="I43" s="234" t="n"/>
      <c r="J43" s="223" t="n"/>
    </row>
    <row r="44" ht="25.5" customHeight="1" s="301">
      <c r="A44" s="224" t="n">
        <v>28</v>
      </c>
      <c r="B44" s="354" t="n"/>
      <c r="C44" s="217" t="inlineStr">
        <is>
          <t>25.2.02.08-0004</t>
        </is>
      </c>
      <c r="D44" s="218" t="inlineStr">
        <is>
          <t>Узел крепления кронштейна, оцинкованный (Крепление на опору для шкафа)</t>
        </is>
      </c>
      <c r="E44" s="387" t="inlineStr">
        <is>
          <t>шт</t>
        </is>
      </c>
      <c r="F44" s="387" t="n">
        <v>3</v>
      </c>
      <c r="G44" s="177" t="n">
        <v>143.94</v>
      </c>
      <c r="H44" s="177">
        <f>ROUND(F44*G44,2)</f>
        <v/>
      </c>
      <c r="I44" s="234" t="n"/>
      <c r="J44" s="223" t="n"/>
    </row>
    <row r="45" ht="25.5" customHeight="1" s="301">
      <c r="A45" s="224" t="n">
        <v>29</v>
      </c>
      <c r="B45" s="354" t="n"/>
      <c r="C45" s="217" t="inlineStr">
        <is>
          <t>20.1.01.01-0002</t>
        </is>
      </c>
      <c r="D45" s="218" t="inlineStr">
        <is>
          <t>Зажим анкерный (СИП): PA 25х100 (Зажим анкерный ЗАБ 16-25)</t>
        </is>
      </c>
      <c r="E45" s="387" t="inlineStr">
        <is>
          <t>100 шт</t>
        </is>
      </c>
      <c r="F45" s="387" t="n">
        <v>0.22</v>
      </c>
      <c r="G45" s="177" t="n">
        <v>1927</v>
      </c>
      <c r="H45" s="177">
        <f>ROUND(F45*G45,2)</f>
        <v/>
      </c>
      <c r="I45" s="234" t="n"/>
      <c r="J45" s="223" t="n"/>
      <c r="K45" s="223" t="n"/>
    </row>
    <row r="46">
      <c r="A46" s="224" t="n">
        <v>30</v>
      </c>
      <c r="B46" s="354" t="n"/>
      <c r="C46" s="217" t="inlineStr">
        <is>
          <t>25.2.02.04-0011</t>
        </is>
      </c>
      <c r="D46" s="218" t="inlineStr">
        <is>
          <t>Кронштейн анкерный (СИП), марка CA 16</t>
        </is>
      </c>
      <c r="E46" s="387" t="inlineStr">
        <is>
          <t>шт</t>
        </is>
      </c>
      <c r="F46" s="387" t="n">
        <v>8</v>
      </c>
      <c r="G46" s="177" t="n">
        <v>34.91</v>
      </c>
      <c r="H46" s="177">
        <f>ROUND(F46*G46,2)</f>
        <v/>
      </c>
      <c r="I46" s="234" t="n"/>
      <c r="J46" s="223" t="n"/>
    </row>
    <row r="47" ht="38.25" customHeight="1" s="301">
      <c r="A47" s="224" t="n">
        <v>31</v>
      </c>
      <c r="B47" s="354" t="n"/>
      <c r="C47" s="217" t="inlineStr">
        <is>
          <t>25.2.02.11-0021</t>
        </is>
      </c>
      <c r="D47" s="218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47" s="387" t="inlineStr">
        <is>
          <t>шт</t>
        </is>
      </c>
      <c r="F47" s="387" t="n">
        <v>0.28</v>
      </c>
      <c r="G47" s="177" t="n">
        <v>943.0599999999999</v>
      </c>
      <c r="H47" s="177">
        <f>ROUND(F47*G47,2)</f>
        <v/>
      </c>
      <c r="I47" s="234" t="n"/>
      <c r="J47" s="223" t="n"/>
    </row>
    <row r="48">
      <c r="A48" s="224" t="n">
        <v>32</v>
      </c>
      <c r="B48" s="354" t="n"/>
      <c r="C48" s="217" t="inlineStr">
        <is>
          <t>22.2.01.06-0001</t>
        </is>
      </c>
      <c r="D48" s="218" t="inlineStr">
        <is>
          <t>Изолятор такелажный ИТ-30</t>
        </is>
      </c>
      <c r="E48" s="387" t="inlineStr">
        <is>
          <t>100 шт</t>
        </is>
      </c>
      <c r="F48" s="387" t="n">
        <v>0.12</v>
      </c>
      <c r="G48" s="177" t="n">
        <v>1377.19</v>
      </c>
      <c r="H48" s="177">
        <f>ROUND(F48*G48,2)</f>
        <v/>
      </c>
      <c r="I48" s="234" t="n"/>
      <c r="J48" s="223" t="n"/>
      <c r="K48" s="223" t="n"/>
    </row>
    <row r="49" ht="25.5" customHeight="1" s="301">
      <c r="A49" s="224" t="n">
        <v>33</v>
      </c>
      <c r="B49" s="354" t="n"/>
      <c r="C49" s="217" t="inlineStr">
        <is>
          <t>25.2.02.08-0003</t>
        </is>
      </c>
      <c r="D49" s="218" t="inlineStr">
        <is>
          <t>Узел крепления: кронштейна окрашенный (Стеновой кронштейн СК-42-300 )</t>
        </is>
      </c>
      <c r="E49" s="387" t="inlineStr">
        <is>
          <t>шт</t>
        </is>
      </c>
      <c r="F49" s="387" t="n">
        <v>1</v>
      </c>
      <c r="G49" s="177" t="n">
        <v>128.79</v>
      </c>
      <c r="H49" s="177">
        <f>ROUND(F49*G49,2)</f>
        <v/>
      </c>
      <c r="I49" s="234" t="n"/>
      <c r="J49" s="223" t="n"/>
    </row>
    <row r="50">
      <c r="A50" s="224" t="n">
        <v>34</v>
      </c>
      <c r="B50" s="354" t="n"/>
      <c r="C50" s="217" t="inlineStr">
        <is>
          <t>21.1.08.03-0364</t>
        </is>
      </c>
      <c r="D50" s="218" t="inlineStr">
        <is>
          <t>Кабель контрольный КВВГ 10х2,5</t>
        </is>
      </c>
      <c r="E50" s="387" t="inlineStr">
        <is>
          <t>1000 м</t>
        </is>
      </c>
      <c r="F50" s="387" t="n">
        <v>0.005</v>
      </c>
      <c r="G50" s="177" t="n">
        <v>25699.92</v>
      </c>
      <c r="H50" s="177">
        <f>ROUND(F50*G50,2)</f>
        <v/>
      </c>
      <c r="I50" s="234" t="n"/>
      <c r="J50" s="223" t="n"/>
    </row>
    <row r="51" ht="38.25" customHeight="1" s="301">
      <c r="A51" s="224" t="n">
        <v>35</v>
      </c>
      <c r="B51" s="354" t="n"/>
      <c r="C51" s="217" t="inlineStr">
        <is>
          <t>21.2.03.05-0053</t>
        </is>
      </c>
      <c r="D51" s="218" t="inlineStr">
        <is>
          <t>Провода силовые для электрических установок на напряжение до 450 В с медной жилой марки: ПВ1, сечением 10 мм2</t>
        </is>
      </c>
      <c r="E51" s="387" t="inlineStr">
        <is>
          <t>1000 м</t>
        </is>
      </c>
      <c r="F51" s="387" t="n">
        <v>0.0147</v>
      </c>
      <c r="G51" s="177" t="n">
        <v>8454.870000000001</v>
      </c>
      <c r="H51" s="177">
        <f>ROUND(F51*G51,2)</f>
        <v/>
      </c>
      <c r="I51" s="234" t="n"/>
      <c r="J51" s="223" t="n"/>
    </row>
    <row r="52">
      <c r="A52" s="224" t="n">
        <v>36</v>
      </c>
      <c r="B52" s="354" t="n"/>
      <c r="C52" s="217" t="inlineStr">
        <is>
          <t>20.2.12.03-0012</t>
        </is>
      </c>
      <c r="D52" s="218" t="inlineStr">
        <is>
          <t>Трубы гибкие гофрированные из ПВХ, диаметр 25 мм</t>
        </is>
      </c>
      <c r="E52" s="387" t="inlineStr">
        <is>
          <t>м</t>
        </is>
      </c>
      <c r="F52" s="387" t="n">
        <v>55</v>
      </c>
      <c r="G52" s="177" t="n">
        <v>2.17</v>
      </c>
      <c r="H52" s="177">
        <f>ROUND(F52*G52,2)</f>
        <v/>
      </c>
      <c r="I52" s="234" t="n"/>
      <c r="J52" s="223" t="n"/>
      <c r="K52" s="223" t="n"/>
    </row>
    <row r="53" ht="25.5" customHeight="1" s="301">
      <c r="A53" s="224" t="n">
        <v>37</v>
      </c>
      <c r="B53" s="354" t="n"/>
      <c r="C53" s="217" t="inlineStr">
        <is>
          <t>20.5.04.09-0004</t>
        </is>
      </c>
      <c r="D53" s="218" t="inlineStr">
        <is>
          <t>Сжим типа У734М, для магистральных и ответвительных проводов и кабелей</t>
        </is>
      </c>
      <c r="E53" s="387" t="inlineStr">
        <is>
          <t>100 шт</t>
        </is>
      </c>
      <c r="F53" s="387" t="n">
        <v>0.52</v>
      </c>
      <c r="G53" s="177" t="n">
        <v>224.03</v>
      </c>
      <c r="H53" s="177">
        <f>ROUND(F53*G53,2)</f>
        <v/>
      </c>
      <c r="I53" s="234" t="n"/>
      <c r="J53" s="223" t="n"/>
      <c r="K53" s="223" t="n"/>
    </row>
    <row r="54">
      <c r="A54" s="224" t="n">
        <v>38</v>
      </c>
      <c r="B54" s="354" t="n"/>
      <c r="C54" s="217" t="inlineStr">
        <is>
          <t>22.2.02.15-0003</t>
        </is>
      </c>
      <c r="D54" s="218" t="inlineStr">
        <is>
          <t>Скрепы фигурные СкФ-30</t>
        </is>
      </c>
      <c r="E54" s="387" t="inlineStr">
        <is>
          <t>100 шт</t>
        </is>
      </c>
      <c r="F54" s="387" t="n">
        <v>0.7238</v>
      </c>
      <c r="G54" s="177" t="n">
        <v>155.74</v>
      </c>
      <c r="H54" s="177">
        <f>ROUND(F54*G54,2)</f>
        <v/>
      </c>
      <c r="I54" s="234" t="n"/>
      <c r="J54" s="223" t="n"/>
    </row>
    <row r="55" ht="25.5" customHeight="1" s="301">
      <c r="A55" s="224" t="n">
        <v>39</v>
      </c>
      <c r="B55" s="354" t="n"/>
      <c r="C55" s="217" t="inlineStr">
        <is>
          <t>01.7.15.07-0012</t>
        </is>
      </c>
      <c r="D55" s="218" t="inlineStr">
        <is>
          <t>Дюбели пластмассовые с шурупами, размер 12х70 мм</t>
        </is>
      </c>
      <c r="E55" s="387" t="inlineStr">
        <is>
          <t>100 шт</t>
        </is>
      </c>
      <c r="F55" s="387" t="n">
        <v>1.1561</v>
      </c>
      <c r="G55" s="177" t="n">
        <v>83</v>
      </c>
      <c r="H55" s="177">
        <f>ROUND(F55*G55,2)</f>
        <v/>
      </c>
      <c r="I55" s="234" t="n"/>
      <c r="J55" s="223" t="n"/>
    </row>
    <row r="56" ht="25.5" customHeight="1" s="301">
      <c r="A56" s="224" t="n">
        <v>40</v>
      </c>
      <c r="B56" s="354" t="n"/>
      <c r="C56" s="217" t="inlineStr">
        <is>
          <t>20.5.04.03-0001</t>
        </is>
      </c>
      <c r="D56" s="218" t="inlineStr">
        <is>
          <t>Зажим наборный испытательный ЗН24-4И25 (Клеммный зажим ЗНИ-4)</t>
        </is>
      </c>
      <c r="E56" s="387" t="inlineStr">
        <is>
          <t>100 шт</t>
        </is>
      </c>
      <c r="F56" s="387" t="n">
        <v>0.1</v>
      </c>
      <c r="G56" s="177" t="n">
        <v>848</v>
      </c>
      <c r="H56" s="177">
        <f>ROUND(F56*G56,2)</f>
        <v/>
      </c>
      <c r="I56" s="234" t="n"/>
      <c r="J56" s="223" t="n"/>
      <c r="K56" s="223" t="n"/>
    </row>
    <row r="57" ht="25.5" customHeight="1" s="301">
      <c r="A57" s="224" t="n">
        <v>41</v>
      </c>
      <c r="B57" s="354" t="n"/>
      <c r="C57" s="217" t="inlineStr">
        <is>
          <t>25.2.02.11-0051</t>
        </is>
      </c>
      <c r="D57" s="218" t="inlineStr">
        <is>
          <t>Скрепа для фиксации на промежуточных опорах, размер 20 мм (Скрепа СУ-20)</t>
        </is>
      </c>
      <c r="E57" s="387" t="inlineStr">
        <is>
          <t>100 шт</t>
        </is>
      </c>
      <c r="F57" s="217" t="n">
        <v>0.14</v>
      </c>
      <c r="G57" s="283" t="n">
        <v>582</v>
      </c>
      <c r="H57" s="177">
        <f>ROUND(F57*G57,2)</f>
        <v/>
      </c>
      <c r="I57" s="234" t="n"/>
      <c r="J57" s="223" t="n"/>
    </row>
    <row r="58" ht="25.5" customHeight="1" s="301">
      <c r="A58" s="224" t="n">
        <v>42</v>
      </c>
      <c r="B58" s="354" t="n"/>
      <c r="C58" s="217" t="inlineStr">
        <is>
          <t>07.2.07.04-0007</t>
        </is>
      </c>
      <c r="D58" s="218" t="inlineStr">
        <is>
          <t>Конструкции стальные индивидуальные решетчатые сварные, масса до 0,1 т</t>
        </is>
      </c>
      <c r="E58" s="387" t="inlineStr">
        <is>
          <t>т</t>
        </is>
      </c>
      <c r="F58" s="217" t="n">
        <v>0.007</v>
      </c>
      <c r="G58" s="283" t="n">
        <v>11500</v>
      </c>
      <c r="H58" s="177">
        <f>ROUND(F58*G58,2)</f>
        <v/>
      </c>
      <c r="I58" s="234" t="n"/>
      <c r="J58" s="223" t="n"/>
    </row>
    <row r="59">
      <c r="A59" s="224" t="n">
        <v>43</v>
      </c>
      <c r="B59" s="354" t="n"/>
      <c r="C59" s="217" t="inlineStr">
        <is>
          <t>20.2.10.01-0011</t>
        </is>
      </c>
      <c r="D59" s="218" t="inlineStr">
        <is>
          <t>Наконечники кабельные алюминиевые ТА 16-8-5,4</t>
        </is>
      </c>
      <c r="E59" s="387" t="inlineStr">
        <is>
          <t>100 шт</t>
        </is>
      </c>
      <c r="F59" s="217" t="n">
        <v>0.5600000000000001</v>
      </c>
      <c r="G59" s="283" t="n">
        <v>135.92</v>
      </c>
      <c r="H59" s="177">
        <f>ROUND(F59*G59,2)</f>
        <v/>
      </c>
      <c r="I59" s="234" t="n"/>
      <c r="J59" s="223" t="n"/>
      <c r="K59" s="223" t="n"/>
    </row>
    <row r="60" ht="38.25" customHeight="1" s="301">
      <c r="A60" s="224" t="n">
        <v>44</v>
      </c>
      <c r="B60" s="354" t="n"/>
      <c r="C60" s="217" t="inlineStr">
        <is>
          <t>20.5.02.06-0002</t>
        </is>
      </c>
      <c r="D60" s="218" t="inlineStr">
        <is>
          <t>Коробка разветвительная для открытой проводки KP 2604 "HEGEL" размером 100х100х50 мм (Коробка монтажная КМ41234 IP55)</t>
        </is>
      </c>
      <c r="E60" s="387" t="inlineStr">
        <is>
          <t>10 шт</t>
        </is>
      </c>
      <c r="F60" s="217" t="n">
        <v>0.8</v>
      </c>
      <c r="G60" s="283" t="n">
        <v>88</v>
      </c>
      <c r="H60" s="177">
        <f>ROUND(F60*G60,2)</f>
        <v/>
      </c>
      <c r="I60" s="234" t="n"/>
      <c r="J60" s="223" t="n"/>
    </row>
    <row r="61" ht="25.5" customHeight="1" s="301">
      <c r="A61" s="224" t="n">
        <v>45</v>
      </c>
      <c r="B61" s="354" t="n"/>
      <c r="C61" s="217" t="inlineStr">
        <is>
          <t>20.5.04.09-0003</t>
        </is>
      </c>
      <c r="D61" s="218" t="inlineStr">
        <is>
          <t>Сжим типа У733М, для магистральных и ответвительных проводов и кабелей</t>
        </is>
      </c>
      <c r="E61" s="387" t="inlineStr">
        <is>
          <t>100 шт</t>
        </is>
      </c>
      <c r="F61" s="217" t="n">
        <v>0.28</v>
      </c>
      <c r="G61" s="283" t="n">
        <v>223.94</v>
      </c>
      <c r="H61" s="177">
        <f>ROUND(F61*G61,2)</f>
        <v/>
      </c>
      <c r="I61" s="234" t="n"/>
      <c r="J61" s="223" t="n"/>
    </row>
    <row r="62">
      <c r="A62" s="224" t="n">
        <v>46</v>
      </c>
      <c r="B62" s="354" t="n"/>
      <c r="C62" s="217" t="inlineStr">
        <is>
          <t>20.2.10.03-0020</t>
        </is>
      </c>
      <c r="D62" s="218" t="inlineStr">
        <is>
          <t>Наконечники кабельные П2.5-4Д-МУ3</t>
        </is>
      </c>
      <c r="E62" s="387" t="inlineStr">
        <is>
          <t>100 шт</t>
        </is>
      </c>
      <c r="F62" s="217" t="n">
        <v>0.3</v>
      </c>
      <c r="G62" s="283" t="n">
        <v>203</v>
      </c>
      <c r="H62" s="177">
        <f>ROUND(F62*G62,2)</f>
        <v/>
      </c>
      <c r="I62" s="234" t="n"/>
      <c r="J62" s="223" t="n"/>
    </row>
    <row r="63" ht="25.5" customHeight="1" s="301">
      <c r="A63" s="224" t="n">
        <v>47</v>
      </c>
      <c r="B63" s="354" t="n"/>
      <c r="C63" s="217" t="inlineStr">
        <is>
          <t>999-9950</t>
        </is>
      </c>
      <c r="D63" s="218" t="inlineStr">
        <is>
          <t>Вспомогательные ненормируемые ресурсы (2% от Оплаты труда рабочих)</t>
        </is>
      </c>
      <c r="E63" s="387" t="inlineStr">
        <is>
          <t>руб.</t>
        </is>
      </c>
      <c r="F63" s="217" t="n">
        <v>53.1053</v>
      </c>
      <c r="G63" s="283" t="n">
        <v>1</v>
      </c>
      <c r="H63" s="177">
        <f>ROUND(F63*G63,2)</f>
        <v/>
      </c>
      <c r="I63" s="234" t="n"/>
      <c r="J63" s="223" t="n"/>
      <c r="K63" s="223" t="n"/>
    </row>
    <row r="64" ht="25.5" customHeight="1" s="301">
      <c r="A64" s="224" t="n">
        <v>48</v>
      </c>
      <c r="B64" s="354" t="n"/>
      <c r="C64" s="217" t="inlineStr">
        <is>
          <t>01.7.15.03-0047</t>
        </is>
      </c>
      <c r="D64" s="218" t="inlineStr">
        <is>
          <t>Болты строительные с гайками черные размером 20х75-100 мм</t>
        </is>
      </c>
      <c r="E64" s="387" t="inlineStr">
        <is>
          <t>кг</t>
        </is>
      </c>
      <c r="F64" s="217" t="n">
        <v>2.31</v>
      </c>
      <c r="G64" s="283" t="n">
        <v>22.69</v>
      </c>
      <c r="H64" s="177">
        <f>ROUND(F64*G64,2)</f>
        <v/>
      </c>
      <c r="I64" s="234" t="n"/>
      <c r="J64" s="223" t="n"/>
      <c r="K64" s="223" t="n"/>
    </row>
    <row r="65" ht="25.5" customHeight="1" s="301">
      <c r="A65" s="224" t="n">
        <v>49</v>
      </c>
      <c r="B65" s="354" t="n"/>
      <c r="C65" s="217" t="inlineStr">
        <is>
          <t>21.1.04.01-0007</t>
        </is>
      </c>
      <c r="D65" s="218" t="inlineStr">
        <is>
          <t>Кабель компьютерный (витая пара) FTP25-C3-SOLID-INDOOR EuroLine (FTP4-C5E-SOLID-OUTDOOR-40)</t>
        </is>
      </c>
      <c r="E65" s="387" t="inlineStr">
        <is>
          <t>1000 м</t>
        </is>
      </c>
      <c r="F65" s="217" t="n">
        <v>0.002</v>
      </c>
      <c r="G65" s="283" t="n">
        <v>22187.69</v>
      </c>
      <c r="H65" s="177">
        <f>ROUND(F65*G65,2)</f>
        <v/>
      </c>
      <c r="I65" s="234" t="n"/>
      <c r="J65" s="223" t="n"/>
    </row>
    <row r="66" ht="38.25" customHeight="1" s="301">
      <c r="A66" s="224" t="n">
        <v>50</v>
      </c>
      <c r="B66" s="354" t="n"/>
      <c r="C66" s="217" t="inlineStr">
        <is>
          <t>20.5.02.02-0004</t>
        </is>
      </c>
      <c r="D66" s="218" t="inlineStr">
        <is>
          <t>Коробки испытательные, сечение проводов 0,5-4,0 мм2, размер 68х220х33 мм (Колодка испытательная переходная КИ У3)</t>
        </is>
      </c>
      <c r="E66" s="387" t="inlineStr">
        <is>
          <t>шт</t>
        </is>
      </c>
      <c r="F66" s="217" t="n">
        <v>1</v>
      </c>
      <c r="G66" s="283" t="n">
        <v>40.18</v>
      </c>
      <c r="H66" s="177">
        <f>ROUND(F66*G66,2)</f>
        <v/>
      </c>
      <c r="I66" s="234" t="n"/>
      <c r="J66" s="223" t="n"/>
    </row>
    <row r="67">
      <c r="A67" s="224" t="n">
        <v>51</v>
      </c>
      <c r="B67" s="354" t="n"/>
      <c r="C67" s="217" t="inlineStr">
        <is>
          <t>01.7.15.03-0042</t>
        </is>
      </c>
      <c r="D67" s="218" t="inlineStr">
        <is>
          <t>Болты с гайками и шайбами строительные</t>
        </is>
      </c>
      <c r="E67" s="387" t="inlineStr">
        <is>
          <t>кг</t>
        </is>
      </c>
      <c r="F67" s="217" t="n">
        <v>3.649</v>
      </c>
      <c r="G67" s="283" t="n">
        <v>9.039999999999999</v>
      </c>
      <c r="H67" s="177">
        <f>ROUND(F67*G67,2)</f>
        <v/>
      </c>
      <c r="I67" s="234" t="n"/>
      <c r="J67" s="223" t="n"/>
      <c r="K67" s="223" t="n"/>
    </row>
    <row r="68" ht="25.5" customHeight="1" s="301">
      <c r="A68" s="224" t="n">
        <v>52</v>
      </c>
      <c r="B68" s="354" t="n"/>
      <c r="C68" s="217" t="inlineStr">
        <is>
          <t>21.2.03.05-0073</t>
        </is>
      </c>
      <c r="D68" s="218" t="inlineStr">
        <is>
          <t>Провод силовой установочный с медными жилами ПВ3 16-450</t>
        </is>
      </c>
      <c r="E68" s="387" t="inlineStr">
        <is>
          <t>1000 м</t>
        </is>
      </c>
      <c r="F68" s="217" t="n">
        <v>0.0027</v>
      </c>
      <c r="G68" s="283" t="n">
        <v>12127</v>
      </c>
      <c r="H68" s="177">
        <f>ROUND(F68*G68,2)</f>
        <v/>
      </c>
      <c r="I68" s="234" t="n"/>
      <c r="J68" s="223" t="n"/>
    </row>
    <row r="69">
      <c r="A69" s="224" t="n">
        <v>53</v>
      </c>
      <c r="B69" s="354" t="n"/>
      <c r="C69" s="217" t="inlineStr">
        <is>
          <t>20.1.02.23-0082</t>
        </is>
      </c>
      <c r="D69" s="218" t="inlineStr">
        <is>
          <t>Перемычки гибкие, тип ПГС-50</t>
        </is>
      </c>
      <c r="E69" s="387" t="inlineStr">
        <is>
          <t>10 шт</t>
        </is>
      </c>
      <c r="F69" s="217" t="n">
        <v>0.7</v>
      </c>
      <c r="G69" s="283" t="n">
        <v>39</v>
      </c>
      <c r="H69" s="177">
        <f>ROUND(F69*G69,2)</f>
        <v/>
      </c>
      <c r="I69" s="234" t="n"/>
      <c r="J69" s="223" t="n"/>
    </row>
    <row r="70" ht="38.25" customHeight="1" s="301">
      <c r="A70" s="224" t="n">
        <v>54</v>
      </c>
      <c r="B70" s="354" t="n"/>
      <c r="C70" s="217" t="inlineStr">
        <is>
          <t>20.5.02.06-0002</t>
        </is>
      </c>
      <c r="D70" s="218" t="inlineStr">
        <is>
          <t>Коробка разветвительная для открытой проводки KP 2604 "HEGEL" размером 100х100х50 мм (Коробка монтажная КМ41242 IP55)</t>
        </is>
      </c>
      <c r="E70" s="387" t="inlineStr">
        <is>
          <t>10 шт</t>
        </is>
      </c>
      <c r="F70" s="217" t="n">
        <v>0.3</v>
      </c>
      <c r="G70" s="283" t="n">
        <v>88</v>
      </c>
      <c r="H70" s="177">
        <f>ROUND(F70*G70,2)</f>
        <v/>
      </c>
      <c r="I70" s="234" t="n"/>
      <c r="J70" s="223" t="n"/>
      <c r="K70" s="223" t="n"/>
    </row>
    <row r="71">
      <c r="A71" s="224" t="n">
        <v>55</v>
      </c>
      <c r="B71" s="354" t="n"/>
      <c r="C71" s="217" t="inlineStr">
        <is>
          <t>01.7.15.07-0014</t>
        </is>
      </c>
      <c r="D71" s="218" t="inlineStr">
        <is>
          <t>Дюбели распорные полипропиленовые</t>
        </is>
      </c>
      <c r="E71" s="387" t="inlineStr">
        <is>
          <t>100 шт</t>
        </is>
      </c>
      <c r="F71" s="217" t="n">
        <v>0.232</v>
      </c>
      <c r="G71" s="283" t="n">
        <v>86</v>
      </c>
      <c r="H71" s="177">
        <f>ROUND(F71*G71,2)</f>
        <v/>
      </c>
      <c r="I71" s="234" t="n"/>
      <c r="J71" s="223" t="n"/>
    </row>
    <row r="72" ht="25.5" customHeight="1" s="301">
      <c r="A72" s="224" t="n">
        <v>56</v>
      </c>
      <c r="B72" s="354" t="n"/>
      <c r="C72" s="217" t="inlineStr">
        <is>
          <t>21.2.03.05-0047</t>
        </is>
      </c>
      <c r="D72" s="218" t="inlineStr">
        <is>
          <t>Провод силовой установочный с медными жилами ПВ1 2,5-450</t>
        </is>
      </c>
      <c r="E72" s="387" t="inlineStr">
        <is>
          <t>1000 м</t>
        </is>
      </c>
      <c r="F72" s="217" t="n">
        <v>0.008</v>
      </c>
      <c r="G72" s="283" t="n">
        <v>2079.72</v>
      </c>
      <c r="H72" s="177">
        <f>ROUND(F72*G72,2)</f>
        <v/>
      </c>
      <c r="I72" s="234" t="n"/>
      <c r="J72" s="223" t="n"/>
    </row>
    <row r="73">
      <c r="A73" s="224" t="n">
        <v>57</v>
      </c>
      <c r="B73" s="354" t="n"/>
      <c r="C73" s="217" t="inlineStr">
        <is>
          <t>21.1.06.09-0092</t>
        </is>
      </c>
      <c r="D73" s="218" t="inlineStr">
        <is>
          <t>Кабель силовой с медными жилами ВВГнг 2х2,5-660</t>
        </is>
      </c>
      <c r="E73" s="387" t="inlineStr">
        <is>
          <t>1000 м</t>
        </is>
      </c>
      <c r="F73" s="217" t="n">
        <v>0.005</v>
      </c>
      <c r="G73" s="283" t="n">
        <v>3320.02</v>
      </c>
      <c r="H73" s="177">
        <f>ROUND(F73*G73,2)</f>
        <v/>
      </c>
      <c r="I73" s="234" t="n"/>
      <c r="J73" s="223" t="n"/>
    </row>
    <row r="74" ht="25.5" customHeight="1" s="301">
      <c r="A74" s="224" t="n">
        <v>58</v>
      </c>
      <c r="B74" s="354" t="n"/>
      <c r="C74" s="217" t="inlineStr">
        <is>
          <t>20.2.02.07-0042</t>
        </is>
      </c>
      <c r="D74" s="218" t="inlineStr">
        <is>
          <t>Стопор концевой WEW 35/2 (Ограничитель на DIN-рейку)</t>
        </is>
      </c>
      <c r="E74" s="387" t="inlineStr">
        <is>
          <t>100 шт</t>
        </is>
      </c>
      <c r="F74" s="217" t="n">
        <v>0.02</v>
      </c>
      <c r="G74" s="283" t="n">
        <v>771</v>
      </c>
      <c r="H74" s="177">
        <f>ROUND(F74*G74,2)</f>
        <v/>
      </c>
      <c r="I74" s="234" t="n"/>
      <c r="J74" s="223" t="n"/>
      <c r="K74" s="223" t="n"/>
    </row>
    <row r="75" ht="25.5" customHeight="1" s="301">
      <c r="A75" s="224" t="n">
        <v>59</v>
      </c>
      <c r="B75" s="354" t="n"/>
      <c r="C75" s="217" t="inlineStr">
        <is>
          <t>10.3.02.03-0012</t>
        </is>
      </c>
      <c r="D75" s="218" t="inlineStr">
        <is>
          <t>Припои оловянно-свинцовые бессурьмянистые, марка ПОС40</t>
        </is>
      </c>
      <c r="E75" s="387" t="inlineStr">
        <is>
          <t>т</t>
        </is>
      </c>
      <c r="F75" s="217" t="n">
        <v>0.00019</v>
      </c>
      <c r="G75" s="283" t="n">
        <v>65750</v>
      </c>
      <c r="H75" s="177">
        <f>ROUND(F75*G75,2)</f>
        <v/>
      </c>
      <c r="I75" s="234" t="n"/>
      <c r="J75" s="223" t="n"/>
      <c r="K75" s="223" t="n"/>
    </row>
    <row r="76">
      <c r="A76" s="224" t="n">
        <v>60</v>
      </c>
      <c r="B76" s="354" t="n"/>
      <c r="C76" s="217" t="inlineStr">
        <is>
          <t>20.2.08.01-0001</t>
        </is>
      </c>
      <c r="D76" s="218" t="inlineStr">
        <is>
          <t>DIN-рейка металлическая ТН 35/7,5 длина 260 мм</t>
        </is>
      </c>
      <c r="E76" s="387" t="inlineStr">
        <is>
          <t>100 шт</t>
        </is>
      </c>
      <c r="F76" s="217" t="n">
        <v>0.03</v>
      </c>
      <c r="G76" s="283" t="n">
        <v>403</v>
      </c>
      <c r="H76" s="177">
        <f>ROUND(F76*G76,2)</f>
        <v/>
      </c>
      <c r="I76" s="234" t="n"/>
      <c r="J76" s="223" t="n"/>
    </row>
    <row r="77" ht="25.5" customHeight="1" s="301">
      <c r="A77" s="224" t="n">
        <v>61</v>
      </c>
      <c r="B77" s="354" t="n"/>
      <c r="C77" s="217" t="inlineStr">
        <is>
          <t>10.2.02.08-0001</t>
        </is>
      </c>
      <c r="D77" s="218" t="inlineStr">
        <is>
          <t>Проволока медная, круглая, мягкая, электротехническая, диаметр 1,0-3,0 мм и выше</t>
        </is>
      </c>
      <c r="E77" s="387" t="inlineStr">
        <is>
          <t>т</t>
        </is>
      </c>
      <c r="F77" s="217" t="n">
        <v>0.0003</v>
      </c>
      <c r="G77" s="283" t="n">
        <v>37517</v>
      </c>
      <c r="H77" s="177">
        <f>ROUND(F77*G77,2)</f>
        <v/>
      </c>
      <c r="I77" s="234" t="n"/>
      <c r="J77" s="223" t="n"/>
    </row>
    <row r="78" ht="25.5" customHeight="1" s="301">
      <c r="A78" s="224" t="n">
        <v>62</v>
      </c>
      <c r="B78" s="354" t="n"/>
      <c r="C78" s="217" t="inlineStr">
        <is>
          <t>21.2.03.05-0049</t>
        </is>
      </c>
      <c r="D78" s="218" t="inlineStr">
        <is>
          <t>Провод силовой установочный с медными жилами ПВ1 4-450</t>
        </is>
      </c>
      <c r="E78" s="387" t="inlineStr">
        <is>
          <t>1000 м</t>
        </is>
      </c>
      <c r="F78" s="217" t="n">
        <v>0.003</v>
      </c>
      <c r="G78" s="283" t="n">
        <v>3220.71</v>
      </c>
      <c r="H78" s="177">
        <f>ROUND(F78*G78,2)</f>
        <v/>
      </c>
      <c r="I78" s="234" t="n"/>
      <c r="J78" s="223" t="n"/>
      <c r="K78" s="223" t="n"/>
    </row>
    <row r="79">
      <c r="A79" s="224" t="n">
        <v>63</v>
      </c>
      <c r="B79" s="354" t="n"/>
      <c r="C79" s="217" t="inlineStr">
        <is>
          <t>03.1.01.01-0002</t>
        </is>
      </c>
      <c r="D79" s="218" t="inlineStr">
        <is>
          <t>Гипс строительный Г-3</t>
        </is>
      </c>
      <c r="E79" s="387" t="inlineStr">
        <is>
          <t>т</t>
        </is>
      </c>
      <c r="F79" s="217" t="n">
        <v>0.0126</v>
      </c>
      <c r="G79" s="283" t="n">
        <v>729.98</v>
      </c>
      <c r="H79" s="177">
        <f>ROUND(F79*G79,2)</f>
        <v/>
      </c>
      <c r="I79" s="234" t="n"/>
      <c r="J79" s="223" t="n"/>
    </row>
    <row r="80" ht="25.5" customHeight="1" s="301">
      <c r="A80" s="224" t="n">
        <v>64</v>
      </c>
      <c r="B80" s="354" t="n"/>
      <c r="C80" s="217" t="inlineStr">
        <is>
          <t>24.3.01.01-0004</t>
        </is>
      </c>
      <c r="D80" s="218" t="inlineStr">
        <is>
          <t>Трубка электроизоляционная ПВХ-305, диаметр 6-10 мм</t>
        </is>
      </c>
      <c r="E80" s="387" t="inlineStr">
        <is>
          <t>кг</t>
        </is>
      </c>
      <c r="F80" s="217" t="n">
        <v>0.24</v>
      </c>
      <c r="G80" s="283" t="n">
        <v>38.34</v>
      </c>
      <c r="H80" s="177">
        <f>ROUND(F80*G80,2)</f>
        <v/>
      </c>
      <c r="I80" s="234" t="n"/>
      <c r="J80" s="223" t="n"/>
    </row>
    <row r="81" ht="25.5" customHeight="1" s="301">
      <c r="A81" s="224" t="n">
        <v>65</v>
      </c>
      <c r="B81" s="354" t="n"/>
      <c r="C81" s="217" t="inlineStr">
        <is>
          <t>01.7.06.05-0041</t>
        </is>
      </c>
      <c r="D81" s="218" t="inlineStr">
        <is>
          <t>Лента изоляционная прорезиненная односторонняя, ширина 20 мм, толщина 0,25-0,35 мм</t>
        </is>
      </c>
      <c r="E81" s="387" t="inlineStr">
        <is>
          <t>кг</t>
        </is>
      </c>
      <c r="F81" s="217" t="n">
        <v>0.296</v>
      </c>
      <c r="G81" s="283" t="n">
        <v>30.4</v>
      </c>
      <c r="H81" s="177">
        <f>ROUND(F81*G81,2)</f>
        <v/>
      </c>
      <c r="I81" s="234" t="n"/>
      <c r="J81" s="223" t="n"/>
      <c r="K81" s="223" t="n"/>
    </row>
    <row r="82">
      <c r="A82" s="224" t="n">
        <v>66</v>
      </c>
      <c r="B82" s="354" t="n"/>
      <c r="C82" s="217" t="inlineStr">
        <is>
          <t>14.4.02.09-0001</t>
        </is>
      </c>
      <c r="D82" s="218" t="inlineStr">
        <is>
          <t>Краска</t>
        </is>
      </c>
      <c r="E82" s="387" t="inlineStr">
        <is>
          <t>кг</t>
        </is>
      </c>
      <c r="F82" s="217" t="n">
        <v>0.23</v>
      </c>
      <c r="G82" s="283" t="n">
        <v>28.6</v>
      </c>
      <c r="H82" s="177">
        <f>ROUND(F82*G82,2)</f>
        <v/>
      </c>
      <c r="I82" s="234" t="n"/>
      <c r="J82" s="223" t="n"/>
    </row>
    <row r="83">
      <c r="A83" s="224" t="n">
        <v>67</v>
      </c>
      <c r="B83" s="354" t="n"/>
      <c r="C83" s="217" t="inlineStr">
        <is>
          <t>21.2.03.08-0012</t>
        </is>
      </c>
      <c r="D83" s="218" t="inlineStr">
        <is>
          <t>Шнур ШВВП 2х0,75-380</t>
        </is>
      </c>
      <c r="E83" s="387" t="inlineStr">
        <is>
          <t>1000 м</t>
        </is>
      </c>
      <c r="F83" s="217" t="n">
        <v>0.003</v>
      </c>
      <c r="G83" s="283" t="n">
        <v>2106.9</v>
      </c>
      <c r="H83" s="177">
        <f>ROUND(F83*G83,2)</f>
        <v/>
      </c>
      <c r="I83" s="234" t="n"/>
      <c r="J83" s="223" t="n"/>
    </row>
    <row r="84" ht="25.5" customHeight="1" s="301">
      <c r="A84" s="224" t="n">
        <v>68</v>
      </c>
      <c r="B84" s="354" t="n"/>
      <c r="C84" s="217" t="inlineStr">
        <is>
          <t>21.2.03.05-0045</t>
        </is>
      </c>
      <c r="D84" s="218" t="inlineStr">
        <is>
          <t>Провод силовой установочный с медными жилами ПВ1 1,5-450</t>
        </is>
      </c>
      <c r="E84" s="387" t="inlineStr">
        <is>
          <t>1000 м</t>
        </is>
      </c>
      <c r="F84" s="217" t="n">
        <v>0.0045</v>
      </c>
      <c r="G84" s="283" t="n">
        <v>1335.52</v>
      </c>
      <c r="H84" s="177">
        <f>ROUND(F84*G84,2)</f>
        <v/>
      </c>
      <c r="I84" s="234" t="n"/>
      <c r="J84" s="223" t="n"/>
    </row>
    <row r="85" ht="38.25" customHeight="1" s="301">
      <c r="A85" s="224" t="n">
        <v>69</v>
      </c>
      <c r="B85" s="354" t="n"/>
      <c r="C85" s="217" t="inlineStr">
        <is>
          <t>01.7.06.05-0042</t>
        </is>
      </c>
      <c r="D85" s="218" t="inlineStr">
        <is>
          <t>Лента липкая изоляционная на поликасиновом компаунде, ширина 20-30 мм, толщина от 0,14 до 0,19 мм</t>
        </is>
      </c>
      <c r="E85" s="387" t="inlineStr">
        <is>
          <t>кг</t>
        </is>
      </c>
      <c r="F85" s="217" t="n">
        <v>0.065</v>
      </c>
      <c r="G85" s="283" t="n">
        <v>91.29000000000001</v>
      </c>
      <c r="H85" s="177">
        <f>ROUND(F85*G85,2)</f>
        <v/>
      </c>
      <c r="I85" s="234" t="n"/>
      <c r="J85" s="223" t="n"/>
      <c r="K85" s="223" t="n"/>
    </row>
    <row r="86" ht="25.5" customHeight="1" s="301">
      <c r="A86" s="224" t="n">
        <v>70</v>
      </c>
      <c r="B86" s="354" t="n"/>
      <c r="C86" s="217" t="inlineStr">
        <is>
          <t>24.3.05.02-0213</t>
        </is>
      </c>
      <c r="D86" s="218" t="inlineStr">
        <is>
          <t>Заглушка полиэтиленовая, номинальный наружный диаметр 160 мм (Заглушка ЗНИ-4-синий 1)</t>
        </is>
      </c>
      <c r="E86" s="387" t="inlineStr">
        <is>
          <t>10 шт</t>
        </is>
      </c>
      <c r="F86" s="217" t="n">
        <v>0.1</v>
      </c>
      <c r="G86" s="283" t="n">
        <v>56.32</v>
      </c>
      <c r="H86" s="177">
        <f>ROUND(F86*G86,2)</f>
        <v/>
      </c>
      <c r="I86" s="234" t="n"/>
      <c r="J86" s="223" t="n"/>
    </row>
    <row r="87">
      <c r="A87" s="224" t="n">
        <v>71</v>
      </c>
      <c r="B87" s="354" t="n"/>
      <c r="C87" s="217" t="inlineStr">
        <is>
          <t>14.4.03.17-0011</t>
        </is>
      </c>
      <c r="D87" s="218" t="inlineStr">
        <is>
          <t>Лак электроизоляционный 318</t>
        </is>
      </c>
      <c r="E87" s="387" t="inlineStr">
        <is>
          <t>кг</t>
        </is>
      </c>
      <c r="F87" s="217" t="n">
        <v>0.148</v>
      </c>
      <c r="G87" s="283" t="n">
        <v>35.63</v>
      </c>
      <c r="H87" s="177">
        <f>ROUND(F87*G87,2)</f>
        <v/>
      </c>
      <c r="I87" s="234" t="n"/>
      <c r="J87" s="223" t="n"/>
    </row>
    <row r="88">
      <c r="A88" s="224" t="n">
        <v>72</v>
      </c>
      <c r="B88" s="354" t="n"/>
      <c r="C88" s="217" t="inlineStr">
        <is>
          <t>01.7.11.07-0034</t>
        </is>
      </c>
      <c r="D88" s="218" t="inlineStr">
        <is>
          <t>Электроды сварочные Э42А, диаметр 4 мм</t>
        </is>
      </c>
      <c r="E88" s="387" t="inlineStr">
        <is>
          <t>кг</t>
        </is>
      </c>
      <c r="F88" s="217" t="n">
        <v>0.43</v>
      </c>
      <c r="G88" s="283" t="n">
        <v>10.57</v>
      </c>
      <c r="H88" s="177">
        <f>ROUND(F88*G88,2)</f>
        <v/>
      </c>
      <c r="I88" s="234" t="n"/>
      <c r="J88" s="223" t="n"/>
    </row>
    <row r="89">
      <c r="A89" s="224" t="n">
        <v>73</v>
      </c>
      <c r="B89" s="354" t="n"/>
      <c r="C89" s="217" t="inlineStr">
        <is>
          <t>01.7.02.06-0017</t>
        </is>
      </c>
      <c r="D89" s="218" t="inlineStr">
        <is>
          <t>Картон строительный прокладочный, марка Б</t>
        </is>
      </c>
      <c r="E89" s="387" t="inlineStr">
        <is>
          <t>т</t>
        </is>
      </c>
      <c r="F89" s="217" t="n">
        <v>0.0002</v>
      </c>
      <c r="G89" s="283" t="n">
        <v>19800</v>
      </c>
      <c r="H89" s="177">
        <f>ROUND(F89*G89,2)</f>
        <v/>
      </c>
      <c r="I89" s="234" t="n"/>
      <c r="J89" s="223" t="n"/>
    </row>
    <row r="90">
      <c r="A90" s="224" t="n">
        <v>74</v>
      </c>
      <c r="B90" s="354" t="n"/>
      <c r="C90" s="217" t="inlineStr">
        <is>
          <t>01.7.15.14-0168</t>
        </is>
      </c>
      <c r="D90" s="218" t="inlineStr">
        <is>
          <t>Шурупы с полукруглой головкой 5х70 мм</t>
        </is>
      </c>
      <c r="E90" s="387" t="inlineStr">
        <is>
          <t>т</t>
        </is>
      </c>
      <c r="F90" s="217" t="n">
        <v>0.0003</v>
      </c>
      <c r="G90" s="283" t="n">
        <v>12430</v>
      </c>
      <c r="H90" s="177">
        <f>ROUND(F90*G90,2)</f>
        <v/>
      </c>
      <c r="I90" s="234" t="n"/>
      <c r="J90" s="223" t="n"/>
      <c r="K90" s="223" t="n"/>
    </row>
    <row r="91" ht="25.5" customHeight="1" s="301">
      <c r="A91" s="224" t="n">
        <v>75</v>
      </c>
      <c r="B91" s="354" t="n"/>
      <c r="C91" s="217" t="inlineStr">
        <is>
          <t>01.2.03.03-0107</t>
        </is>
      </c>
      <c r="D91" s="218" t="inlineStr">
        <is>
          <t>Мастика битумно-масляная морозостойкая горячего применения</t>
        </is>
      </c>
      <c r="E91" s="387" t="inlineStr">
        <is>
          <t>т</t>
        </is>
      </c>
      <c r="F91" s="217" t="n">
        <v>0.0008</v>
      </c>
      <c r="G91" s="283" t="n">
        <v>3960</v>
      </c>
      <c r="H91" s="177">
        <f>ROUND(F91*G91,2)</f>
        <v/>
      </c>
      <c r="I91" s="234" t="n"/>
      <c r="J91" s="223" t="n"/>
      <c r="K91" s="223" t="n"/>
    </row>
    <row r="92">
      <c r="A92" s="224" t="n">
        <v>76</v>
      </c>
      <c r="B92" s="354" t="n"/>
      <c r="C92" s="217" t="inlineStr">
        <is>
          <t>01.7.02.07-0011</t>
        </is>
      </c>
      <c r="D92" s="218" t="inlineStr">
        <is>
          <t>Прессшпан листовой, марка А</t>
        </is>
      </c>
      <c r="E92" s="387" t="inlineStr">
        <is>
          <t>кг</t>
        </is>
      </c>
      <c r="F92" s="217" t="n">
        <v>0.05</v>
      </c>
      <c r="G92" s="283" t="n">
        <v>47.57</v>
      </c>
      <c r="H92" s="177">
        <f>ROUND(F92*G92,2)</f>
        <v/>
      </c>
      <c r="I92" s="234" t="n"/>
      <c r="J92" s="223" t="n"/>
    </row>
    <row r="93">
      <c r="A93" s="224" t="n">
        <v>77</v>
      </c>
      <c r="B93" s="354" t="n"/>
      <c r="C93" s="217" t="inlineStr">
        <is>
          <t>25.2.01.01-0017</t>
        </is>
      </c>
      <c r="D93" s="218" t="inlineStr">
        <is>
          <t>Бирки маркировочные пластмассовые</t>
        </is>
      </c>
      <c r="E93" s="387" t="inlineStr">
        <is>
          <t>100 шт</t>
        </is>
      </c>
      <c r="F93" s="217" t="n">
        <v>0.06</v>
      </c>
      <c r="G93" s="283" t="n">
        <v>30.74</v>
      </c>
      <c r="H93" s="177">
        <f>ROUND(F93*G93,2)</f>
        <v/>
      </c>
      <c r="I93" s="234" t="n"/>
      <c r="J93" s="223" t="n"/>
    </row>
    <row r="94" ht="25.5" customHeight="1" s="301">
      <c r="A94" s="224" t="n">
        <v>78</v>
      </c>
      <c r="B94" s="354" t="n"/>
      <c r="C94" s="217" t="inlineStr">
        <is>
          <t>14.3.02.01-0219</t>
        </is>
      </c>
      <c r="D94" s="218" t="inlineStr">
        <is>
          <t>Краска универсальная, акриловая для внутренних и наружных работ</t>
        </is>
      </c>
      <c r="E94" s="387" t="inlineStr">
        <is>
          <t>т</t>
        </is>
      </c>
      <c r="F94" s="217" t="n">
        <v>0.0001</v>
      </c>
      <c r="G94" s="283" t="n">
        <v>15481</v>
      </c>
      <c r="H94" s="177">
        <f>ROUND(F94*G94,2)</f>
        <v/>
      </c>
      <c r="I94" s="234" t="n"/>
      <c r="J94" s="223" t="n"/>
      <c r="K94" s="223" t="n"/>
    </row>
    <row r="95">
      <c r="A95" s="224" t="n">
        <v>79</v>
      </c>
      <c r="B95" s="354" t="n"/>
      <c r="C95" s="217" t="inlineStr">
        <is>
          <t>01.7.20.04-0003</t>
        </is>
      </c>
      <c r="D95" s="218" t="inlineStr">
        <is>
          <t>Нитки суровые</t>
        </is>
      </c>
      <c r="E95" s="387" t="inlineStr">
        <is>
          <t>кг</t>
        </is>
      </c>
      <c r="F95" s="217" t="n">
        <v>0.01</v>
      </c>
      <c r="G95" s="283" t="n">
        <v>155</v>
      </c>
      <c r="H95" s="177">
        <f>ROUND(F95*G95,2)</f>
        <v/>
      </c>
      <c r="I95" s="234" t="n"/>
      <c r="J95" s="223" t="n"/>
    </row>
    <row r="96">
      <c r="A96" s="224" t="n">
        <v>80</v>
      </c>
      <c r="B96" s="354" t="n"/>
      <c r="C96" s="217" t="inlineStr">
        <is>
          <t>01.3.01.02-0002</t>
        </is>
      </c>
      <c r="D96" s="218" t="inlineStr">
        <is>
          <t>Вазелин технический</t>
        </is>
      </c>
      <c r="E96" s="387" t="inlineStr">
        <is>
          <t>кг</t>
        </is>
      </c>
      <c r="F96" s="217" t="n">
        <v>0.033</v>
      </c>
      <c r="G96" s="283" t="n">
        <v>44.97</v>
      </c>
      <c r="H96" s="177">
        <f>ROUND(F96*G96,2)</f>
        <v/>
      </c>
      <c r="I96" s="234" t="n"/>
      <c r="J96" s="223" t="n"/>
    </row>
    <row r="97" ht="25.5" customHeight="1" s="301">
      <c r="A97" s="224" t="n">
        <v>81</v>
      </c>
      <c r="B97" s="354" t="n"/>
      <c r="C97" s="217" t="inlineStr">
        <is>
          <t>11.1.03.05-0085</t>
        </is>
      </c>
      <c r="D97" s="218" t="inlineStr">
        <is>
          <t>Доска необрезная, хвойных пород, длина 4-6,5 м, все ширины, толщина 44 мм и более, сорт III</t>
        </is>
      </c>
      <c r="E97" s="387" t="inlineStr">
        <is>
          <t>м3</t>
        </is>
      </c>
      <c r="F97" s="217" t="n">
        <v>0.0015</v>
      </c>
      <c r="G97" s="283" t="n">
        <v>684</v>
      </c>
      <c r="H97" s="177">
        <f>ROUND(F97*G97,2)</f>
        <v/>
      </c>
      <c r="I97" s="234" t="n"/>
      <c r="J97" s="223" t="n"/>
      <c r="K97" s="223" t="n"/>
    </row>
    <row r="98" ht="25.5" customHeight="1" s="301">
      <c r="A98" s="224" t="n">
        <v>82</v>
      </c>
      <c r="B98" s="354" t="n"/>
      <c r="C98" s="217" t="inlineStr">
        <is>
          <t>01.7.15.03-0031</t>
        </is>
      </c>
      <c r="D98" s="218" t="inlineStr">
        <is>
          <t>Болты с гайками и шайбами оцинкованные, диаметр 6 мм</t>
        </is>
      </c>
      <c r="E98" s="387" t="inlineStr">
        <is>
          <t>кг</t>
        </is>
      </c>
      <c r="F98" s="217" t="n">
        <v>0.035</v>
      </c>
      <c r="G98" s="283" t="n">
        <v>28.22</v>
      </c>
      <c r="H98" s="177">
        <f>ROUND(F98*G98,2)</f>
        <v/>
      </c>
      <c r="I98" s="234" t="n"/>
      <c r="J98" s="223" t="n"/>
    </row>
    <row r="99">
      <c r="A99" s="224" t="n">
        <v>83</v>
      </c>
      <c r="B99" s="354" t="n"/>
      <c r="C99" s="217" t="inlineStr">
        <is>
          <t>01.7.20.04-0005</t>
        </is>
      </c>
      <c r="D99" s="218" t="inlineStr">
        <is>
          <t>Нитки швейные</t>
        </is>
      </c>
      <c r="E99" s="387" t="inlineStr">
        <is>
          <t>кг</t>
        </is>
      </c>
      <c r="F99" s="217" t="n">
        <v>0.007</v>
      </c>
      <c r="G99" s="283" t="n">
        <v>133.05</v>
      </c>
      <c r="H99" s="177">
        <f>ROUND(F99*G99,2)</f>
        <v/>
      </c>
      <c r="I99" s="234" t="n"/>
      <c r="J99" s="223" t="n"/>
    </row>
    <row r="100">
      <c r="A100" s="224" t="n">
        <v>84</v>
      </c>
      <c r="B100" s="354" t="n"/>
      <c r="C100" s="217" t="inlineStr">
        <is>
          <t>22.2.02.15-0001</t>
        </is>
      </c>
      <c r="D100" s="218" t="inlineStr">
        <is>
          <t>Скрепы 10х2 мм</t>
        </is>
      </c>
      <c r="E100" s="387" t="inlineStr">
        <is>
          <t>кг</t>
        </is>
      </c>
      <c r="F100" s="217" t="n">
        <v>0.06</v>
      </c>
      <c r="G100" s="283" t="n">
        <v>15.37</v>
      </c>
      <c r="H100" s="177">
        <f>ROUND(F100*G100,2)</f>
        <v/>
      </c>
      <c r="I100" s="234" t="n"/>
      <c r="J100" s="223" t="n"/>
    </row>
    <row r="101" ht="38.25" customHeight="1" s="301">
      <c r="A101" s="224" t="n">
        <v>85</v>
      </c>
      <c r="B101" s="354" t="n"/>
      <c r="C101" s="217" t="inlineStr">
        <is>
          <t>23.3.06.04-0006</t>
        </is>
      </c>
      <c r="D101" s="218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E101" s="387" t="inlineStr">
        <is>
          <t>м</t>
        </is>
      </c>
      <c r="F101" s="217" t="n">
        <v>0.08</v>
      </c>
      <c r="G101" s="283" t="n">
        <v>11.5</v>
      </c>
      <c r="H101" s="177">
        <f>ROUND(F101*G101,2)</f>
        <v/>
      </c>
      <c r="I101" s="234" t="n"/>
      <c r="J101" s="223" t="n"/>
      <c r="K101" s="223" t="n"/>
    </row>
    <row r="102" ht="25.5" customHeight="1" s="301">
      <c r="A102" s="224" t="n">
        <v>86</v>
      </c>
      <c r="B102" s="354" t="n"/>
      <c r="C102" s="217" t="inlineStr">
        <is>
          <t>10.3.02.03-0011</t>
        </is>
      </c>
      <c r="D102" s="218" t="inlineStr">
        <is>
          <t>Припои оловянно-свинцовые бессурьмянистые, марка ПОС30</t>
        </is>
      </c>
      <c r="E102" s="387" t="inlineStr">
        <is>
          <t>т</t>
        </is>
      </c>
      <c r="F102" s="217" t="n">
        <v>1.3e-05</v>
      </c>
      <c r="G102" s="283" t="n">
        <v>68050</v>
      </c>
      <c r="H102" s="177">
        <f>ROUND(F102*G102,2)</f>
        <v/>
      </c>
      <c r="I102" s="234" t="n"/>
      <c r="J102" s="223" t="n"/>
      <c r="K102" s="223" t="n"/>
    </row>
    <row r="103">
      <c r="A103" s="224" t="n">
        <v>87</v>
      </c>
      <c r="B103" s="354" t="n"/>
      <c r="C103" s="217" t="inlineStr">
        <is>
          <t>01.3.05.17-0002</t>
        </is>
      </c>
      <c r="D103" s="218" t="inlineStr">
        <is>
          <t>Канифоль сосновая</t>
        </is>
      </c>
      <c r="E103" s="387" t="inlineStr">
        <is>
          <t>кг</t>
        </is>
      </c>
      <c r="F103" s="217" t="n">
        <v>0.03</v>
      </c>
      <c r="G103" s="283" t="n">
        <v>27.74</v>
      </c>
      <c r="H103" s="177">
        <f>ROUND(F103*G103,2)</f>
        <v/>
      </c>
      <c r="I103" s="234" t="n"/>
      <c r="J103" s="223" t="n"/>
    </row>
    <row r="104">
      <c r="A104" s="224" t="n">
        <v>88</v>
      </c>
      <c r="B104" s="354" t="n"/>
      <c r="C104" s="217" t="inlineStr">
        <is>
          <t>01.7.07.20-0002</t>
        </is>
      </c>
      <c r="D104" s="218" t="inlineStr">
        <is>
          <t>Тальк молотый, сорт I</t>
        </is>
      </c>
      <c r="E104" s="387" t="inlineStr">
        <is>
          <t>т</t>
        </is>
      </c>
      <c r="F104" s="217" t="n">
        <v>0.0004</v>
      </c>
      <c r="G104" s="283" t="n">
        <v>1820</v>
      </c>
      <c r="H104" s="177">
        <f>ROUND(F104*G104,2)</f>
        <v/>
      </c>
      <c r="I104" s="234" t="n"/>
      <c r="J104" s="223" t="n"/>
    </row>
    <row r="105">
      <c r="A105" s="224" t="n">
        <v>89</v>
      </c>
      <c r="B105" s="354" t="n"/>
      <c r="C105" s="217" t="inlineStr">
        <is>
          <t>01.7.02.09-0002</t>
        </is>
      </c>
      <c r="D105" s="218" t="inlineStr">
        <is>
          <t>Шпагат бумажный</t>
        </is>
      </c>
      <c r="E105" s="387" t="inlineStr">
        <is>
          <t>кг</t>
        </is>
      </c>
      <c r="F105" s="217" t="n">
        <v>0.013</v>
      </c>
      <c r="G105" s="283" t="n">
        <v>11.5</v>
      </c>
      <c r="H105" s="177">
        <f>ROUND(F105*G105,2)</f>
        <v/>
      </c>
      <c r="I105" s="234" t="n"/>
      <c r="J105" s="223" t="n"/>
      <c r="K105" s="223" t="n"/>
    </row>
    <row r="106">
      <c r="A106" s="224" t="n">
        <v>90</v>
      </c>
      <c r="B106" s="354" t="n"/>
      <c r="C106" s="217" t="inlineStr">
        <is>
          <t>01.7.06.07-0001</t>
        </is>
      </c>
      <c r="D106" s="218" t="inlineStr">
        <is>
          <t>Лента К226</t>
        </is>
      </c>
      <c r="E106" s="387" t="inlineStr">
        <is>
          <t>100 м</t>
        </is>
      </c>
      <c r="F106" s="217" t="n">
        <v>0.0012</v>
      </c>
      <c r="G106" s="283" t="n">
        <v>120</v>
      </c>
      <c r="H106" s="177">
        <f>ROUND(F106*G106,2)</f>
        <v/>
      </c>
      <c r="I106" s="234" t="n"/>
      <c r="J106" s="223" t="n"/>
    </row>
    <row r="107" ht="25.5" customHeight="1" s="301">
      <c r="A107" s="224" t="n">
        <v>91</v>
      </c>
      <c r="B107" s="354" t="n"/>
      <c r="C107" s="217" t="inlineStr">
        <is>
          <t>01.7.19.04-0031</t>
        </is>
      </c>
      <c r="D107" s="218" t="inlineStr">
        <is>
          <t>Прокладки резиновые (пластина техническая прессованная)</t>
        </is>
      </c>
      <c r="E107" s="387" t="inlineStr">
        <is>
          <t>кг</t>
        </is>
      </c>
      <c r="F107" s="217" t="n">
        <v>0.005</v>
      </c>
      <c r="G107" s="283" t="n">
        <v>23.09</v>
      </c>
      <c r="H107" s="177">
        <f>ROUND(F107*G107,2)</f>
        <v/>
      </c>
      <c r="I107" s="234" t="n"/>
      <c r="J107" s="223" t="n"/>
    </row>
    <row r="108">
      <c r="A108" s="224" t="n">
        <v>92</v>
      </c>
      <c r="B108" s="354" t="n"/>
      <c r="C108" s="217" t="inlineStr">
        <is>
          <t>01.7.07.29-0194</t>
        </is>
      </c>
      <c r="D108" s="218" t="inlineStr">
        <is>
          <t>Состав органосиликатный</t>
        </is>
      </c>
      <c r="E108" s="387" t="inlineStr">
        <is>
          <t>кг</t>
        </is>
      </c>
      <c r="F108" s="217" t="n">
        <v>0.001</v>
      </c>
      <c r="G108" s="283" t="n">
        <v>23.17</v>
      </c>
      <c r="H108" s="177">
        <f>ROUND(F108*G108,2)</f>
        <v/>
      </c>
      <c r="I108" s="234" t="n"/>
      <c r="J108" s="223" t="n"/>
      <c r="K108" s="223" t="n"/>
    </row>
    <row r="109">
      <c r="A109" s="224" t="n">
        <v>93</v>
      </c>
      <c r="B109" s="354" t="n"/>
      <c r="C109" s="217" t="inlineStr">
        <is>
          <t>01.7.03.04-0001</t>
        </is>
      </c>
      <c r="D109" s="218" t="inlineStr">
        <is>
          <t>Электроэнергия</t>
        </is>
      </c>
      <c r="E109" s="387" t="inlineStr">
        <is>
          <t>кВт-ч</t>
        </is>
      </c>
      <c r="F109" s="217" t="n">
        <v>0.06</v>
      </c>
      <c r="G109" s="283" t="n">
        <v>0.4</v>
      </c>
      <c r="H109" s="177">
        <f>ROUND(F109*G109,2)</f>
        <v/>
      </c>
      <c r="I109" s="234" t="n"/>
      <c r="J109" s="223" t="n"/>
    </row>
    <row r="112">
      <c r="B112" s="303" t="inlineStr">
        <is>
          <t>Составил ______________________     Е. М. Добровольская</t>
        </is>
      </c>
    </row>
    <row r="113">
      <c r="B113" s="163" t="inlineStr">
        <is>
          <t xml:space="preserve">                         (подпись, инициалы, фамилия)</t>
        </is>
      </c>
    </row>
    <row r="115">
      <c r="B115" s="303" t="inlineStr">
        <is>
          <t>Проверил ______________________        А.В. Костянецкая</t>
        </is>
      </c>
    </row>
    <row r="116">
      <c r="B11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6:E26"/>
    <mergeCell ref="F9:F10"/>
    <mergeCell ref="A24:E24"/>
    <mergeCell ref="A9:A10"/>
    <mergeCell ref="E9:E10"/>
    <mergeCell ref="A38:E38"/>
    <mergeCell ref="A2:H2"/>
    <mergeCell ref="C4:H4"/>
    <mergeCell ref="G9:H9"/>
    <mergeCell ref="A40:E4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1" min="1" max="1"/>
    <col width="36.28515625" customWidth="1" style="301" min="2" max="2"/>
    <col width="18.85546875" customWidth="1" style="301" min="3" max="3"/>
    <col width="18.28515625" customWidth="1" style="301" min="4" max="4"/>
    <col width="18.85546875" customWidth="1" style="301" min="5" max="5"/>
    <col width="11.42578125" customWidth="1" style="301" min="6" max="6"/>
    <col width="14.42578125" customWidth="1" style="301" min="7" max="7"/>
    <col width="9.140625" customWidth="1" style="301" min="8" max="11"/>
    <col width="13.5703125" customWidth="1" style="301" min="12" max="12"/>
    <col width="9.140625" customWidth="1" style="301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2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7" t="inlineStr">
        <is>
          <t>Ресурсная модель</t>
        </is>
      </c>
    </row>
    <row r="6">
      <c r="B6" s="226" t="n"/>
      <c r="C6" s="289" t="n"/>
      <c r="D6" s="289" t="n"/>
      <c r="E6" s="289" t="n"/>
    </row>
    <row r="7" ht="38.25" customHeight="1" s="301">
      <c r="B7" s="361" t="inlineStr">
        <is>
          <t>Наименование разрабатываемого показателя УНЦ — ПКУ класса напряжения 110 кВ</t>
        </is>
      </c>
    </row>
    <row r="8">
      <c r="B8" s="362" t="inlineStr">
        <is>
          <t>Единица измерения  — 1 ед.</t>
        </is>
      </c>
    </row>
    <row r="9">
      <c r="B9" s="226" t="n"/>
      <c r="C9" s="289" t="n"/>
      <c r="D9" s="289" t="n"/>
      <c r="E9" s="289" t="n"/>
    </row>
    <row r="10" ht="51" customHeight="1" s="301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28" t="inlineStr">
        <is>
          <t>Оплата труда рабочих</t>
        </is>
      </c>
      <c r="C11" s="291">
        <f>'Прил.5 Расчет СМР и ОБ'!J16</f>
        <v/>
      </c>
      <c r="D11" s="230">
        <f>C11/$C$24</f>
        <v/>
      </c>
      <c r="E11" s="230">
        <f>C11/$C$40</f>
        <v/>
      </c>
    </row>
    <row r="12">
      <c r="B12" s="228" t="inlineStr">
        <is>
          <t>Эксплуатация машин основных</t>
        </is>
      </c>
      <c r="C12" s="291">
        <f>'Прил.5 Расчет СМР и ОБ'!J24</f>
        <v/>
      </c>
      <c r="D12" s="230">
        <f>C12/$C$24</f>
        <v/>
      </c>
      <c r="E12" s="230">
        <f>C12/$C$40</f>
        <v/>
      </c>
    </row>
    <row r="13">
      <c r="B13" s="228" t="inlineStr">
        <is>
          <t>Эксплуатация машин прочих</t>
        </is>
      </c>
      <c r="C13" s="291">
        <f>'Прил.5 Расчет СМР и ОБ'!J33</f>
        <v/>
      </c>
      <c r="D13" s="230">
        <f>C13/$C$24</f>
        <v/>
      </c>
      <c r="E13" s="230">
        <f>C13/$C$40</f>
        <v/>
      </c>
    </row>
    <row r="14">
      <c r="B14" s="228" t="inlineStr">
        <is>
          <t>ЭКСПЛУАТАЦИЯ МАШИН, ВСЕГО:</t>
        </is>
      </c>
      <c r="C14" s="291">
        <f>C13+C12</f>
        <v/>
      </c>
      <c r="D14" s="230">
        <f>C14/$C$24</f>
        <v/>
      </c>
      <c r="E14" s="230">
        <f>C14/$C$40</f>
        <v/>
      </c>
    </row>
    <row r="15">
      <c r="B15" s="228" t="inlineStr">
        <is>
          <t>в том числе зарплата машинистов</t>
        </is>
      </c>
      <c r="C15" s="291">
        <f>'Прил.5 Расчет СМР и ОБ'!J18</f>
        <v/>
      </c>
      <c r="D15" s="230">
        <f>C15/$C$24</f>
        <v/>
      </c>
      <c r="E15" s="230">
        <f>C15/$C$40</f>
        <v/>
      </c>
    </row>
    <row r="16">
      <c r="B16" s="228" t="inlineStr">
        <is>
          <t>Материалы основные</t>
        </is>
      </c>
      <c r="C16" s="291">
        <f>'Прил.5 Расчет СМР и ОБ'!J60</f>
        <v/>
      </c>
      <c r="D16" s="230">
        <f>C16/$C$24</f>
        <v/>
      </c>
      <c r="E16" s="230">
        <f>C16/$C$40</f>
        <v/>
      </c>
    </row>
    <row r="17">
      <c r="B17" s="228" t="inlineStr">
        <is>
          <t>Материалы прочие</t>
        </is>
      </c>
      <c r="C17" s="291">
        <f>'Прил.5 Расчет СМР и ОБ'!J114</f>
        <v/>
      </c>
      <c r="D17" s="230">
        <f>C17/$C$24</f>
        <v/>
      </c>
      <c r="E17" s="230">
        <f>C17/$C$40</f>
        <v/>
      </c>
      <c r="G17" s="455" t="n"/>
    </row>
    <row r="18">
      <c r="B18" s="228" t="inlineStr">
        <is>
          <t>МАТЕРИАЛЫ, ВСЕГО:</t>
        </is>
      </c>
      <c r="C18" s="291">
        <f>C17+C16</f>
        <v/>
      </c>
      <c r="D18" s="230">
        <f>C18/$C$24</f>
        <v/>
      </c>
      <c r="E18" s="230">
        <f>C18/$C$40</f>
        <v/>
      </c>
    </row>
    <row r="19">
      <c r="B19" s="228" t="inlineStr">
        <is>
          <t>ИТОГО</t>
        </is>
      </c>
      <c r="C19" s="291">
        <f>C18+C14+C11</f>
        <v/>
      </c>
      <c r="D19" s="230" t="n"/>
      <c r="E19" s="228" t="n"/>
    </row>
    <row r="20">
      <c r="B20" s="228" t="inlineStr">
        <is>
          <t>Сметная прибыль, руб.</t>
        </is>
      </c>
      <c r="C20" s="291">
        <f>ROUND(C21*(C11+C15),2)</f>
        <v/>
      </c>
      <c r="D20" s="230">
        <f>C20/$C$24</f>
        <v/>
      </c>
      <c r="E20" s="230">
        <f>C20/$C$40</f>
        <v/>
      </c>
    </row>
    <row r="21">
      <c r="B21" s="228" t="inlineStr">
        <is>
          <t>Сметная прибыль, %</t>
        </is>
      </c>
      <c r="C21" s="232">
        <f>'Прил.5 Расчет СМР и ОБ'!D118</f>
        <v/>
      </c>
      <c r="D21" s="230" t="n"/>
      <c r="E21" s="228" t="n"/>
    </row>
    <row r="22">
      <c r="B22" s="228" t="inlineStr">
        <is>
          <t>Накладные расходы, руб.</t>
        </is>
      </c>
      <c r="C22" s="291">
        <f>ROUND(C23*(C11+C15),2)</f>
        <v/>
      </c>
      <c r="D22" s="230">
        <f>C22/$C$24</f>
        <v/>
      </c>
      <c r="E22" s="230">
        <f>C22/$C$40</f>
        <v/>
      </c>
    </row>
    <row r="23">
      <c r="B23" s="228" t="inlineStr">
        <is>
          <t>Накладные расходы, %</t>
        </is>
      </c>
      <c r="C23" s="232">
        <f>'Прил.5 Расчет СМР и ОБ'!D117</f>
        <v/>
      </c>
      <c r="D23" s="230" t="n"/>
      <c r="E23" s="228" t="n"/>
    </row>
    <row r="24">
      <c r="B24" s="228" t="inlineStr">
        <is>
          <t>ВСЕГО СМР с НР и СП</t>
        </is>
      </c>
      <c r="C24" s="291">
        <f>C19+C20+C22</f>
        <v/>
      </c>
      <c r="D24" s="230">
        <f>C24/$C$24</f>
        <v/>
      </c>
      <c r="E24" s="230">
        <f>C24/$C$40</f>
        <v/>
      </c>
    </row>
    <row r="25" ht="25.5" customHeight="1" s="301">
      <c r="B25" s="228" t="inlineStr">
        <is>
          <t>ВСЕГО стоимость оборудования, в том числе</t>
        </is>
      </c>
      <c r="C25" s="291">
        <f>'Прил.5 Расчет СМР и ОБ'!J40</f>
        <v/>
      </c>
      <c r="D25" s="230" t="n"/>
      <c r="E25" s="230">
        <f>C25/$C$40</f>
        <v/>
      </c>
    </row>
    <row r="26" ht="25.5" customHeight="1" s="301">
      <c r="B26" s="228" t="inlineStr">
        <is>
          <t>стоимость оборудования технологического</t>
        </is>
      </c>
      <c r="C26" s="291">
        <f>'Прил.5 Расчет СМР и ОБ'!J41</f>
        <v/>
      </c>
      <c r="D26" s="230" t="n"/>
      <c r="E26" s="230">
        <f>C26/$C$40</f>
        <v/>
      </c>
    </row>
    <row r="27">
      <c r="B27" s="228" t="inlineStr">
        <is>
          <t>ИТОГО (СМР + ОБОРУДОВАНИЕ)</t>
        </is>
      </c>
      <c r="C27" s="158">
        <f>C24+C25</f>
        <v/>
      </c>
      <c r="D27" s="230" t="n"/>
      <c r="E27" s="230">
        <f>C27/$C$40</f>
        <v/>
      </c>
    </row>
    <row r="28" ht="33" customHeight="1" s="301">
      <c r="B28" s="228" t="inlineStr">
        <is>
          <t>ПРОЧ. ЗАТР., УЧТЕННЫЕ ПОКАЗАТЕЛЕМ,  в том числе</t>
        </is>
      </c>
      <c r="C28" s="228" t="n"/>
      <c r="D28" s="228" t="n"/>
      <c r="E28" s="228" t="n"/>
      <c r="F28" s="233" t="n"/>
    </row>
    <row r="29" ht="25.5" customHeight="1" s="301">
      <c r="B29" s="228" t="inlineStr">
        <is>
          <t>Временные здания и сооружения - 3,3%</t>
        </is>
      </c>
      <c r="C29" s="158">
        <f>ROUND(C24*3.3%,2)</f>
        <v/>
      </c>
      <c r="D29" s="228" t="n"/>
      <c r="E29" s="230">
        <f>C29/$C$40</f>
        <v/>
      </c>
    </row>
    <row r="30" ht="38.25" customHeight="1" s="301">
      <c r="B30" s="228" t="inlineStr">
        <is>
          <t>Дополнительные затраты при производстве строительно-монтажных работ в зимнее время - 1%</t>
        </is>
      </c>
      <c r="C30" s="158">
        <f>ROUND((C24+C29)*1%,2)</f>
        <v/>
      </c>
      <c r="D30" s="228" t="n"/>
      <c r="E30" s="230">
        <f>C30/$C$40</f>
        <v/>
      </c>
      <c r="F30" s="233" t="n"/>
    </row>
    <row r="31">
      <c r="B31" s="228" t="inlineStr">
        <is>
          <t>Пусконаладочные работы</t>
        </is>
      </c>
      <c r="C31" s="158" t="n">
        <v>9896.16</v>
      </c>
      <c r="D31" s="228" t="n"/>
      <c r="E31" s="230">
        <f>C31/$C$40</f>
        <v/>
      </c>
    </row>
    <row r="32" ht="25.5" customHeight="1" s="301">
      <c r="B32" s="228" t="inlineStr">
        <is>
          <t>Затраты по перевозке работников к месту работы и обратно</t>
        </is>
      </c>
      <c r="C32" s="158">
        <f>ROUND(C27*0%,2)</f>
        <v/>
      </c>
      <c r="D32" s="228" t="n"/>
      <c r="E32" s="230">
        <f>C32/$C$40</f>
        <v/>
      </c>
    </row>
    <row r="33" ht="25.5" customHeight="1" s="301">
      <c r="B33" s="228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28" t="n"/>
      <c r="E33" s="230">
        <f>C33/$C$40</f>
        <v/>
      </c>
    </row>
    <row r="34" ht="51" customHeight="1" s="301">
      <c r="B34" s="2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28" t="n"/>
      <c r="E34" s="230">
        <f>C34/$C$40</f>
        <v/>
      </c>
      <c r="H34" s="234" t="n"/>
    </row>
    <row r="35" ht="76.5" customHeight="1" s="301">
      <c r="B35" s="2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28" t="n"/>
      <c r="E35" s="230">
        <f>C35/$C$40</f>
        <v/>
      </c>
    </row>
    <row r="36" ht="25.5" customHeight="1" s="301">
      <c r="B36" s="228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8" t="n"/>
      <c r="E36" s="230">
        <f>C36/$C$40</f>
        <v/>
      </c>
      <c r="L36" s="233" t="n"/>
    </row>
    <row r="37">
      <c r="B37" s="228" t="inlineStr">
        <is>
          <t>Авторский надзор - 0,2%</t>
        </is>
      </c>
      <c r="C37" s="158">
        <f>ROUND((C27+C32+C33+C34+C35+C29+C31+C30)*0.2%,2)</f>
        <v/>
      </c>
      <c r="D37" s="228" t="n"/>
      <c r="E37" s="230">
        <f>C37/$C$40</f>
        <v/>
      </c>
      <c r="L37" s="233" t="n"/>
    </row>
    <row r="38" ht="38.25" customHeight="1" s="301">
      <c r="B38" s="228" t="inlineStr">
        <is>
          <t>ИТОГО (СМР+ОБОРУДОВАНИЕ+ПРОЧ. ЗАТР., УЧТЕННЫЕ ПОКАЗАТЕЛЕМ)</t>
        </is>
      </c>
      <c r="C38" s="291">
        <f>C27+C32+C33+C34+C35+C29+C31+C30+C36+C37</f>
        <v/>
      </c>
      <c r="D38" s="228" t="n"/>
      <c r="E38" s="230">
        <f>C38/$C$40</f>
        <v/>
      </c>
    </row>
    <row r="39" ht="13.5" customHeight="1" s="301">
      <c r="B39" s="228" t="inlineStr">
        <is>
          <t>Непредвиденные расходы</t>
        </is>
      </c>
      <c r="C39" s="291">
        <f>ROUND(C38*3%,2)</f>
        <v/>
      </c>
      <c r="D39" s="228" t="n"/>
      <c r="E39" s="230">
        <f>C39/$C$38</f>
        <v/>
      </c>
    </row>
    <row r="40">
      <c r="B40" s="228" t="inlineStr">
        <is>
          <t>ВСЕГО:</t>
        </is>
      </c>
      <c r="C40" s="291">
        <f>C39+C38</f>
        <v/>
      </c>
      <c r="D40" s="228" t="n"/>
      <c r="E40" s="230">
        <f>C40/$C$40</f>
        <v/>
      </c>
    </row>
    <row r="41">
      <c r="B41" s="228" t="inlineStr">
        <is>
          <t>ИТОГО ПОКАЗАТЕЛЬ НА ЕД. ИЗМ.</t>
        </is>
      </c>
      <c r="C41" s="291">
        <f>C40/'Прил.5 Расчет СМР и ОБ'!E121</f>
        <v/>
      </c>
      <c r="D41" s="228" t="n"/>
      <c r="E41" s="228" t="n"/>
    </row>
    <row r="42">
      <c r="B42" s="293" t="n"/>
      <c r="C42" s="289" t="n"/>
      <c r="D42" s="289" t="n"/>
      <c r="E42" s="289" t="n"/>
    </row>
    <row r="43">
      <c r="B43" s="293" t="inlineStr">
        <is>
          <t>Составил ____________________________ Е. М. Добровольская</t>
        </is>
      </c>
      <c r="C43" s="289" t="n"/>
      <c r="D43" s="289" t="n"/>
      <c r="E43" s="289" t="n"/>
    </row>
    <row r="44">
      <c r="B44" s="293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93" t="n"/>
      <c r="C45" s="289" t="n"/>
      <c r="D45" s="289" t="n"/>
      <c r="E45" s="289" t="n"/>
    </row>
    <row r="46">
      <c r="B46" s="293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62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7"/>
  <sheetViews>
    <sheetView view="pageBreakPreview" topLeftCell="A49" zoomScale="70" workbookViewId="0">
      <selection activeCell="F127" sqref="F127"/>
    </sheetView>
  </sheetViews>
  <sheetFormatPr baseColWidth="8" defaultColWidth="9.140625" defaultRowHeight="15" outlineLevelRow="1"/>
  <cols>
    <col width="5.7109375" customWidth="1" style="299" min="1" max="1"/>
    <col width="22.5703125" customWidth="1" style="299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299" min="7" max="7"/>
    <col width="12.7109375" customWidth="1" style="299" min="8" max="8"/>
    <col width="13.85546875" customWidth="1" style="299" min="9" max="9"/>
    <col width="17.5703125" customWidth="1" style="299" min="10" max="10"/>
    <col width="10.85546875" customWidth="1" style="299" min="11" max="11"/>
    <col width="9.140625" customWidth="1" style="299" min="12" max="12"/>
    <col width="9.140625" customWidth="1" style="301" min="13" max="13"/>
  </cols>
  <sheetData>
    <row r="1" s="301">
      <c r="A1" s="299" t="n"/>
      <c r="B1" s="299" t="n"/>
      <c r="C1" s="299" t="n"/>
      <c r="D1" s="299" t="n"/>
      <c r="E1" s="299" t="n"/>
      <c r="F1" s="299" t="n"/>
      <c r="G1" s="299" t="n"/>
      <c r="H1" s="299" t="n"/>
      <c r="I1" s="299" t="n"/>
      <c r="J1" s="299" t="n"/>
      <c r="K1" s="299" t="n"/>
      <c r="L1" s="299" t="n"/>
      <c r="M1" s="299" t="n"/>
      <c r="N1" s="299" t="n"/>
    </row>
    <row r="2" ht="15.75" customHeight="1" s="301">
      <c r="A2" s="299" t="n"/>
      <c r="B2" s="299" t="n"/>
      <c r="C2" s="299" t="n"/>
      <c r="D2" s="299" t="n"/>
      <c r="E2" s="299" t="n"/>
      <c r="F2" s="299" t="n"/>
      <c r="G2" s="299" t="n"/>
      <c r="H2" s="363" t="inlineStr">
        <is>
          <t>Приложение №5</t>
        </is>
      </c>
      <c r="K2" s="299" t="n"/>
      <c r="L2" s="299" t="n"/>
      <c r="M2" s="299" t="n"/>
      <c r="N2" s="299" t="n"/>
    </row>
    <row r="3" s="301">
      <c r="A3" s="299" t="n"/>
      <c r="B3" s="299" t="n"/>
      <c r="C3" s="299" t="n"/>
      <c r="D3" s="299" t="n"/>
      <c r="E3" s="299" t="n"/>
      <c r="F3" s="299" t="n"/>
      <c r="G3" s="299" t="n"/>
      <c r="H3" s="299" t="n"/>
      <c r="I3" s="299" t="n"/>
      <c r="J3" s="299" t="n"/>
      <c r="K3" s="299" t="n"/>
      <c r="L3" s="299" t="n"/>
      <c r="M3" s="299" t="n"/>
      <c r="N3" s="299" t="n"/>
    </row>
    <row r="4" ht="12.75" customFormat="1" customHeight="1" s="289">
      <c r="A4" s="337" t="inlineStr">
        <is>
          <t>Расчет стоимости СМР и оборудования</t>
        </is>
      </c>
    </row>
    <row r="5" ht="12.75" customFormat="1" customHeight="1" s="289">
      <c r="A5" s="337" t="n"/>
      <c r="B5" s="337" t="n"/>
      <c r="C5" s="389" t="n"/>
      <c r="D5" s="337" t="n"/>
      <c r="E5" s="337" t="n"/>
      <c r="F5" s="337" t="n"/>
      <c r="G5" s="337" t="n"/>
      <c r="H5" s="337" t="n"/>
      <c r="I5" s="337" t="n"/>
      <c r="J5" s="337" t="n"/>
    </row>
    <row r="6" ht="27.75" customFormat="1" customHeight="1" s="289">
      <c r="A6" s="239" t="inlineStr">
        <is>
          <t>Наименование разрабатываемого показателя УНЦ</t>
        </is>
      </c>
      <c r="B6" s="240" t="n"/>
      <c r="C6" s="240" t="n"/>
      <c r="D6" s="369" t="inlineStr">
        <is>
          <t>ПКУ класса напряжения 110 кВ</t>
        </is>
      </c>
    </row>
    <row r="7" ht="12.75" customFormat="1" customHeight="1" s="289">
      <c r="A7" s="340" t="inlineStr">
        <is>
          <t>Единица измерения  — 1 ед.</t>
        </is>
      </c>
      <c r="I7" s="361" t="n"/>
      <c r="J7" s="361" t="n"/>
    </row>
    <row r="8" ht="13.5" customFormat="1" customHeight="1" s="289">
      <c r="A8" s="340" t="n"/>
    </row>
    <row r="9" ht="27" customHeight="1" s="301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5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5" t="n"/>
      <c r="K9" s="299" t="n"/>
      <c r="L9" s="299" t="n"/>
      <c r="M9" s="299" t="n"/>
      <c r="N9" s="299" t="n"/>
    </row>
    <row r="10" ht="28.5" customHeight="1" s="301">
      <c r="A10" s="447" t="n"/>
      <c r="B10" s="447" t="n"/>
      <c r="C10" s="447" t="n"/>
      <c r="D10" s="447" t="n"/>
      <c r="E10" s="447" t="n"/>
      <c r="F10" s="366" t="inlineStr">
        <is>
          <t>на ед. изм.</t>
        </is>
      </c>
      <c r="G10" s="366" t="inlineStr">
        <is>
          <t>общая</t>
        </is>
      </c>
      <c r="H10" s="447" t="n"/>
      <c r="I10" s="366" t="inlineStr">
        <is>
          <t>на ед. изм.</t>
        </is>
      </c>
      <c r="J10" s="366" t="inlineStr">
        <is>
          <t>общая</t>
        </is>
      </c>
      <c r="K10" s="299" t="n"/>
      <c r="L10" s="299" t="n"/>
      <c r="M10" s="299" t="n"/>
      <c r="N10" s="299" t="n"/>
    </row>
    <row r="11" s="301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299" t="n"/>
      <c r="L11" s="299" t="n"/>
      <c r="M11" s="299" t="n"/>
      <c r="N11" s="299" t="n"/>
    </row>
    <row r="12">
      <c r="A12" s="366" t="n"/>
      <c r="B12" s="352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6" t="n"/>
      <c r="J12" s="186" t="n"/>
    </row>
    <row r="13" ht="25.5" customHeight="1" s="301">
      <c r="A13" s="366" t="n">
        <v>1</v>
      </c>
      <c r="B13" s="241" t="inlineStr">
        <is>
          <t>1-3-9</t>
        </is>
      </c>
      <c r="C13" s="374" t="inlineStr">
        <is>
          <t>Затраты труда рабочих-строителей среднего разряда (3,9)</t>
        </is>
      </c>
      <c r="D13" s="366" t="inlineStr">
        <is>
          <t>чел.-ч.</t>
        </is>
      </c>
      <c r="E13" s="456">
        <f>G13/F13</f>
        <v/>
      </c>
      <c r="F13" s="251" t="n">
        <v>9.51</v>
      </c>
      <c r="G13" s="251">
        <f>'Прил. 3'!H12-'Прил. 3'!H13-'Прил. 3'!H14</f>
        <v/>
      </c>
      <c r="H13" s="250">
        <f>G13/$G$16</f>
        <v/>
      </c>
      <c r="I13" s="251">
        <f>'ФОТр.тек.'!E13</f>
        <v/>
      </c>
      <c r="J13" s="251">
        <f>ROUND(I13*E13,2)</f>
        <v/>
      </c>
    </row>
    <row r="14">
      <c r="A14" s="366" t="n">
        <v>2</v>
      </c>
      <c r="B14" s="241" t="inlineStr">
        <is>
          <t>10-3-1</t>
        </is>
      </c>
      <c r="C14" s="374" t="inlineStr">
        <is>
          <t>Инженер I категории</t>
        </is>
      </c>
      <c r="D14" s="366" t="inlineStr">
        <is>
          <t>чел.-ч.</t>
        </is>
      </c>
      <c r="E14" s="456">
        <f>G14/F14</f>
        <v/>
      </c>
      <c r="F14" s="251" t="n">
        <v>15.49</v>
      </c>
      <c r="G14" s="251">
        <f>'Прил. 3'!H13</f>
        <v/>
      </c>
      <c r="H14" s="250">
        <f>G14/$G$16</f>
        <v/>
      </c>
      <c r="I14" s="251">
        <f>'ФОТр.тек.'!E21</f>
        <v/>
      </c>
      <c r="J14" s="251">
        <f>ROUND(I14*E14,2)</f>
        <v/>
      </c>
    </row>
    <row r="15">
      <c r="A15" s="366" t="n">
        <v>3</v>
      </c>
      <c r="B15" s="241" t="inlineStr">
        <is>
          <t>10-3-2</t>
        </is>
      </c>
      <c r="C15" s="374" t="inlineStr">
        <is>
          <t>Инженер II категории</t>
        </is>
      </c>
      <c r="D15" s="366" t="inlineStr">
        <is>
          <t>чел.-ч.</t>
        </is>
      </c>
      <c r="E15" s="456">
        <f>G15/F15</f>
        <v/>
      </c>
      <c r="F15" s="251" t="n">
        <v>14.09</v>
      </c>
      <c r="G15" s="251">
        <f>'Прил. 3'!H14</f>
        <v/>
      </c>
      <c r="H15" s="250">
        <f>G15/$G$16</f>
        <v/>
      </c>
      <c r="I15" s="251">
        <f>'ФОТр.тек.'!E29</f>
        <v/>
      </c>
      <c r="J15" s="251">
        <f>ROUND(I15*E15,2)</f>
        <v/>
      </c>
    </row>
    <row r="16" ht="25.5" customFormat="1" customHeight="1" s="299">
      <c r="A16" s="366" t="n"/>
      <c r="B16" s="366" t="n"/>
      <c r="C16" s="352" t="inlineStr">
        <is>
          <t>Итого по разделу "Затраты труда рабочих-строителей"</t>
        </is>
      </c>
      <c r="D16" s="366" t="inlineStr">
        <is>
          <t>чел.-ч.</t>
        </is>
      </c>
      <c r="E16" s="456">
        <f>SUM(E13:E15)</f>
        <v/>
      </c>
      <c r="F16" s="251" t="n"/>
      <c r="G16" s="251">
        <f>SUM(G13:G15)</f>
        <v/>
      </c>
      <c r="H16" s="377">
        <f>SUM(H13:H13)</f>
        <v/>
      </c>
      <c r="I16" s="186" t="n"/>
      <c r="J16" s="251">
        <f>SUM(J13:J15)</f>
        <v/>
      </c>
    </row>
    <row r="17" ht="14.25" customFormat="1" customHeight="1" s="299">
      <c r="A17" s="366" t="n"/>
      <c r="B17" s="374" t="inlineStr">
        <is>
          <t>Затраты труда машинистов</t>
        </is>
      </c>
      <c r="C17" s="444" t="n"/>
      <c r="D17" s="444" t="n"/>
      <c r="E17" s="444" t="n"/>
      <c r="F17" s="444" t="n"/>
      <c r="G17" s="444" t="n"/>
      <c r="H17" s="445" t="n"/>
      <c r="I17" s="186" t="n"/>
      <c r="J17" s="186" t="n"/>
    </row>
    <row r="18" ht="14.25" customFormat="1" customHeight="1" s="299">
      <c r="A18" s="366" t="n">
        <v>4</v>
      </c>
      <c r="B18" s="366" t="n">
        <v>2</v>
      </c>
      <c r="C18" s="374" t="inlineStr">
        <is>
          <t>Затраты труда машинистов</t>
        </is>
      </c>
      <c r="D18" s="366" t="inlineStr">
        <is>
          <t>чел.-ч.</t>
        </is>
      </c>
      <c r="E18" s="456">
        <f>'Прил. 3'!F25</f>
        <v/>
      </c>
      <c r="F18" s="251">
        <f>G18/E18</f>
        <v/>
      </c>
      <c r="G18" s="251">
        <f>'Прил. 3'!H24</f>
        <v/>
      </c>
      <c r="H18" s="377" t="n">
        <v>1</v>
      </c>
      <c r="I18" s="251">
        <f>ROUND(F18*'Прил. 10'!D11,2)</f>
        <v/>
      </c>
      <c r="J18" s="251">
        <f>ROUND(I18*E18,2)</f>
        <v/>
      </c>
    </row>
    <row r="19" ht="14.25" customFormat="1" customHeight="1" s="299">
      <c r="A19" s="366" t="n"/>
      <c r="B19" s="352" t="inlineStr">
        <is>
          <t>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186" t="n"/>
      <c r="J19" s="186" t="n"/>
    </row>
    <row r="20" ht="14.25" customFormat="1" customHeight="1" s="299">
      <c r="A20" s="366" t="n"/>
      <c r="B20" s="374" t="inlineStr">
        <is>
          <t>Основные машины и механизмы</t>
        </is>
      </c>
      <c r="C20" s="444" t="n"/>
      <c r="D20" s="444" t="n"/>
      <c r="E20" s="444" t="n"/>
      <c r="F20" s="444" t="n"/>
      <c r="G20" s="444" t="n"/>
      <c r="H20" s="445" t="n"/>
      <c r="I20" s="186" t="n"/>
      <c r="J20" s="186" t="n"/>
    </row>
    <row r="21" ht="43.5" customFormat="1" customHeight="1" s="299">
      <c r="A21" s="366" t="n">
        <v>5</v>
      </c>
      <c r="B21" s="241" t="inlineStr">
        <is>
          <t>91.06.06-011</t>
        </is>
      </c>
      <c r="C21" s="374" t="inlineStr">
        <is>
          <t>Автогидроподъемники, высота подъема 12 м</t>
        </is>
      </c>
      <c r="D21" s="366" t="inlineStr">
        <is>
          <t>маш.-ч</t>
        </is>
      </c>
      <c r="E21" s="456" t="n">
        <v>10.71</v>
      </c>
      <c r="F21" s="376" t="n">
        <v>82.22</v>
      </c>
      <c r="G21" s="251">
        <f>ROUND(E21*F21,2)</f>
        <v/>
      </c>
      <c r="H21" s="250">
        <f>G21/$G$34</f>
        <v/>
      </c>
      <c r="I21" s="251">
        <f>ROUND(F21*'Прил. 10'!$D$12,2)</f>
        <v/>
      </c>
      <c r="J21" s="251">
        <f>ROUND(I21*E21,2)</f>
        <v/>
      </c>
    </row>
    <row r="22" ht="30.75" customFormat="1" customHeight="1" s="299">
      <c r="A22" s="366" t="n">
        <v>6</v>
      </c>
      <c r="B22" s="241" t="inlineStr">
        <is>
          <t>91.14.02-001</t>
        </is>
      </c>
      <c r="C22" s="374" t="inlineStr">
        <is>
          <t>Автомобили бортовые, грузоподъемность до 5 т</t>
        </is>
      </c>
      <c r="D22" s="366" t="inlineStr">
        <is>
          <t>маш.-ч</t>
        </is>
      </c>
      <c r="E22" s="456" t="n">
        <v>2.7</v>
      </c>
      <c r="F22" s="376" t="n">
        <v>65.70999999999999</v>
      </c>
      <c r="G22" s="251">
        <f>ROUND(E22*F22,2)</f>
        <v/>
      </c>
      <c r="H22" s="250">
        <f>G22/$G$34</f>
        <v/>
      </c>
      <c r="I22" s="251">
        <f>ROUND(F22*'Прил. 10'!$D$12,2)</f>
        <v/>
      </c>
      <c r="J22" s="251">
        <f>ROUND(I22*E22,2)</f>
        <v/>
      </c>
    </row>
    <row r="23" ht="30.75" customFormat="1" customHeight="1" s="299">
      <c r="A23" s="366" t="n">
        <v>7</v>
      </c>
      <c r="B23" s="241" t="inlineStr">
        <is>
          <t>91.06.05-011</t>
        </is>
      </c>
      <c r="C23" s="374" t="inlineStr">
        <is>
          <t>Погрузчики, грузоподъемность 5 т</t>
        </is>
      </c>
      <c r="D23" s="366" t="inlineStr">
        <is>
          <t>маш.-ч</t>
        </is>
      </c>
      <c r="E23" s="456" t="n">
        <v>1.48</v>
      </c>
      <c r="F23" s="376" t="n">
        <v>89.98999999999999</v>
      </c>
      <c r="G23" s="251">
        <f>ROUND(E23*F23,2)</f>
        <v/>
      </c>
      <c r="H23" s="250">
        <f>G23/$G$34</f>
        <v/>
      </c>
      <c r="I23" s="251">
        <f>ROUND(F23*'Прил. 10'!$D$12,2)</f>
        <v/>
      </c>
      <c r="J23" s="251">
        <f>ROUND(I23*E23,2)</f>
        <v/>
      </c>
    </row>
    <row r="24" ht="14.25" customFormat="1" customHeight="1" s="299">
      <c r="A24" s="366" t="n"/>
      <c r="B24" s="366" t="n"/>
      <c r="C24" s="374" t="inlineStr">
        <is>
          <t>Итого основные машины и механизмы</t>
        </is>
      </c>
      <c r="D24" s="366" t="n"/>
      <c r="E24" s="456" t="n"/>
      <c r="F24" s="251" t="n"/>
      <c r="G24" s="251">
        <f>SUM(G21:G23)</f>
        <v/>
      </c>
      <c r="H24" s="377">
        <f>G24/G34</f>
        <v/>
      </c>
      <c r="I24" s="249" t="n"/>
      <c r="J24" s="251">
        <f>SUM(J21:J23)</f>
        <v/>
      </c>
    </row>
    <row r="25" hidden="1" outlineLevel="1" ht="51" customFormat="1" customHeight="1" s="299">
      <c r="A25" s="366" t="n">
        <v>8</v>
      </c>
      <c r="B25" s="241" t="inlineStr">
        <is>
          <t>91.05.05-014</t>
        </is>
      </c>
      <c r="C25" s="374" t="inlineStr">
        <is>
          <t>Краны на автомобильном ходу, грузоподъемность 10 т</t>
        </is>
      </c>
      <c r="D25" s="366" t="inlineStr">
        <is>
          <t>маш.-ч</t>
        </is>
      </c>
      <c r="E25" s="456" t="n">
        <v>0.65</v>
      </c>
      <c r="F25" s="376" t="n">
        <v>111.99</v>
      </c>
      <c r="G25" s="251">
        <f>ROUND(E25*F25,2)</f>
        <v/>
      </c>
      <c r="H25" s="250">
        <f>G25/$G$34</f>
        <v/>
      </c>
      <c r="I25" s="251">
        <f>ROUND(F25*'Прил. 10'!$D$12,2)</f>
        <v/>
      </c>
      <c r="J25" s="251">
        <f>ROUND(I25*E25,2)</f>
        <v/>
      </c>
    </row>
    <row r="26" hidden="1" outlineLevel="1" ht="51" customFormat="1" customHeight="1" s="299">
      <c r="A26" s="366" t="n">
        <v>9</v>
      </c>
      <c r="B26" s="241" t="inlineStr">
        <is>
          <t>91.18.01-007</t>
        </is>
      </c>
      <c r="C26" s="37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66" t="inlineStr">
        <is>
          <t>маш.-ч</t>
        </is>
      </c>
      <c r="E26" s="456" t="n">
        <v>0.29</v>
      </c>
      <c r="F26" s="376" t="n">
        <v>90</v>
      </c>
      <c r="G26" s="251">
        <f>ROUND(E26*F26,2)</f>
        <v/>
      </c>
      <c r="H26" s="250">
        <f>G26/$G$34</f>
        <v/>
      </c>
      <c r="I26" s="251">
        <f>ROUND(F26*'Прил. 10'!$D$12,2)</f>
        <v/>
      </c>
      <c r="J26" s="251">
        <f>ROUND(I26*E26,2)</f>
        <v/>
      </c>
    </row>
    <row r="27" hidden="1" outlineLevel="1" ht="26.25" customFormat="1" customHeight="1" s="299">
      <c r="A27" s="366" t="n">
        <v>10</v>
      </c>
      <c r="B27" s="241" t="inlineStr">
        <is>
          <t>91.17.04-233</t>
        </is>
      </c>
      <c r="C27" s="374" t="inlineStr">
        <is>
          <t>Установки для сварки ручной дуговой (постоянного тока)</t>
        </is>
      </c>
      <c r="D27" s="366" t="inlineStr">
        <is>
          <t>маш.-ч</t>
        </is>
      </c>
      <c r="E27" s="456" t="n">
        <v>1.36</v>
      </c>
      <c r="F27" s="376" t="n">
        <v>8.1</v>
      </c>
      <c r="G27" s="251">
        <f>ROUND(E27*F27,2)</f>
        <v/>
      </c>
      <c r="H27" s="250">
        <f>G27/$G$34</f>
        <v/>
      </c>
      <c r="I27" s="251">
        <f>ROUND(F27*'Прил. 10'!$D$12,2)</f>
        <v/>
      </c>
      <c r="J27" s="251">
        <f>ROUND(I27*E27,2)</f>
        <v/>
      </c>
    </row>
    <row r="28" hidden="1" outlineLevel="1" ht="26.25" customFormat="1" customHeight="1" s="299">
      <c r="A28" s="366" t="n">
        <v>11</v>
      </c>
      <c r="B28" s="241" t="inlineStr">
        <is>
          <t>91.06.03-058</t>
        </is>
      </c>
      <c r="C28" s="374" t="inlineStr">
        <is>
          <t>Лебедки электрические тяговым усилием 156,96 кН (16 т)</t>
        </is>
      </c>
      <c r="D28" s="366" t="inlineStr">
        <is>
          <t>маш.-ч</t>
        </is>
      </c>
      <c r="E28" s="456" t="n">
        <v>0.06</v>
      </c>
      <c r="F28" s="376" t="n">
        <v>131.44</v>
      </c>
      <c r="G28" s="251">
        <f>ROUND(E28*F28,2)</f>
        <v/>
      </c>
      <c r="H28" s="250">
        <f>G28/$G$34</f>
        <v/>
      </c>
      <c r="I28" s="251">
        <f>ROUND(F28*'Прил. 10'!$D$12,2)</f>
        <v/>
      </c>
      <c r="J28" s="251">
        <f>ROUND(I28*E28,2)</f>
        <v/>
      </c>
    </row>
    <row r="29" hidden="1" outlineLevel="1" ht="26.25" customFormat="1" customHeight="1" s="299">
      <c r="A29" s="366" t="n">
        <v>12</v>
      </c>
      <c r="B29" s="241" t="inlineStr">
        <is>
          <t>91.04.01-041</t>
        </is>
      </c>
      <c r="C29" s="374" t="inlineStr">
        <is>
          <t>Молотки бурильные легкие при работе от передвижных компрессорных станций</t>
        </is>
      </c>
      <c r="D29" s="366" t="inlineStr">
        <is>
          <t>маш.-ч</t>
        </is>
      </c>
      <c r="E29" s="456" t="n">
        <v>0.29</v>
      </c>
      <c r="F29" s="376" t="n">
        <v>2.99</v>
      </c>
      <c r="G29" s="251">
        <f>ROUND(E29*F29,2)</f>
        <v/>
      </c>
      <c r="H29" s="250">
        <f>G29/$G$34</f>
        <v/>
      </c>
      <c r="I29" s="251">
        <f>ROUND(F29*'Прил. 10'!$D$12,2)</f>
        <v/>
      </c>
      <c r="J29" s="251">
        <f>ROUND(I29*E29,2)</f>
        <v/>
      </c>
    </row>
    <row r="30" hidden="1" outlineLevel="1" ht="26.25" customFormat="1" customHeight="1" s="299">
      <c r="A30" s="366" t="n">
        <v>13</v>
      </c>
      <c r="B30" s="241" t="inlineStr">
        <is>
          <t>91.21.16-012</t>
        </is>
      </c>
      <c r="C30" s="374" t="inlineStr">
        <is>
          <t>Прессы гидравлические с электроприводом</t>
        </is>
      </c>
      <c r="D30" s="366" t="inlineStr">
        <is>
          <t>маш.-ч</t>
        </is>
      </c>
      <c r="E30" s="456" t="n">
        <v>0.6</v>
      </c>
      <c r="F30" s="376" t="n">
        <v>1.11</v>
      </c>
      <c r="G30" s="251">
        <f>ROUND(E30*F30,2)</f>
        <v/>
      </c>
      <c r="H30" s="250">
        <f>G30/$G$34</f>
        <v/>
      </c>
      <c r="I30" s="251">
        <f>ROUND(F30*'Прил. 10'!$D$12,2)</f>
        <v/>
      </c>
      <c r="J30" s="251">
        <f>ROUND(I30*E30,2)</f>
        <v/>
      </c>
    </row>
    <row r="31" hidden="1" outlineLevel="1" ht="26.25" customFormat="1" customHeight="1" s="299">
      <c r="A31" s="366" t="n">
        <v>14</v>
      </c>
      <c r="B31" s="241" t="inlineStr">
        <is>
          <t>91.06.03-061</t>
        </is>
      </c>
      <c r="C31" s="374" t="inlineStr">
        <is>
          <t>Лебедки электрические тяговым усилием до 12,26 кН (1,25 т)</t>
        </is>
      </c>
      <c r="D31" s="366" t="inlineStr">
        <is>
          <t>маш.-ч</t>
        </is>
      </c>
      <c r="E31" s="456" t="n">
        <v>0.11</v>
      </c>
      <c r="F31" s="376" t="n">
        <v>3.28</v>
      </c>
      <c r="G31" s="251">
        <f>ROUND(E31*F31,2)</f>
        <v/>
      </c>
      <c r="H31" s="250">
        <f>G31/$G$34</f>
        <v/>
      </c>
      <c r="I31" s="251">
        <f>ROUND(F31*'Прил. 10'!$D$12,2)</f>
        <v/>
      </c>
      <c r="J31" s="251">
        <f>ROUND(I31*E31,2)</f>
        <v/>
      </c>
    </row>
    <row r="32" hidden="1" outlineLevel="1" ht="26.25" customFormat="1" customHeight="1" s="299">
      <c r="A32" s="366" t="n">
        <v>15</v>
      </c>
      <c r="B32" s="241" t="inlineStr">
        <is>
          <t>91.06.01-003</t>
        </is>
      </c>
      <c r="C32" s="374" t="inlineStr">
        <is>
          <t>Домкраты гидравлические, грузоподъемность 63-100 т</t>
        </is>
      </c>
      <c r="D32" s="366" t="inlineStr">
        <is>
          <t>маш.-ч</t>
        </is>
      </c>
      <c r="E32" s="456" t="n">
        <v>0.11</v>
      </c>
      <c r="F32" s="376" t="n">
        <v>0.9</v>
      </c>
      <c r="G32" s="251">
        <f>ROUND(E32*F32,2)</f>
        <v/>
      </c>
      <c r="H32" s="250">
        <f>G32/$G$34</f>
        <v/>
      </c>
      <c r="I32" s="251">
        <f>ROUND(F32*'Прил. 10'!$D$12,2)</f>
        <v/>
      </c>
      <c r="J32" s="251">
        <f>ROUND(I32*E32,2)</f>
        <v/>
      </c>
    </row>
    <row r="33" collapsed="1" ht="14.25" customFormat="1" customHeight="1" s="299">
      <c r="A33" s="366" t="n"/>
      <c r="B33" s="366" t="n"/>
      <c r="C33" s="374" t="inlineStr">
        <is>
          <t>Итого прочие машины и механизмы</t>
        </is>
      </c>
      <c r="D33" s="366" t="n"/>
      <c r="E33" s="375" t="n"/>
      <c r="F33" s="251" t="n"/>
      <c r="G33" s="249">
        <f>SUM(G25:G32)</f>
        <v/>
      </c>
      <c r="H33" s="250">
        <f>G33/G34</f>
        <v/>
      </c>
      <c r="I33" s="251" t="n"/>
      <c r="J33" s="249">
        <f>SUM(J25:J32)</f>
        <v/>
      </c>
    </row>
    <row r="34" ht="25.5" customFormat="1" customHeight="1" s="299">
      <c r="A34" s="366" t="n"/>
      <c r="B34" s="366" t="n"/>
      <c r="C34" s="352" t="inlineStr">
        <is>
          <t>Итого по разделу «Машины и механизмы»</t>
        </is>
      </c>
      <c r="D34" s="366" t="n"/>
      <c r="E34" s="375" t="n"/>
      <c r="F34" s="251" t="n"/>
      <c r="G34" s="251">
        <f>G24+G33</f>
        <v/>
      </c>
      <c r="H34" s="377">
        <f>H24+H33</f>
        <v/>
      </c>
      <c r="I34" s="184" t="n"/>
      <c r="J34" s="251">
        <f>J24+J33</f>
        <v/>
      </c>
    </row>
    <row r="35" ht="14.25" customFormat="1" customHeight="1" s="299">
      <c r="A35" s="366" t="n"/>
      <c r="B35" s="352" t="inlineStr">
        <is>
          <t>Оборудование</t>
        </is>
      </c>
      <c r="C35" s="444" t="n"/>
      <c r="D35" s="444" t="n"/>
      <c r="E35" s="444" t="n"/>
      <c r="F35" s="444" t="n"/>
      <c r="G35" s="444" t="n"/>
      <c r="H35" s="445" t="n"/>
      <c r="I35" s="186" t="n"/>
      <c r="J35" s="186" t="n"/>
    </row>
    <row r="36">
      <c r="A36" s="366" t="n"/>
      <c r="B36" s="374" t="inlineStr">
        <is>
          <t>Основное оборудование</t>
        </is>
      </c>
      <c r="C36" s="444" t="n"/>
      <c r="D36" s="444" t="n"/>
      <c r="E36" s="444" t="n"/>
      <c r="F36" s="444" t="n"/>
      <c r="G36" s="444" t="n"/>
      <c r="H36" s="445" t="n"/>
      <c r="I36" s="186" t="n"/>
      <c r="J36" s="186" t="n"/>
      <c r="K36" s="299" t="n"/>
      <c r="L36" s="299" t="n"/>
    </row>
    <row r="37" ht="25.5" customFormat="1" customHeight="1" s="299">
      <c r="A37" s="366" t="n">
        <v>16</v>
      </c>
      <c r="B37" s="366" t="inlineStr">
        <is>
          <t>БЦ.47.20</t>
        </is>
      </c>
      <c r="C37" s="374" t="inlineStr">
        <is>
          <t>ПКУ 110 Кв с ТТ и ТН и передачей данных в ИВК</t>
        </is>
      </c>
      <c r="D37" s="366" t="inlineStr">
        <is>
          <t>шт</t>
        </is>
      </c>
      <c r="E37" s="457" t="n">
        <v>1</v>
      </c>
      <c r="F37" s="376">
        <f>ROUND(I37/'Прил. 10'!$D$14,2)</f>
        <v/>
      </c>
      <c r="G37" s="251">
        <f>ROUND(E37*F37,2)</f>
        <v/>
      </c>
      <c r="H37" s="250" t="n">
        <v>0</v>
      </c>
      <c r="I37" s="251" t="n">
        <v>1403949.21</v>
      </c>
      <c r="J37" s="251">
        <f>ROUND(I37*E37,2)</f>
        <v/>
      </c>
    </row>
    <row r="38">
      <c r="A38" s="366" t="n"/>
      <c r="B38" s="366" t="n"/>
      <c r="C38" s="374" t="inlineStr">
        <is>
          <t>Итого основное оборудование</t>
        </is>
      </c>
      <c r="D38" s="366" t="n"/>
      <c r="E38" s="457" t="n"/>
      <c r="F38" s="376" t="n"/>
      <c r="G38" s="251">
        <f>SUM(G37:G37)</f>
        <v/>
      </c>
      <c r="H38" s="250">
        <f>H37</f>
        <v/>
      </c>
      <c r="I38" s="249" t="n"/>
      <c r="J38" s="251">
        <f>SUM(J37:J37)</f>
        <v/>
      </c>
      <c r="K38" s="299" t="n"/>
      <c r="L38" s="299" t="n"/>
    </row>
    <row r="39">
      <c r="A39" s="366" t="n"/>
      <c r="B39" s="366" t="n"/>
      <c r="C39" s="374" t="inlineStr">
        <is>
          <t>Итого прочее оборудование</t>
        </is>
      </c>
      <c r="D39" s="366" t="n"/>
      <c r="E39" s="456" t="n"/>
      <c r="F39" s="376" t="n"/>
      <c r="G39" s="251" t="n">
        <v>0</v>
      </c>
      <c r="H39" s="250" t="n">
        <v>0</v>
      </c>
      <c r="I39" s="249" t="n"/>
      <c r="J39" s="251" t="n">
        <v>0</v>
      </c>
      <c r="K39" s="299" t="n"/>
      <c r="L39" s="299" t="n"/>
    </row>
    <row r="40">
      <c r="A40" s="366" t="n"/>
      <c r="B40" s="366" t="n"/>
      <c r="C40" s="352" t="inlineStr">
        <is>
          <t>Итого по разделу «Оборудование»</t>
        </is>
      </c>
      <c r="D40" s="366" t="n"/>
      <c r="E40" s="375" t="n"/>
      <c r="F40" s="376" t="n"/>
      <c r="G40" s="251">
        <f>G38+G39</f>
        <v/>
      </c>
      <c r="H40" s="250">
        <f>H38+H39</f>
        <v/>
      </c>
      <c r="I40" s="249" t="n"/>
      <c r="J40" s="251">
        <f>J39+J38</f>
        <v/>
      </c>
      <c r="K40" s="299" t="n"/>
      <c r="L40" s="299" t="n"/>
    </row>
    <row r="41" ht="25.5" customHeight="1" s="301">
      <c r="A41" s="366" t="n"/>
      <c r="B41" s="366" t="n"/>
      <c r="C41" s="374" t="inlineStr">
        <is>
          <t>в том числе технологическое оборудование</t>
        </is>
      </c>
      <c r="D41" s="366" t="n"/>
      <c r="E41" s="457" t="n"/>
      <c r="F41" s="376" t="n"/>
      <c r="G41" s="251">
        <f>G40</f>
        <v/>
      </c>
      <c r="H41" s="377" t="n"/>
      <c r="I41" s="249" t="n"/>
      <c r="J41" s="251">
        <f>J40</f>
        <v/>
      </c>
      <c r="K41" s="299" t="n"/>
      <c r="L41" s="299" t="n"/>
    </row>
    <row r="42" ht="14.25" customFormat="1" customHeight="1" s="299">
      <c r="A42" s="366" t="n"/>
      <c r="B42" s="352" t="inlineStr">
        <is>
          <t>Материалы</t>
        </is>
      </c>
      <c r="C42" s="444" t="n"/>
      <c r="D42" s="444" t="n"/>
      <c r="E42" s="444" t="n"/>
      <c r="F42" s="444" t="n"/>
      <c r="G42" s="444" t="n"/>
      <c r="H42" s="445" t="n"/>
      <c r="I42" s="186" t="n"/>
      <c r="J42" s="186" t="n"/>
    </row>
    <row r="43" ht="14.25" customFormat="1" customHeight="1" s="299">
      <c r="A43" s="367" t="n"/>
      <c r="B43" s="370" t="inlineStr">
        <is>
          <t>Основные материалы</t>
        </is>
      </c>
      <c r="C43" s="458" t="n"/>
      <c r="D43" s="458" t="n"/>
      <c r="E43" s="458" t="n"/>
      <c r="F43" s="458" t="n"/>
      <c r="G43" s="458" t="n"/>
      <c r="H43" s="459" t="n"/>
      <c r="I43" s="255" t="n"/>
      <c r="J43" s="255" t="n"/>
    </row>
    <row r="44" ht="34.5" customFormat="1" customHeight="1" s="299">
      <c r="A44" s="366" t="n">
        <v>17</v>
      </c>
      <c r="B44" s="366" t="inlineStr">
        <is>
          <t>Прайс из СД ОП</t>
        </is>
      </c>
      <c r="C44" s="374" t="inlineStr">
        <is>
          <t>Кабельная сборка UHF (male) – SMA (male) 10 м.</t>
        </is>
      </c>
      <c r="D44" s="366" t="inlineStr">
        <is>
          <t>шт.</t>
        </is>
      </c>
      <c r="E44" s="457" t="n">
        <v>1</v>
      </c>
      <c r="F44" s="376" t="n">
        <v>1442.2</v>
      </c>
      <c r="G44" s="251">
        <f>ROUND(E44*F44,2)</f>
        <v/>
      </c>
      <c r="H44" s="250">
        <f>G44/$G$115</f>
        <v/>
      </c>
      <c r="I44" s="251">
        <f>ROUND(F44*'Прил. 10'!$D$13,2)</f>
        <v/>
      </c>
      <c r="J44" s="251">
        <f>ROUND(I44*E44,2)</f>
        <v/>
      </c>
    </row>
    <row r="45" ht="25.5" customFormat="1" customHeight="1" s="299">
      <c r="A45" s="366" t="n">
        <v>18</v>
      </c>
      <c r="B45" s="366" t="inlineStr">
        <is>
          <t>21.2.01.01-0062</t>
        </is>
      </c>
      <c r="C45" s="374" t="inlineStr">
        <is>
          <t>Провод самонесущий изолированный СИП-4 2х16</t>
        </is>
      </c>
      <c r="D45" s="366" t="inlineStr">
        <is>
          <t>1000 м</t>
        </is>
      </c>
      <c r="E45" s="457" t="n">
        <v>0.2392</v>
      </c>
      <c r="F45" s="376" t="n">
        <v>4805.96</v>
      </c>
      <c r="G45" s="251">
        <f>ROUND(E45*F45,2)</f>
        <v/>
      </c>
      <c r="H45" s="250">
        <f>G45/$G$115</f>
        <v/>
      </c>
      <c r="I45" s="251">
        <f>ROUND(F45*'Прил. 10'!$D$13,2)</f>
        <v/>
      </c>
      <c r="J45" s="251">
        <f>ROUND(I45*E45,2)</f>
        <v/>
      </c>
    </row>
    <row r="46" ht="34.5" customFormat="1" customHeight="1" s="299">
      <c r="A46" s="366" t="n">
        <v>19</v>
      </c>
      <c r="B46" s="366" t="inlineStr">
        <is>
          <t>21.2.01.01-0065</t>
        </is>
      </c>
      <c r="C46" s="374" t="inlineStr">
        <is>
          <t>Провод самонесущий изолированный СИП 4х16-0,6/1</t>
        </is>
      </c>
      <c r="D46" s="366" t="inlineStr">
        <is>
          <t>1000 м</t>
        </is>
      </c>
      <c r="E46" s="457" t="n">
        <v>0.08400000000000001</v>
      </c>
      <c r="F46" s="376" t="n">
        <v>9524.879999999999</v>
      </c>
      <c r="G46" s="251">
        <f>ROUND(E46*F46,2)</f>
        <v/>
      </c>
      <c r="H46" s="250">
        <f>G46/$G$115</f>
        <v/>
      </c>
      <c r="I46" s="251">
        <f>ROUND(F46*'Прил. 10'!$D$13,2)</f>
        <v/>
      </c>
      <c r="J46" s="251">
        <f>ROUND(I46*E46,2)</f>
        <v/>
      </c>
    </row>
    <row r="47" ht="38.25" customFormat="1" customHeight="1" s="299">
      <c r="A47" s="366" t="n">
        <v>20</v>
      </c>
      <c r="B47" s="366" t="inlineStr">
        <is>
          <t>25.2.02.08-0004</t>
        </is>
      </c>
      <c r="C47" s="374" t="inlineStr">
        <is>
          <t>Узел крепления кронштейна, оцинкованный (Крепление на опору для шкафа)</t>
        </is>
      </c>
      <c r="D47" s="366" t="inlineStr">
        <is>
          <t>шт</t>
        </is>
      </c>
      <c r="E47" s="457" t="n">
        <v>3</v>
      </c>
      <c r="F47" s="376" t="n">
        <v>143.94</v>
      </c>
      <c r="G47" s="251">
        <f>ROUND(E47*F47,2)</f>
        <v/>
      </c>
      <c r="H47" s="250">
        <f>G47/$G$115</f>
        <v/>
      </c>
      <c r="I47" s="251">
        <f>ROUND(F47*'Прил. 10'!$D$13,2)</f>
        <v/>
      </c>
      <c r="J47" s="251">
        <f>ROUND(I47*E47,2)</f>
        <v/>
      </c>
    </row>
    <row r="48" ht="34.5" customFormat="1" customHeight="1" s="299">
      <c r="A48" s="366" t="n">
        <v>21</v>
      </c>
      <c r="B48" s="366" t="inlineStr">
        <is>
          <t>20.1.01.01-0002</t>
        </is>
      </c>
      <c r="C48" s="374" t="inlineStr">
        <is>
          <t>Зажим анкерный (СИП): PA 25х100 (Зажим анкерный ЗАБ 16-25)</t>
        </is>
      </c>
      <c r="D48" s="366" t="inlineStr">
        <is>
          <t>100 шт</t>
        </is>
      </c>
      <c r="E48" s="457" t="n">
        <v>0.22</v>
      </c>
      <c r="F48" s="376" t="n">
        <v>1927</v>
      </c>
      <c r="G48" s="251">
        <f>ROUND(E48*F48,2)</f>
        <v/>
      </c>
      <c r="H48" s="250">
        <f>G48/$G$115</f>
        <v/>
      </c>
      <c r="I48" s="251">
        <f>ROUND(F48*'Прил. 10'!$D$13,2)</f>
        <v/>
      </c>
      <c r="J48" s="251">
        <f>ROUND(I48*E48,2)</f>
        <v/>
      </c>
    </row>
    <row r="49" ht="14.25" customFormat="1" customHeight="1" s="299">
      <c r="A49" s="366" t="n">
        <v>22</v>
      </c>
      <c r="B49" s="366" t="inlineStr">
        <is>
          <t>25.2.02.04-0011</t>
        </is>
      </c>
      <c r="C49" s="374" t="inlineStr">
        <is>
          <t>Кронштейн анкерный (СИП), марка CA 16</t>
        </is>
      </c>
      <c r="D49" s="366" t="inlineStr">
        <is>
          <t>шт</t>
        </is>
      </c>
      <c r="E49" s="457" t="n">
        <v>8</v>
      </c>
      <c r="F49" s="376" t="n">
        <v>34.91</v>
      </c>
      <c r="G49" s="251">
        <f>ROUND(E49*F49,2)</f>
        <v/>
      </c>
      <c r="H49" s="250">
        <f>G49/$G$115</f>
        <v/>
      </c>
      <c r="I49" s="251">
        <f>ROUND(F49*'Прил. 10'!$D$13,2)</f>
        <v/>
      </c>
      <c r="J49" s="251">
        <f>ROUND(I49*E49,2)</f>
        <v/>
      </c>
    </row>
    <row r="50" ht="34.5" customFormat="1" customHeight="1" s="299">
      <c r="A50" s="366" t="n">
        <v>23</v>
      </c>
      <c r="B50" s="366" t="inlineStr">
        <is>
          <t>25.2.02.11-0021</t>
        </is>
      </c>
      <c r="C50" s="374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50" s="366" t="inlineStr">
        <is>
          <t>шт</t>
        </is>
      </c>
      <c r="E50" s="457" t="n">
        <v>0.28</v>
      </c>
      <c r="F50" s="376" t="n">
        <v>943.0599999999999</v>
      </c>
      <c r="G50" s="251">
        <f>ROUND(E50*F50,2)</f>
        <v/>
      </c>
      <c r="H50" s="250">
        <f>G50/$G$115</f>
        <v/>
      </c>
      <c r="I50" s="251">
        <f>ROUND(F50*'Прил. 10'!$D$13,2)</f>
        <v/>
      </c>
      <c r="J50" s="251">
        <f>ROUND(I50*E50,2)</f>
        <v/>
      </c>
    </row>
    <row r="51" ht="14.25" customFormat="1" customHeight="1" s="299">
      <c r="A51" s="366" t="n">
        <v>24</v>
      </c>
      <c r="B51" s="366" t="inlineStr">
        <is>
          <t>22.2.01.06-0001</t>
        </is>
      </c>
      <c r="C51" s="374" t="inlineStr">
        <is>
          <t>Изолятор такелажный ИТ-30</t>
        </is>
      </c>
      <c r="D51" s="366" t="inlineStr">
        <is>
          <t>100 шт</t>
        </is>
      </c>
      <c r="E51" s="457" t="n">
        <v>0.12</v>
      </c>
      <c r="F51" s="376" t="n">
        <v>1377.19</v>
      </c>
      <c r="G51" s="251">
        <f>ROUND(E51*F51,2)</f>
        <v/>
      </c>
      <c r="H51" s="250">
        <f>G51/$G$115</f>
        <v/>
      </c>
      <c r="I51" s="251">
        <f>ROUND(F51*'Прил. 10'!$D$13,2)</f>
        <v/>
      </c>
      <c r="J51" s="251">
        <f>ROUND(I51*E51,2)</f>
        <v/>
      </c>
    </row>
    <row r="52" ht="34.5" customFormat="1" customHeight="1" s="299">
      <c r="A52" s="366" t="n">
        <v>25</v>
      </c>
      <c r="B52" s="366" t="inlineStr">
        <is>
          <t>25.2.02.08-0003</t>
        </is>
      </c>
      <c r="C52" s="374" t="inlineStr">
        <is>
          <t>Узел крепления: кронштейна окрашенный (Стеновой кронштейн СК-42-300 )</t>
        </is>
      </c>
      <c r="D52" s="366" t="inlineStr">
        <is>
          <t>шт</t>
        </is>
      </c>
      <c r="E52" s="457" t="n">
        <v>1</v>
      </c>
      <c r="F52" s="376" t="n">
        <v>128.79</v>
      </c>
      <c r="G52" s="251">
        <f>ROUND(E52*F52,2)</f>
        <v/>
      </c>
      <c r="H52" s="250">
        <f>G52/$G$115</f>
        <v/>
      </c>
      <c r="I52" s="251">
        <f>ROUND(F52*'Прил. 10'!$D$13,2)</f>
        <v/>
      </c>
      <c r="J52" s="251">
        <f>ROUND(I52*E52,2)</f>
        <v/>
      </c>
    </row>
    <row r="53" ht="34.5" customFormat="1" customHeight="1" s="299">
      <c r="A53" s="366" t="n">
        <v>26</v>
      </c>
      <c r="B53" s="366" t="inlineStr">
        <is>
          <t>21.1.08.03-0364</t>
        </is>
      </c>
      <c r="C53" s="374" t="inlineStr">
        <is>
          <t>Кабель контрольный КВВГ 10х2,5</t>
        </is>
      </c>
      <c r="D53" s="366" t="inlineStr">
        <is>
          <t>1000 м</t>
        </is>
      </c>
      <c r="E53" s="457" t="n">
        <v>0.005</v>
      </c>
      <c r="F53" s="376" t="n">
        <v>25699.92</v>
      </c>
      <c r="G53" s="251">
        <f>ROUND(E53*F53,2)</f>
        <v/>
      </c>
      <c r="H53" s="250">
        <f>G53/$G$115</f>
        <v/>
      </c>
      <c r="I53" s="251">
        <f>ROUND(F53*'Прил. 10'!$D$13,2)</f>
        <v/>
      </c>
      <c r="J53" s="251">
        <f>ROUND(I53*E53,2)</f>
        <v/>
      </c>
    </row>
    <row r="54" ht="51" customFormat="1" customHeight="1" s="299">
      <c r="A54" s="366" t="n">
        <v>27</v>
      </c>
      <c r="B54" s="366" t="inlineStr">
        <is>
          <t>21.2.03.05-0053</t>
        </is>
      </c>
      <c r="C54" s="374" t="inlineStr">
        <is>
          <t>Провода силовые для электрических установок на напряжение до 450 В с медной жилой марки: ПВ1, сечением 10 мм2</t>
        </is>
      </c>
      <c r="D54" s="366" t="inlineStr">
        <is>
          <t>1000 м</t>
        </is>
      </c>
      <c r="E54" s="457" t="n">
        <v>0.0147</v>
      </c>
      <c r="F54" s="376" t="n">
        <v>8454.870000000001</v>
      </c>
      <c r="G54" s="251">
        <f>ROUND(E54*F54,2)</f>
        <v/>
      </c>
      <c r="H54" s="250">
        <f>G54/$G$115</f>
        <v/>
      </c>
      <c r="I54" s="251">
        <f>ROUND(F54*'Прил. 10'!$D$13,2)</f>
        <v/>
      </c>
      <c r="J54" s="251">
        <f>ROUND(I54*E54,2)</f>
        <v/>
      </c>
    </row>
    <row r="55" ht="34.5" customFormat="1" customHeight="1" s="299">
      <c r="A55" s="366" t="n">
        <v>28</v>
      </c>
      <c r="B55" s="366" t="inlineStr">
        <is>
          <t>20.2.12.03-0012</t>
        </is>
      </c>
      <c r="C55" s="374" t="inlineStr">
        <is>
          <t>Трубы гибкие гофрированные из ПВХ, диаметр 25 мм</t>
        </is>
      </c>
      <c r="D55" s="366" t="inlineStr">
        <is>
          <t>м</t>
        </is>
      </c>
      <c r="E55" s="457" t="n">
        <v>55</v>
      </c>
      <c r="F55" s="376" t="n">
        <v>2.17</v>
      </c>
      <c r="G55" s="251">
        <f>ROUND(E55*F55,2)</f>
        <v/>
      </c>
      <c r="H55" s="250">
        <f>G55/$G$115</f>
        <v/>
      </c>
      <c r="I55" s="251">
        <f>ROUND(F55*'Прил. 10'!$D$13,2)</f>
        <v/>
      </c>
      <c r="J55" s="251">
        <f>ROUND(I55*E55,2)</f>
        <v/>
      </c>
    </row>
    <row r="56" ht="25.5" customFormat="1" customHeight="1" s="299">
      <c r="A56" s="366" t="n">
        <v>29</v>
      </c>
      <c r="B56" s="366" t="inlineStr">
        <is>
          <t>20.5.04.09-0004</t>
        </is>
      </c>
      <c r="C56" s="374" t="inlineStr">
        <is>
          <t>Сжим типа У734М, для магистральных и ответвительных проводов и кабелей</t>
        </is>
      </c>
      <c r="D56" s="366" t="inlineStr">
        <is>
          <t>100 шт</t>
        </is>
      </c>
      <c r="E56" s="457" t="n">
        <v>0.52</v>
      </c>
      <c r="F56" s="376" t="n">
        <v>224.03</v>
      </c>
      <c r="G56" s="251">
        <f>ROUND(E56*F56,2)</f>
        <v/>
      </c>
      <c r="H56" s="250">
        <f>G56/$G$115</f>
        <v/>
      </c>
      <c r="I56" s="251">
        <f>ROUND(F56*'Прил. 10'!$D$13,2)</f>
        <v/>
      </c>
      <c r="J56" s="251">
        <f>ROUND(I56*E56,2)</f>
        <v/>
      </c>
    </row>
    <row r="57" ht="34.5" customFormat="1" customHeight="1" s="299">
      <c r="A57" s="366" t="n">
        <v>30</v>
      </c>
      <c r="B57" s="366" t="inlineStr">
        <is>
          <t>22.2.02.15-0003</t>
        </is>
      </c>
      <c r="C57" s="374" t="inlineStr">
        <is>
          <t>Скрепы фигурные СкФ-30</t>
        </is>
      </c>
      <c r="D57" s="366" t="inlineStr">
        <is>
          <t>100 шт</t>
        </is>
      </c>
      <c r="E57" s="457" t="n">
        <v>0.7238</v>
      </c>
      <c r="F57" s="376" t="n">
        <v>155.74</v>
      </c>
      <c r="G57" s="251">
        <f>ROUND(E57*F57,2)</f>
        <v/>
      </c>
      <c r="H57" s="250">
        <f>G57/$G$115</f>
        <v/>
      </c>
      <c r="I57" s="251">
        <f>ROUND(F57*'Прил. 10'!$D$13,2)</f>
        <v/>
      </c>
      <c r="J57" s="251">
        <f>ROUND(I57*E57,2)</f>
        <v/>
      </c>
    </row>
    <row r="58" ht="25.5" customFormat="1" customHeight="1" s="299">
      <c r="A58" s="366" t="n">
        <v>31</v>
      </c>
      <c r="B58" s="366" t="inlineStr">
        <is>
          <t>01.7.15.07-0012</t>
        </is>
      </c>
      <c r="C58" s="374" t="inlineStr">
        <is>
          <t>Дюбели пластмассовые с шурупами, размер 12х70 мм</t>
        </is>
      </c>
      <c r="D58" s="366" t="inlineStr">
        <is>
          <t>100 шт</t>
        </is>
      </c>
      <c r="E58" s="457" t="n">
        <v>1.1561</v>
      </c>
      <c r="F58" s="376" t="n">
        <v>83</v>
      </c>
      <c r="G58" s="251">
        <f>ROUND(E58*F58,2)</f>
        <v/>
      </c>
      <c r="H58" s="250">
        <f>G58/$G$115</f>
        <v/>
      </c>
      <c r="I58" s="251">
        <f>ROUND(F58*'Прил. 10'!$D$13,2)</f>
        <v/>
      </c>
      <c r="J58" s="251">
        <f>ROUND(I58*E58,2)</f>
        <v/>
      </c>
    </row>
    <row r="59" ht="34.5" customFormat="1" customHeight="1" s="299">
      <c r="A59" s="366" t="n">
        <v>32</v>
      </c>
      <c r="B59" s="366" t="inlineStr">
        <is>
          <t>20.5.04.03-0001</t>
        </is>
      </c>
      <c r="C59" s="374" t="inlineStr">
        <is>
          <t>Зажим наборный испытательный ЗН24-4И25 (Клеммный зажим ЗНИ-4)</t>
        </is>
      </c>
      <c r="D59" s="366" t="inlineStr">
        <is>
          <t>100 шт</t>
        </is>
      </c>
      <c r="E59" s="457" t="n">
        <v>0.1</v>
      </c>
      <c r="F59" s="376" t="n">
        <v>848</v>
      </c>
      <c r="G59" s="251">
        <f>ROUND(E59*F59,2)</f>
        <v/>
      </c>
      <c r="H59" s="250">
        <f>G59/$G$115</f>
        <v/>
      </c>
      <c r="I59" s="251">
        <f>ROUND(F59*'Прил. 10'!$D$13,2)</f>
        <v/>
      </c>
      <c r="J59" s="251">
        <f>ROUND(I59*E59,2)</f>
        <v/>
      </c>
    </row>
    <row r="60" ht="14.25" customFormat="1" customHeight="1" s="299">
      <c r="A60" s="368" t="n"/>
      <c r="B60" s="257" t="n"/>
      <c r="C60" s="258" t="inlineStr">
        <is>
          <t>Итого основные материалы</t>
        </is>
      </c>
      <c r="D60" s="368" t="n"/>
      <c r="E60" s="460" t="n"/>
      <c r="F60" s="262" t="n"/>
      <c r="G60" s="262">
        <f>SUM(G44:G59)</f>
        <v/>
      </c>
      <c r="H60" s="250">
        <f>G60/$G$115</f>
        <v/>
      </c>
      <c r="I60" s="251" t="n"/>
      <c r="J60" s="262">
        <f>SUM(J44:J59)</f>
        <v/>
      </c>
    </row>
    <row r="61" hidden="1" outlineLevel="1" ht="25.5" customFormat="1" customHeight="1" s="299">
      <c r="A61" s="366" t="n">
        <v>33</v>
      </c>
      <c r="B61" s="217" t="inlineStr">
        <is>
          <t>25.2.02.11-0051</t>
        </is>
      </c>
      <c r="C61" s="218" t="inlineStr">
        <is>
          <t>Скрепа для фиксации на промежуточных опорах, размер 20 мм (Скрепа СУ-20)</t>
        </is>
      </c>
      <c r="D61" s="387" t="inlineStr">
        <is>
          <t>100 шт</t>
        </is>
      </c>
      <c r="E61" s="217" t="n">
        <v>0.14</v>
      </c>
      <c r="F61" s="283" t="n">
        <v>582</v>
      </c>
      <c r="G61" s="251">
        <f>ROUND(E61*F61,2)</f>
        <v/>
      </c>
      <c r="H61" s="250">
        <f>G61/$G$115</f>
        <v/>
      </c>
      <c r="I61" s="251">
        <f>ROUND(F61*'Прил. 10'!$D$13,2)</f>
        <v/>
      </c>
      <c r="J61" s="251">
        <f>ROUND(I61*E61,2)</f>
        <v/>
      </c>
    </row>
    <row r="62" hidden="1" outlineLevel="1" ht="21.75" customFormat="1" customHeight="1" s="299">
      <c r="A62" s="366" t="n">
        <v>34</v>
      </c>
      <c r="B62" s="217" t="inlineStr">
        <is>
          <t>07.2.07.04-0007</t>
        </is>
      </c>
      <c r="C62" s="218" t="inlineStr">
        <is>
          <t>Конструкции стальные индивидуальные решетчатые сварные, масса до 0,1 т</t>
        </is>
      </c>
      <c r="D62" s="387" t="inlineStr">
        <is>
          <t>т</t>
        </is>
      </c>
      <c r="E62" s="217" t="n">
        <v>0.007</v>
      </c>
      <c r="F62" s="283" t="n">
        <v>11500</v>
      </c>
      <c r="G62" s="251">
        <f>ROUND(E62*F62,2)</f>
        <v/>
      </c>
      <c r="H62" s="250">
        <f>G62/$G$115</f>
        <v/>
      </c>
      <c r="I62" s="251">
        <f>ROUND(F62*'Прил. 10'!$D$13,2)</f>
        <v/>
      </c>
      <c r="J62" s="251">
        <f>ROUND(I62*E62,2)</f>
        <v/>
      </c>
    </row>
    <row r="63" hidden="1" outlineLevel="1" ht="25.5" customFormat="1" customHeight="1" s="299">
      <c r="A63" s="366" t="n">
        <v>35</v>
      </c>
      <c r="B63" s="217" t="inlineStr">
        <is>
          <t>20.2.10.01-0011</t>
        </is>
      </c>
      <c r="C63" s="218" t="inlineStr">
        <is>
          <t>Наконечники кабельные алюминиевые ТА 16-8-5,4</t>
        </is>
      </c>
      <c r="D63" s="387" t="inlineStr">
        <is>
          <t>100 шт</t>
        </is>
      </c>
      <c r="E63" s="217" t="n">
        <v>0.5600000000000001</v>
      </c>
      <c r="F63" s="283" t="n">
        <v>135.92</v>
      </c>
      <c r="G63" s="251">
        <f>ROUND(E63*F63,2)</f>
        <v/>
      </c>
      <c r="H63" s="250">
        <f>G63/$G$115</f>
        <v/>
      </c>
      <c r="I63" s="251">
        <f>ROUND(F63*'Прил. 10'!$D$13,2)</f>
        <v/>
      </c>
      <c r="J63" s="251">
        <f>ROUND(I63*E63,2)</f>
        <v/>
      </c>
    </row>
    <row r="64" hidden="1" outlineLevel="1" ht="51" customFormat="1" customHeight="1" s="299">
      <c r="A64" s="366" t="n">
        <v>36</v>
      </c>
      <c r="B64" s="217" t="inlineStr">
        <is>
          <t>20.5.02.06-0002</t>
        </is>
      </c>
      <c r="C64" s="218" t="inlineStr">
        <is>
          <t>Коробка разветвительная для открытой проводки KP 2604 "HEGEL" размером 100х100х50 мм (Коробка монтажная КМ41234 IP55)</t>
        </is>
      </c>
      <c r="D64" s="387" t="inlineStr">
        <is>
          <t>10 шт</t>
        </is>
      </c>
      <c r="E64" s="217" t="n">
        <v>0.8</v>
      </c>
      <c r="F64" s="283" t="n">
        <v>88</v>
      </c>
      <c r="G64" s="251">
        <f>ROUND(E64*F64,2)</f>
        <v/>
      </c>
      <c r="H64" s="250">
        <f>G64/$G$115</f>
        <v/>
      </c>
      <c r="I64" s="251">
        <f>ROUND(F64*'Прил. 10'!$D$13,2)</f>
        <v/>
      </c>
      <c r="J64" s="251">
        <f>ROUND(I64*E64,2)</f>
        <v/>
      </c>
    </row>
    <row r="65" hidden="1" outlineLevel="1" ht="21.75" customFormat="1" customHeight="1" s="299">
      <c r="A65" s="366" t="n">
        <v>37</v>
      </c>
      <c r="B65" s="217" t="inlineStr">
        <is>
          <t>20.5.04.09-0003</t>
        </is>
      </c>
      <c r="C65" s="218" t="inlineStr">
        <is>
          <t>Сжим типа У733М, для магистральных и ответвительных проводов и кабелей</t>
        </is>
      </c>
      <c r="D65" s="387" t="inlineStr">
        <is>
          <t>100 шт</t>
        </is>
      </c>
      <c r="E65" s="217" t="n">
        <v>0.28</v>
      </c>
      <c r="F65" s="283" t="n">
        <v>223.94</v>
      </c>
      <c r="G65" s="251">
        <f>ROUND(E65*F65,2)</f>
        <v/>
      </c>
      <c r="H65" s="250">
        <f>G65/$G$115</f>
        <v/>
      </c>
      <c r="I65" s="251">
        <f>ROUND(F65*'Прил. 10'!$D$13,2)</f>
        <v/>
      </c>
      <c r="J65" s="251">
        <f>ROUND(I65*E65,2)</f>
        <v/>
      </c>
    </row>
    <row r="66" hidden="1" outlineLevel="1" ht="14.25" customFormat="1" customHeight="1" s="299">
      <c r="A66" s="366" t="n">
        <v>38</v>
      </c>
      <c r="B66" s="217" t="inlineStr">
        <is>
          <t>20.2.10.03-0020</t>
        </is>
      </c>
      <c r="C66" s="218" t="inlineStr">
        <is>
          <t>Наконечники кабельные П2.5-4Д-МУ3</t>
        </is>
      </c>
      <c r="D66" s="387" t="inlineStr">
        <is>
          <t>100 шт</t>
        </is>
      </c>
      <c r="E66" s="217" t="n">
        <v>0.3</v>
      </c>
      <c r="F66" s="283" t="n">
        <v>203</v>
      </c>
      <c r="G66" s="251">
        <f>ROUND(E66*F66,2)</f>
        <v/>
      </c>
      <c r="H66" s="250">
        <f>G66/$G$115</f>
        <v/>
      </c>
      <c r="I66" s="251">
        <f>ROUND(F66*'Прил. 10'!$D$13,2)</f>
        <v/>
      </c>
      <c r="J66" s="251">
        <f>ROUND(I66*E66,2)</f>
        <v/>
      </c>
    </row>
    <row r="67" hidden="1" outlineLevel="1" ht="25.5" customFormat="1" customHeight="1" s="299">
      <c r="A67" s="366" t="n">
        <v>39</v>
      </c>
      <c r="B67" s="217" t="inlineStr">
        <is>
          <t>999-9950</t>
        </is>
      </c>
      <c r="C67" s="218" t="inlineStr">
        <is>
          <t>Вспомогательные ненормируемые ресурсы (2% от Оплаты труда рабочих)</t>
        </is>
      </c>
      <c r="D67" s="387" t="inlineStr">
        <is>
          <t>руб.</t>
        </is>
      </c>
      <c r="E67" s="217" t="n">
        <v>53.1053</v>
      </c>
      <c r="F67" s="283" t="n">
        <v>1</v>
      </c>
      <c r="G67" s="251">
        <f>ROUND(E67*F67,2)</f>
        <v/>
      </c>
      <c r="H67" s="250">
        <f>G67/$G$115</f>
        <v/>
      </c>
      <c r="I67" s="251">
        <f>ROUND(F67*'Прил. 10'!$D$13,2)</f>
        <v/>
      </c>
      <c r="J67" s="251">
        <f>ROUND(I67*E67,2)</f>
        <v/>
      </c>
    </row>
    <row r="68" hidden="1" outlineLevel="1" ht="21.75" customFormat="1" customHeight="1" s="299">
      <c r="A68" s="366" t="n">
        <v>40</v>
      </c>
      <c r="B68" s="217" t="inlineStr">
        <is>
          <t>01.7.15.03-0047</t>
        </is>
      </c>
      <c r="C68" s="218" t="inlineStr">
        <is>
          <t>Болты строительные с гайками черные размером 20х75-100 мм</t>
        </is>
      </c>
      <c r="D68" s="387" t="inlineStr">
        <is>
          <t>кг</t>
        </is>
      </c>
      <c r="E68" s="217" t="n">
        <v>2.31</v>
      </c>
      <c r="F68" s="283" t="n">
        <v>22.69</v>
      </c>
      <c r="G68" s="251">
        <f>ROUND(E68*F68,2)</f>
        <v/>
      </c>
      <c r="H68" s="250">
        <f>G68/$G$115</f>
        <v/>
      </c>
      <c r="I68" s="251">
        <f>ROUND(F68*'Прил. 10'!$D$13,2)</f>
        <v/>
      </c>
      <c r="J68" s="251">
        <f>ROUND(I68*E68,2)</f>
        <v/>
      </c>
    </row>
    <row r="69" hidden="1" outlineLevel="1" ht="38.25" customFormat="1" customHeight="1" s="299">
      <c r="A69" s="366" t="n">
        <v>41</v>
      </c>
      <c r="B69" s="217" t="inlineStr">
        <is>
          <t>21.1.04.01-0007</t>
        </is>
      </c>
      <c r="C69" s="218" t="inlineStr">
        <is>
          <t>Кабель компьютерный (витая пара) FTP25-C3-SOLID-INDOOR EuroLine (FTP4-C5E-SOLID-OUTDOOR-40)</t>
        </is>
      </c>
      <c r="D69" s="387" t="inlineStr">
        <is>
          <t>1000 м</t>
        </is>
      </c>
      <c r="E69" s="217" t="n">
        <v>0.002</v>
      </c>
      <c r="F69" s="283" t="n">
        <v>22187.69</v>
      </c>
      <c r="G69" s="251">
        <f>ROUND(E69*F69,2)</f>
        <v/>
      </c>
      <c r="H69" s="250">
        <f>G69/$G$115</f>
        <v/>
      </c>
      <c r="I69" s="251">
        <f>ROUND(F69*'Прил. 10'!$D$13,2)</f>
        <v/>
      </c>
      <c r="J69" s="251">
        <f>ROUND(I69*E69,2)</f>
        <v/>
      </c>
    </row>
    <row r="70" hidden="1" outlineLevel="1" ht="21.75" customFormat="1" customHeight="1" s="299">
      <c r="A70" s="366" t="n">
        <v>42</v>
      </c>
      <c r="B70" s="217" t="inlineStr">
        <is>
          <t>20.5.02.02-0004</t>
        </is>
      </c>
      <c r="C70" s="218" t="inlineStr">
        <is>
          <t>Коробки испытательные, сечение проводов 0,5-4,0 мм2, размер 68х220х33 мм (Колодка испытательная переходная КИ У3)</t>
        </is>
      </c>
      <c r="D70" s="387" t="inlineStr">
        <is>
          <t>шт</t>
        </is>
      </c>
      <c r="E70" s="217" t="n">
        <v>1</v>
      </c>
      <c r="F70" s="283" t="n">
        <v>40.18</v>
      </c>
      <c r="G70" s="251">
        <f>ROUND(E70*F70,2)</f>
        <v/>
      </c>
      <c r="H70" s="250">
        <f>G70/$G$115</f>
        <v/>
      </c>
      <c r="I70" s="251">
        <f>ROUND(F70*'Прил. 10'!$D$13,2)</f>
        <v/>
      </c>
      <c r="J70" s="251">
        <f>ROUND(I70*E70,2)</f>
        <v/>
      </c>
    </row>
    <row r="71" hidden="1" outlineLevel="1" ht="14.25" customFormat="1" customHeight="1" s="299">
      <c r="A71" s="366" t="n">
        <v>43</v>
      </c>
      <c r="B71" s="217" t="inlineStr">
        <is>
          <t>01.7.15.03-0042</t>
        </is>
      </c>
      <c r="C71" s="218" t="inlineStr">
        <is>
          <t>Болты с гайками и шайбами строительные</t>
        </is>
      </c>
      <c r="D71" s="387" t="inlineStr">
        <is>
          <t>кг</t>
        </is>
      </c>
      <c r="E71" s="217" t="n">
        <v>3.649</v>
      </c>
      <c r="F71" s="283" t="n">
        <v>9.039999999999999</v>
      </c>
      <c r="G71" s="251">
        <f>ROUND(E71*F71,2)</f>
        <v/>
      </c>
      <c r="H71" s="250">
        <f>G71/$G$115</f>
        <v/>
      </c>
      <c r="I71" s="251">
        <f>ROUND(F71*'Прил. 10'!$D$13,2)</f>
        <v/>
      </c>
      <c r="J71" s="251">
        <f>ROUND(I71*E71,2)</f>
        <v/>
      </c>
    </row>
    <row r="72" hidden="1" outlineLevel="1" ht="25.5" customFormat="1" customHeight="1" s="299">
      <c r="A72" s="366" t="n">
        <v>44</v>
      </c>
      <c r="B72" s="217" t="inlineStr">
        <is>
          <t>21.2.03.05-0073</t>
        </is>
      </c>
      <c r="C72" s="218" t="inlineStr">
        <is>
          <t>Провод силовой установочный с медными жилами ПВ3 16-450</t>
        </is>
      </c>
      <c r="D72" s="387" t="inlineStr">
        <is>
          <t>1000 м</t>
        </is>
      </c>
      <c r="E72" s="217" t="n">
        <v>0.0027</v>
      </c>
      <c r="F72" s="283" t="n">
        <v>12127</v>
      </c>
      <c r="G72" s="251">
        <f>ROUND(E72*F72,2)</f>
        <v/>
      </c>
      <c r="H72" s="250">
        <f>G72/$G$115</f>
        <v/>
      </c>
      <c r="I72" s="251">
        <f>ROUND(F72*'Прил. 10'!$D$13,2)</f>
        <v/>
      </c>
      <c r="J72" s="251">
        <f>ROUND(I72*E72,2)</f>
        <v/>
      </c>
    </row>
    <row r="73" hidden="1" outlineLevel="1" ht="21.75" customFormat="1" customHeight="1" s="299">
      <c r="A73" s="366" t="n">
        <v>45</v>
      </c>
      <c r="B73" s="217" t="inlineStr">
        <is>
          <t>20.1.02.23-0082</t>
        </is>
      </c>
      <c r="C73" s="218" t="inlineStr">
        <is>
          <t>Перемычки гибкие, тип ПГС-50</t>
        </is>
      </c>
      <c r="D73" s="387" t="inlineStr">
        <is>
          <t>10 шт</t>
        </is>
      </c>
      <c r="E73" s="217" t="n">
        <v>0.7</v>
      </c>
      <c r="F73" s="283" t="n">
        <v>39</v>
      </c>
      <c r="G73" s="251">
        <f>ROUND(E73*F73,2)</f>
        <v/>
      </c>
      <c r="H73" s="250">
        <f>G73/$G$115</f>
        <v/>
      </c>
      <c r="I73" s="251">
        <f>ROUND(F73*'Прил. 10'!$D$13,2)</f>
        <v/>
      </c>
      <c r="J73" s="251">
        <f>ROUND(I73*E73,2)</f>
        <v/>
      </c>
    </row>
    <row r="74" hidden="1" outlineLevel="1" ht="51" customFormat="1" customHeight="1" s="299">
      <c r="A74" s="366" t="n">
        <v>46</v>
      </c>
      <c r="B74" s="217" t="inlineStr">
        <is>
          <t>20.5.02.06-0002</t>
        </is>
      </c>
      <c r="C74" s="218" t="inlineStr">
        <is>
          <t>Коробка разветвительная для открытой проводки KP 2604 "HEGEL" размером 100х100х50 мм (Коробка монтажная КМ41242 IP55)</t>
        </is>
      </c>
      <c r="D74" s="387" t="inlineStr">
        <is>
          <t>10 шт</t>
        </is>
      </c>
      <c r="E74" s="217" t="n">
        <v>0.3</v>
      </c>
      <c r="F74" s="283" t="n">
        <v>88</v>
      </c>
      <c r="G74" s="251">
        <f>ROUND(E74*F74,2)</f>
        <v/>
      </c>
      <c r="H74" s="250">
        <f>G74/$G$115</f>
        <v/>
      </c>
      <c r="I74" s="251">
        <f>ROUND(F74*'Прил. 10'!$D$13,2)</f>
        <v/>
      </c>
      <c r="J74" s="251">
        <f>ROUND(I74*E74,2)</f>
        <v/>
      </c>
    </row>
    <row r="75" hidden="1" outlineLevel="1" ht="14.25" customFormat="1" customHeight="1" s="299">
      <c r="A75" s="366" t="n">
        <v>47</v>
      </c>
      <c r="B75" s="217" t="inlineStr">
        <is>
          <t>01.7.15.07-0014</t>
        </is>
      </c>
      <c r="C75" s="218" t="inlineStr">
        <is>
          <t>Дюбели распорные полипропиленовые</t>
        </is>
      </c>
      <c r="D75" s="387" t="inlineStr">
        <is>
          <t>100 шт</t>
        </is>
      </c>
      <c r="E75" s="217" t="n">
        <v>0.232</v>
      </c>
      <c r="F75" s="283" t="n">
        <v>86</v>
      </c>
      <c r="G75" s="251">
        <f>ROUND(E75*F75,2)</f>
        <v/>
      </c>
      <c r="H75" s="250">
        <f>G75/$G$115</f>
        <v/>
      </c>
      <c r="I75" s="251">
        <f>ROUND(F75*'Прил. 10'!$D$13,2)</f>
        <v/>
      </c>
      <c r="J75" s="251">
        <f>ROUND(I75*E75,2)</f>
        <v/>
      </c>
    </row>
    <row r="76" hidden="1" outlineLevel="1" ht="21.75" customFormat="1" customHeight="1" s="299">
      <c r="A76" s="366" t="n">
        <v>48</v>
      </c>
      <c r="B76" s="217" t="inlineStr">
        <is>
          <t>21.2.03.05-0047</t>
        </is>
      </c>
      <c r="C76" s="218" t="inlineStr">
        <is>
          <t>Провод силовой установочный с медными жилами ПВ1 2,5-450</t>
        </is>
      </c>
      <c r="D76" s="387" t="inlineStr">
        <is>
          <t>1000 м</t>
        </is>
      </c>
      <c r="E76" s="217" t="n">
        <v>0.008</v>
      </c>
      <c r="F76" s="283" t="n">
        <v>2079.72</v>
      </c>
      <c r="G76" s="251">
        <f>ROUND(E76*F76,2)</f>
        <v/>
      </c>
      <c r="H76" s="250">
        <f>G76/$G$115</f>
        <v/>
      </c>
      <c r="I76" s="251">
        <f>ROUND(F76*'Прил. 10'!$D$13,2)</f>
        <v/>
      </c>
      <c r="J76" s="251">
        <f>ROUND(I76*E76,2)</f>
        <v/>
      </c>
    </row>
    <row r="77" hidden="1" outlineLevel="1" ht="25.5" customFormat="1" customHeight="1" s="299">
      <c r="A77" s="366" t="n">
        <v>49</v>
      </c>
      <c r="B77" s="217" t="inlineStr">
        <is>
          <t>21.1.06.09-0092</t>
        </is>
      </c>
      <c r="C77" s="218" t="inlineStr">
        <is>
          <t>Кабель силовой с медными жилами ВВГнг 2х2,5-660</t>
        </is>
      </c>
      <c r="D77" s="387" t="inlineStr">
        <is>
          <t>1000 м</t>
        </is>
      </c>
      <c r="E77" s="217" t="n">
        <v>0.005</v>
      </c>
      <c r="F77" s="283" t="n">
        <v>3320.02</v>
      </c>
      <c r="G77" s="251">
        <f>ROUND(E77*F77,2)</f>
        <v/>
      </c>
      <c r="H77" s="250">
        <f>G77/$G$115</f>
        <v/>
      </c>
      <c r="I77" s="251">
        <f>ROUND(F77*'Прил. 10'!$D$13,2)</f>
        <v/>
      </c>
      <c r="J77" s="251">
        <f>ROUND(I77*E77,2)</f>
        <v/>
      </c>
    </row>
    <row r="78" hidden="1" outlineLevel="1" ht="21.75" customFormat="1" customHeight="1" s="299">
      <c r="A78" s="366" t="n">
        <v>50</v>
      </c>
      <c r="B78" s="217" t="inlineStr">
        <is>
          <t>20.2.02.07-0042</t>
        </is>
      </c>
      <c r="C78" s="218" t="inlineStr">
        <is>
          <t>Стопор концевой WEW 35/2 (Ограничитель на DIN-рейку)</t>
        </is>
      </c>
      <c r="D78" s="387" t="inlineStr">
        <is>
          <t>100 шт</t>
        </is>
      </c>
      <c r="E78" s="217" t="n">
        <v>0.02</v>
      </c>
      <c r="F78" s="283" t="n">
        <v>771</v>
      </c>
      <c r="G78" s="251">
        <f>ROUND(E78*F78,2)</f>
        <v/>
      </c>
      <c r="H78" s="250">
        <f>G78/$G$115</f>
        <v/>
      </c>
      <c r="I78" s="251">
        <f>ROUND(F78*'Прил. 10'!$D$13,2)</f>
        <v/>
      </c>
      <c r="J78" s="251">
        <f>ROUND(I78*E78,2)</f>
        <v/>
      </c>
    </row>
    <row r="79" hidden="1" outlineLevel="1" ht="25.5" customFormat="1" customHeight="1" s="299">
      <c r="A79" s="366" t="n">
        <v>51</v>
      </c>
      <c r="B79" s="217" t="inlineStr">
        <is>
          <t>10.3.02.03-0012</t>
        </is>
      </c>
      <c r="C79" s="218" t="inlineStr">
        <is>
          <t>Припои оловянно-свинцовые бессурьмянистые, марка ПОС40</t>
        </is>
      </c>
      <c r="D79" s="387" t="inlineStr">
        <is>
          <t>т</t>
        </is>
      </c>
      <c r="E79" s="217" t="n">
        <v>0.00019</v>
      </c>
      <c r="F79" s="283" t="n">
        <v>65750</v>
      </c>
      <c r="G79" s="251">
        <f>ROUND(E79*F79,2)</f>
        <v/>
      </c>
      <c r="H79" s="250">
        <f>G79/$G$115</f>
        <v/>
      </c>
      <c r="I79" s="251">
        <f>ROUND(F79*'Прил. 10'!$D$13,2)</f>
        <v/>
      </c>
      <c r="J79" s="251">
        <f>ROUND(I79*E79,2)</f>
        <v/>
      </c>
    </row>
    <row r="80" hidden="1" outlineLevel="1" ht="25.5" customFormat="1" customHeight="1" s="299">
      <c r="A80" s="366" t="n">
        <v>52</v>
      </c>
      <c r="B80" s="217" t="inlineStr">
        <is>
          <t>20.2.08.01-0001</t>
        </is>
      </c>
      <c r="C80" s="218" t="inlineStr">
        <is>
          <t>DIN-рейка металлическая ТН 35/7,5 длина 260 мм</t>
        </is>
      </c>
      <c r="D80" s="387" t="inlineStr">
        <is>
          <t>100 шт</t>
        </is>
      </c>
      <c r="E80" s="217" t="n">
        <v>0.03</v>
      </c>
      <c r="F80" s="283" t="n">
        <v>403</v>
      </c>
      <c r="G80" s="251">
        <f>ROUND(E80*F80,2)</f>
        <v/>
      </c>
      <c r="H80" s="250">
        <f>G80/$G$115</f>
        <v/>
      </c>
      <c r="I80" s="251">
        <f>ROUND(F80*'Прил. 10'!$D$13,2)</f>
        <v/>
      </c>
      <c r="J80" s="251">
        <f>ROUND(I80*E80,2)</f>
        <v/>
      </c>
    </row>
    <row r="81" hidden="1" outlineLevel="1" ht="21.75" customFormat="1" customHeight="1" s="299">
      <c r="A81" s="366" t="n">
        <v>53</v>
      </c>
      <c r="B81" s="217" t="inlineStr">
        <is>
          <t>10.2.02.08-0001</t>
        </is>
      </c>
      <c r="C81" s="218" t="inlineStr">
        <is>
          <t>Проволока медная, круглая, мягкая, электротехническая, диаметр 1,0-3,0 мм и выше</t>
        </is>
      </c>
      <c r="D81" s="387" t="inlineStr">
        <is>
          <t>т</t>
        </is>
      </c>
      <c r="E81" s="217" t="n">
        <v>0.0003</v>
      </c>
      <c r="F81" s="283" t="n">
        <v>37517</v>
      </c>
      <c r="G81" s="251">
        <f>ROUND(E81*F81,2)</f>
        <v/>
      </c>
      <c r="H81" s="250">
        <f>G81/$G$115</f>
        <v/>
      </c>
      <c r="I81" s="251">
        <f>ROUND(F81*'Прил. 10'!$D$13,2)</f>
        <v/>
      </c>
      <c r="J81" s="251">
        <f>ROUND(I81*E81,2)</f>
        <v/>
      </c>
    </row>
    <row r="82" hidden="1" outlineLevel="1" ht="25.5" customFormat="1" customHeight="1" s="299">
      <c r="A82" s="366" t="n">
        <v>54</v>
      </c>
      <c r="B82" s="217" t="inlineStr">
        <is>
          <t>21.2.03.05-0049</t>
        </is>
      </c>
      <c r="C82" s="218" t="inlineStr">
        <is>
          <t>Провод силовой установочный с медными жилами ПВ1 4-450</t>
        </is>
      </c>
      <c r="D82" s="387" t="inlineStr">
        <is>
          <t>1000 м</t>
        </is>
      </c>
      <c r="E82" s="217" t="n">
        <v>0.003</v>
      </c>
      <c r="F82" s="283" t="n">
        <v>3220.71</v>
      </c>
      <c r="G82" s="251">
        <f>ROUND(E82*F82,2)</f>
        <v/>
      </c>
      <c r="H82" s="250">
        <f>G82/$G$115</f>
        <v/>
      </c>
      <c r="I82" s="251">
        <f>ROUND(F82*'Прил. 10'!$D$13,2)</f>
        <v/>
      </c>
      <c r="J82" s="251">
        <f>ROUND(I82*E82,2)</f>
        <v/>
      </c>
    </row>
    <row r="83" hidden="1" outlineLevel="1" ht="14.25" customFormat="1" customHeight="1" s="299">
      <c r="A83" s="366" t="n">
        <v>55</v>
      </c>
      <c r="B83" s="217" t="inlineStr">
        <is>
          <t>03.1.01.01-0002</t>
        </is>
      </c>
      <c r="C83" s="218" t="inlineStr">
        <is>
          <t>Гипс строительный Г-3</t>
        </is>
      </c>
      <c r="D83" s="387" t="inlineStr">
        <is>
          <t>т</t>
        </is>
      </c>
      <c r="E83" s="217" t="n">
        <v>0.0126</v>
      </c>
      <c r="F83" s="283" t="n">
        <v>729.98</v>
      </c>
      <c r="G83" s="251">
        <f>ROUND(E83*F83,2)</f>
        <v/>
      </c>
      <c r="H83" s="250">
        <f>G83/$G$115</f>
        <v/>
      </c>
      <c r="I83" s="251">
        <f>ROUND(F83*'Прил. 10'!$D$13,2)</f>
        <v/>
      </c>
      <c r="J83" s="251">
        <f>ROUND(I83*E83,2)</f>
        <v/>
      </c>
    </row>
    <row r="84" hidden="1" outlineLevel="1" ht="21.75" customFormat="1" customHeight="1" s="299">
      <c r="A84" s="366" t="n">
        <v>56</v>
      </c>
      <c r="B84" s="217" t="inlineStr">
        <is>
          <t>24.3.01.01-0004</t>
        </is>
      </c>
      <c r="C84" s="218" t="inlineStr">
        <is>
          <t>Трубка электроизоляционная ПВХ-305, диаметр 6-10 мм</t>
        </is>
      </c>
      <c r="D84" s="387" t="inlineStr">
        <is>
          <t>кг</t>
        </is>
      </c>
      <c r="E84" s="217" t="n">
        <v>0.24</v>
      </c>
      <c r="F84" s="283" t="n">
        <v>38.34</v>
      </c>
      <c r="G84" s="251">
        <f>ROUND(E84*F84,2)</f>
        <v/>
      </c>
      <c r="H84" s="250">
        <f>G84/$G$115</f>
        <v/>
      </c>
      <c r="I84" s="251">
        <f>ROUND(F84*'Прил. 10'!$D$13,2)</f>
        <v/>
      </c>
      <c r="J84" s="251">
        <f>ROUND(I84*E84,2)</f>
        <v/>
      </c>
    </row>
    <row r="85" hidden="1" outlineLevel="1" ht="38.25" customFormat="1" customHeight="1" s="299">
      <c r="A85" s="366" t="n">
        <v>57</v>
      </c>
      <c r="B85" s="217" t="inlineStr">
        <is>
          <t>01.7.06.05-0041</t>
        </is>
      </c>
      <c r="C85" s="218" t="inlineStr">
        <is>
          <t>Лента изоляционная прорезиненная односторонняя, ширина 20 мм, толщина 0,25-0,35 мм</t>
        </is>
      </c>
      <c r="D85" s="387" t="inlineStr">
        <is>
          <t>кг</t>
        </is>
      </c>
      <c r="E85" s="217" t="n">
        <v>0.296</v>
      </c>
      <c r="F85" s="283" t="n">
        <v>30.4</v>
      </c>
      <c r="G85" s="251">
        <f>ROUND(E85*F85,2)</f>
        <v/>
      </c>
      <c r="H85" s="250">
        <f>G85/$G$115</f>
        <v/>
      </c>
      <c r="I85" s="251">
        <f>ROUND(F85*'Прил. 10'!$D$13,2)</f>
        <v/>
      </c>
      <c r="J85" s="251">
        <f>ROUND(I85*E85,2)</f>
        <v/>
      </c>
    </row>
    <row r="86" hidden="1" outlineLevel="1" ht="21.75" customFormat="1" customHeight="1" s="299">
      <c r="A86" s="366" t="n">
        <v>58</v>
      </c>
      <c r="B86" s="217" t="inlineStr">
        <is>
          <t>14.4.02.09-0001</t>
        </is>
      </c>
      <c r="C86" s="218" t="inlineStr">
        <is>
          <t>Краска</t>
        </is>
      </c>
      <c r="D86" s="387" t="inlineStr">
        <is>
          <t>кг</t>
        </is>
      </c>
      <c r="E86" s="217" t="n">
        <v>0.23</v>
      </c>
      <c r="F86" s="283" t="n">
        <v>28.6</v>
      </c>
      <c r="G86" s="251">
        <f>ROUND(E86*F86,2)</f>
        <v/>
      </c>
      <c r="H86" s="250">
        <f>G86/$G$115</f>
        <v/>
      </c>
      <c r="I86" s="251">
        <f>ROUND(F86*'Прил. 10'!$D$13,2)</f>
        <v/>
      </c>
      <c r="J86" s="251">
        <f>ROUND(I86*E86,2)</f>
        <v/>
      </c>
    </row>
    <row r="87" hidden="1" outlineLevel="1" ht="14.25" customFormat="1" customHeight="1" s="299">
      <c r="A87" s="366" t="n">
        <v>59</v>
      </c>
      <c r="B87" s="217" t="inlineStr">
        <is>
          <t>21.2.03.08-0012</t>
        </is>
      </c>
      <c r="C87" s="218" t="inlineStr">
        <is>
          <t>Шнур ШВВП 2х0,75-380</t>
        </is>
      </c>
      <c r="D87" s="387" t="inlineStr">
        <is>
          <t>1000 м</t>
        </is>
      </c>
      <c r="E87" s="217" t="n">
        <v>0.003</v>
      </c>
      <c r="F87" s="283" t="n">
        <v>2106.9</v>
      </c>
      <c r="G87" s="251">
        <f>ROUND(E87*F87,2)</f>
        <v/>
      </c>
      <c r="H87" s="250">
        <f>G87/$G$115</f>
        <v/>
      </c>
      <c r="I87" s="251">
        <f>ROUND(F87*'Прил. 10'!$D$13,2)</f>
        <v/>
      </c>
      <c r="J87" s="251">
        <f>ROUND(I87*E87,2)</f>
        <v/>
      </c>
    </row>
    <row r="88" hidden="1" outlineLevel="1" ht="25.5" customFormat="1" customHeight="1" s="299">
      <c r="A88" s="366" t="n">
        <v>60</v>
      </c>
      <c r="B88" s="217" t="inlineStr">
        <is>
          <t>21.2.03.05-0045</t>
        </is>
      </c>
      <c r="C88" s="218" t="inlineStr">
        <is>
          <t>Провод силовой установочный с медными жилами ПВ1 1,5-450</t>
        </is>
      </c>
      <c r="D88" s="387" t="inlineStr">
        <is>
          <t>1000 м</t>
        </is>
      </c>
      <c r="E88" s="217" t="n">
        <v>0.0045</v>
      </c>
      <c r="F88" s="283" t="n">
        <v>1335.52</v>
      </c>
      <c r="G88" s="251">
        <f>ROUND(E88*F88,2)</f>
        <v/>
      </c>
      <c r="H88" s="250">
        <f>G88/$G$115</f>
        <v/>
      </c>
      <c r="I88" s="251">
        <f>ROUND(F88*'Прил. 10'!$D$13,2)</f>
        <v/>
      </c>
      <c r="J88" s="251">
        <f>ROUND(I88*E88,2)</f>
        <v/>
      </c>
    </row>
    <row r="89" hidden="1" outlineLevel="1" ht="38.25" customFormat="1" customHeight="1" s="299">
      <c r="A89" s="366" t="n">
        <v>61</v>
      </c>
      <c r="B89" s="217" t="inlineStr">
        <is>
          <t>01.7.06.05-0042</t>
        </is>
      </c>
      <c r="C89" s="218" t="inlineStr">
        <is>
          <t>Лента липкая изоляционная на поликасиновом компаунде, ширина 20-30 мм, толщина от 0,14 до 0,19 мм</t>
        </is>
      </c>
      <c r="D89" s="387" t="inlineStr">
        <is>
          <t>кг</t>
        </is>
      </c>
      <c r="E89" s="217" t="n">
        <v>0.065</v>
      </c>
      <c r="F89" s="283" t="n">
        <v>91.29000000000001</v>
      </c>
      <c r="G89" s="251">
        <f>ROUND(E89*F89,2)</f>
        <v/>
      </c>
      <c r="H89" s="250">
        <f>G89/$G$115</f>
        <v/>
      </c>
      <c r="I89" s="251">
        <f>ROUND(F89*'Прил. 10'!$D$13,2)</f>
        <v/>
      </c>
      <c r="J89" s="251">
        <f>ROUND(I89*E89,2)</f>
        <v/>
      </c>
    </row>
    <row r="90" hidden="1" outlineLevel="1" ht="38.25" customFormat="1" customHeight="1" s="299">
      <c r="A90" s="366" t="n">
        <v>62</v>
      </c>
      <c r="B90" s="217" t="inlineStr">
        <is>
          <t>24.3.05.02-0213</t>
        </is>
      </c>
      <c r="C90" s="218" t="inlineStr">
        <is>
          <t>Заглушка полиэтиленовая, номинальный наружный диаметр 160 мм (Заглушка ЗНИ-4-синий 1)</t>
        </is>
      </c>
      <c r="D90" s="387" t="inlineStr">
        <is>
          <t>10 шт</t>
        </is>
      </c>
      <c r="E90" s="217" t="n">
        <v>0.1</v>
      </c>
      <c r="F90" s="283" t="n">
        <v>56.32</v>
      </c>
      <c r="G90" s="251">
        <f>ROUND(E90*F90,2)</f>
        <v/>
      </c>
      <c r="H90" s="250">
        <f>G90/$G$115</f>
        <v/>
      </c>
      <c r="I90" s="251">
        <f>ROUND(F90*'Прил. 10'!$D$13,2)</f>
        <v/>
      </c>
      <c r="J90" s="251">
        <f>ROUND(I90*E90,2)</f>
        <v/>
      </c>
    </row>
    <row r="91" hidden="1" outlineLevel="1" ht="21.75" customFormat="1" customHeight="1" s="299">
      <c r="A91" s="366" t="n">
        <v>63</v>
      </c>
      <c r="B91" s="217" t="inlineStr">
        <is>
          <t>14.4.03.17-0011</t>
        </is>
      </c>
      <c r="C91" s="218" t="inlineStr">
        <is>
          <t>Лак электроизоляционный 318</t>
        </is>
      </c>
      <c r="D91" s="387" t="inlineStr">
        <is>
          <t>кг</t>
        </is>
      </c>
      <c r="E91" s="217" t="n">
        <v>0.148</v>
      </c>
      <c r="F91" s="283" t="n">
        <v>35.63</v>
      </c>
      <c r="G91" s="251">
        <f>ROUND(E91*F91,2)</f>
        <v/>
      </c>
      <c r="H91" s="250">
        <f>G91/$G$115</f>
        <v/>
      </c>
      <c r="I91" s="251">
        <f>ROUND(F91*'Прил. 10'!$D$13,2)</f>
        <v/>
      </c>
      <c r="J91" s="251">
        <f>ROUND(I91*E91,2)</f>
        <v/>
      </c>
    </row>
    <row r="92" hidden="1" outlineLevel="1" ht="25.5" customFormat="1" customHeight="1" s="299">
      <c r="A92" s="366" t="n">
        <v>64</v>
      </c>
      <c r="B92" s="217" t="inlineStr">
        <is>
          <t>01.7.11.07-0034</t>
        </is>
      </c>
      <c r="C92" s="218" t="inlineStr">
        <is>
          <t>Электроды сварочные Э42А, диаметр 4 мм</t>
        </is>
      </c>
      <c r="D92" s="387" t="inlineStr">
        <is>
          <t>кг</t>
        </is>
      </c>
      <c r="E92" s="217" t="n">
        <v>0.43</v>
      </c>
      <c r="F92" s="283" t="n">
        <v>10.57</v>
      </c>
      <c r="G92" s="251">
        <f>ROUND(E92*F92,2)</f>
        <v/>
      </c>
      <c r="H92" s="250">
        <f>G92/$G$115</f>
        <v/>
      </c>
      <c r="I92" s="251">
        <f>ROUND(F92*'Прил. 10'!$D$13,2)</f>
        <v/>
      </c>
      <c r="J92" s="251">
        <f>ROUND(I92*E92,2)</f>
        <v/>
      </c>
    </row>
    <row r="93" hidden="1" outlineLevel="1" ht="21.75" customFormat="1" customHeight="1" s="299">
      <c r="A93" s="366" t="n">
        <v>65</v>
      </c>
      <c r="B93" s="217" t="inlineStr">
        <is>
          <t>01.7.02.06-0017</t>
        </is>
      </c>
      <c r="C93" s="218" t="inlineStr">
        <is>
          <t>Картон строительный прокладочный, марка Б</t>
        </is>
      </c>
      <c r="D93" s="387" t="inlineStr">
        <is>
          <t>т</t>
        </is>
      </c>
      <c r="E93" s="217" t="n">
        <v>0.0002</v>
      </c>
      <c r="F93" s="283" t="n">
        <v>19800</v>
      </c>
      <c r="G93" s="251">
        <f>ROUND(E93*F93,2)</f>
        <v/>
      </c>
      <c r="H93" s="250">
        <f>G93/$G$115</f>
        <v/>
      </c>
      <c r="I93" s="251">
        <f>ROUND(F93*'Прил. 10'!$D$13,2)</f>
        <v/>
      </c>
      <c r="J93" s="251">
        <f>ROUND(I93*E93,2)</f>
        <v/>
      </c>
    </row>
    <row r="94" hidden="1" outlineLevel="1" ht="14.25" customFormat="1" customHeight="1" s="299">
      <c r="A94" s="366" t="n">
        <v>66</v>
      </c>
      <c r="B94" s="217" t="inlineStr">
        <is>
          <t>01.7.15.14-0168</t>
        </is>
      </c>
      <c r="C94" s="218" t="inlineStr">
        <is>
          <t>Шурупы с полукруглой головкой 5х70 мм</t>
        </is>
      </c>
      <c r="D94" s="387" t="inlineStr">
        <is>
          <t>т</t>
        </is>
      </c>
      <c r="E94" s="217" t="n">
        <v>0.0003</v>
      </c>
      <c r="F94" s="283" t="n">
        <v>12430</v>
      </c>
      <c r="G94" s="251">
        <f>ROUND(E94*F94,2)</f>
        <v/>
      </c>
      <c r="H94" s="250">
        <f>G94/$G$115</f>
        <v/>
      </c>
      <c r="I94" s="251">
        <f>ROUND(F94*'Прил. 10'!$D$13,2)</f>
        <v/>
      </c>
      <c r="J94" s="251">
        <f>ROUND(I94*E94,2)</f>
        <v/>
      </c>
    </row>
    <row r="95" hidden="1" outlineLevel="1" ht="25.5" customFormat="1" customHeight="1" s="299">
      <c r="A95" s="366" t="n">
        <v>67</v>
      </c>
      <c r="B95" s="217" t="inlineStr">
        <is>
          <t>01.2.03.03-0107</t>
        </is>
      </c>
      <c r="C95" s="218" t="inlineStr">
        <is>
          <t>Мастика битумно-масляная морозостойкая горячего применения</t>
        </is>
      </c>
      <c r="D95" s="387" t="inlineStr">
        <is>
          <t>т</t>
        </is>
      </c>
      <c r="E95" s="217" t="n">
        <v>0.0008</v>
      </c>
      <c r="F95" s="283" t="n">
        <v>3960</v>
      </c>
      <c r="G95" s="251">
        <f>ROUND(E95*F95,2)</f>
        <v/>
      </c>
      <c r="H95" s="250">
        <f>G95/$G$115</f>
        <v/>
      </c>
      <c r="I95" s="251">
        <f>ROUND(F95*'Прил. 10'!$D$13,2)</f>
        <v/>
      </c>
      <c r="J95" s="251">
        <f>ROUND(I95*E95,2)</f>
        <v/>
      </c>
    </row>
    <row r="96" hidden="1" outlineLevel="1" ht="21.75" customFormat="1" customHeight="1" s="299">
      <c r="A96" s="366" t="n">
        <v>68</v>
      </c>
      <c r="B96" s="217" t="inlineStr">
        <is>
          <t>01.7.02.07-0011</t>
        </is>
      </c>
      <c r="C96" s="218" t="inlineStr">
        <is>
          <t>Прессшпан листовой, марка А</t>
        </is>
      </c>
      <c r="D96" s="387" t="inlineStr">
        <is>
          <t>кг</t>
        </is>
      </c>
      <c r="E96" s="217" t="n">
        <v>0.05</v>
      </c>
      <c r="F96" s="283" t="n">
        <v>47.57</v>
      </c>
      <c r="G96" s="251">
        <f>ROUND(E96*F96,2)</f>
        <v/>
      </c>
      <c r="H96" s="250">
        <f>G96/$G$115</f>
        <v/>
      </c>
      <c r="I96" s="251">
        <f>ROUND(F96*'Прил. 10'!$D$13,2)</f>
        <v/>
      </c>
      <c r="J96" s="251">
        <f>ROUND(I96*E96,2)</f>
        <v/>
      </c>
    </row>
    <row r="97" hidden="1" outlineLevel="1" ht="14.25" customFormat="1" customHeight="1" s="299">
      <c r="A97" s="366" t="n">
        <v>69</v>
      </c>
      <c r="B97" s="217" t="inlineStr">
        <is>
          <t>25.2.01.01-0017</t>
        </is>
      </c>
      <c r="C97" s="218" t="inlineStr">
        <is>
          <t>Бирки маркировочные пластмассовые</t>
        </is>
      </c>
      <c r="D97" s="387" t="inlineStr">
        <is>
          <t>100 шт</t>
        </is>
      </c>
      <c r="E97" s="217" t="n">
        <v>0.06</v>
      </c>
      <c r="F97" s="283" t="n">
        <v>30.74</v>
      </c>
      <c r="G97" s="251">
        <f>ROUND(E97*F97,2)</f>
        <v/>
      </c>
      <c r="H97" s="250">
        <f>G97/$G$115</f>
        <v/>
      </c>
      <c r="I97" s="251">
        <f>ROUND(F97*'Прил. 10'!$D$13,2)</f>
        <v/>
      </c>
      <c r="J97" s="251">
        <f>ROUND(I97*E97,2)</f>
        <v/>
      </c>
    </row>
    <row r="98" hidden="1" outlineLevel="1" ht="25.5" customFormat="1" customHeight="1" s="299">
      <c r="A98" s="366" t="n">
        <v>70</v>
      </c>
      <c r="B98" s="217" t="inlineStr">
        <is>
          <t>14.3.02.01-0219</t>
        </is>
      </c>
      <c r="C98" s="218" t="inlineStr">
        <is>
          <t>Краска универсальная, акриловая для внутренних и наружных работ</t>
        </is>
      </c>
      <c r="D98" s="387" t="inlineStr">
        <is>
          <t>т</t>
        </is>
      </c>
      <c r="E98" s="217" t="n">
        <v>0.0001</v>
      </c>
      <c r="F98" s="283" t="n">
        <v>15481</v>
      </c>
      <c r="G98" s="251">
        <f>ROUND(E98*F98,2)</f>
        <v/>
      </c>
      <c r="H98" s="250">
        <f>G98/$G$115</f>
        <v/>
      </c>
      <c r="I98" s="251">
        <f>ROUND(F98*'Прил. 10'!$D$13,2)</f>
        <v/>
      </c>
      <c r="J98" s="251">
        <f>ROUND(I98*E98,2)</f>
        <v/>
      </c>
    </row>
    <row r="99" hidden="1" outlineLevel="1" ht="21.75" customFormat="1" customHeight="1" s="299">
      <c r="A99" s="366" t="n">
        <v>71</v>
      </c>
      <c r="B99" s="217" t="inlineStr">
        <is>
          <t>01.7.20.04-0003</t>
        </is>
      </c>
      <c r="C99" s="218" t="inlineStr">
        <is>
          <t>Нитки суровые</t>
        </is>
      </c>
      <c r="D99" s="387" t="inlineStr">
        <is>
          <t>кг</t>
        </is>
      </c>
      <c r="E99" s="217" t="n">
        <v>0.01</v>
      </c>
      <c r="F99" s="283" t="n">
        <v>155</v>
      </c>
      <c r="G99" s="251">
        <f>ROUND(E99*F99,2)</f>
        <v/>
      </c>
      <c r="H99" s="250">
        <f>G99/$G$115</f>
        <v/>
      </c>
      <c r="I99" s="251">
        <f>ROUND(F99*'Прил. 10'!$D$13,2)</f>
        <v/>
      </c>
      <c r="J99" s="251">
        <f>ROUND(I99*E99,2)</f>
        <v/>
      </c>
    </row>
    <row r="100" hidden="1" outlineLevel="1" ht="14.25" customFormat="1" customHeight="1" s="299">
      <c r="A100" s="366" t="n">
        <v>72</v>
      </c>
      <c r="B100" s="217" t="inlineStr">
        <is>
          <t>01.3.01.02-0002</t>
        </is>
      </c>
      <c r="C100" s="218" t="inlineStr">
        <is>
          <t>Вазелин технический</t>
        </is>
      </c>
      <c r="D100" s="387" t="inlineStr">
        <is>
          <t>кг</t>
        </is>
      </c>
      <c r="E100" s="217" t="n">
        <v>0.033</v>
      </c>
      <c r="F100" s="283" t="n">
        <v>44.97</v>
      </c>
      <c r="G100" s="251">
        <f>ROUND(E100*F100,2)</f>
        <v/>
      </c>
      <c r="H100" s="250">
        <f>G100/$G$115</f>
        <v/>
      </c>
      <c r="I100" s="251">
        <f>ROUND(F100*'Прил. 10'!$D$13,2)</f>
        <v/>
      </c>
      <c r="J100" s="251">
        <f>ROUND(I100*E100,2)</f>
        <v/>
      </c>
    </row>
    <row r="101" hidden="1" outlineLevel="1" ht="21.75" customFormat="1" customHeight="1" s="299">
      <c r="A101" s="366" t="n">
        <v>73</v>
      </c>
      <c r="B101" s="217" t="inlineStr">
        <is>
          <t>11.1.03.05-0085</t>
        </is>
      </c>
      <c r="C101" s="218" t="inlineStr">
        <is>
          <t>Доска необрезная, хвойных пород, длина 4-6,5 м, все ширины, толщина 44 мм и более, сорт III</t>
        </is>
      </c>
      <c r="D101" s="387" t="inlineStr">
        <is>
          <t>м3</t>
        </is>
      </c>
      <c r="E101" s="217" t="n">
        <v>0.0015</v>
      </c>
      <c r="F101" s="283" t="n">
        <v>684</v>
      </c>
      <c r="G101" s="251">
        <f>ROUND(E101*F101,2)</f>
        <v/>
      </c>
      <c r="H101" s="250">
        <f>G101/$G$115</f>
        <v/>
      </c>
      <c r="I101" s="251">
        <f>ROUND(F101*'Прил. 10'!$D$13,2)</f>
        <v/>
      </c>
      <c r="J101" s="251">
        <f>ROUND(I101*E101,2)</f>
        <v/>
      </c>
    </row>
    <row r="102" hidden="1" outlineLevel="1" ht="25.5" customFormat="1" customHeight="1" s="299">
      <c r="A102" s="366" t="n">
        <v>74</v>
      </c>
      <c r="B102" s="217" t="inlineStr">
        <is>
          <t>01.7.15.03-0031</t>
        </is>
      </c>
      <c r="C102" s="218" t="inlineStr">
        <is>
          <t>Болты с гайками и шайбами оцинкованные, диаметр 6 мм</t>
        </is>
      </c>
      <c r="D102" s="387" t="inlineStr">
        <is>
          <t>кг</t>
        </is>
      </c>
      <c r="E102" s="217" t="n">
        <v>0.035</v>
      </c>
      <c r="F102" s="283" t="n">
        <v>28.22</v>
      </c>
      <c r="G102" s="251">
        <f>ROUND(E102*F102,2)</f>
        <v/>
      </c>
      <c r="H102" s="250">
        <f>G102/$G$115</f>
        <v/>
      </c>
      <c r="I102" s="251">
        <f>ROUND(F102*'Прил. 10'!$D$13,2)</f>
        <v/>
      </c>
      <c r="J102" s="251">
        <f>ROUND(I102*E102,2)</f>
        <v/>
      </c>
    </row>
    <row r="103" hidden="1" outlineLevel="1" ht="14.25" customFormat="1" customHeight="1" s="299">
      <c r="A103" s="366" t="n">
        <v>75</v>
      </c>
      <c r="B103" s="217" t="inlineStr">
        <is>
          <t>01.7.20.04-0005</t>
        </is>
      </c>
      <c r="C103" s="218" t="inlineStr">
        <is>
          <t>Нитки швейные</t>
        </is>
      </c>
      <c r="D103" s="387" t="inlineStr">
        <is>
          <t>кг</t>
        </is>
      </c>
      <c r="E103" s="217" t="n">
        <v>0.007</v>
      </c>
      <c r="F103" s="283" t="n">
        <v>133.05</v>
      </c>
      <c r="G103" s="251">
        <f>ROUND(E103*F103,2)</f>
        <v/>
      </c>
      <c r="H103" s="250">
        <f>G103/$G$115</f>
        <v/>
      </c>
      <c r="I103" s="251">
        <f>ROUND(F103*'Прил. 10'!$D$13,2)</f>
        <v/>
      </c>
      <c r="J103" s="251">
        <f>ROUND(I103*E103,2)</f>
        <v/>
      </c>
    </row>
    <row r="104" hidden="1" outlineLevel="1" ht="21.75" customFormat="1" customHeight="1" s="299">
      <c r="A104" s="366" t="n">
        <v>76</v>
      </c>
      <c r="B104" s="217" t="inlineStr">
        <is>
          <t>22.2.02.15-0001</t>
        </is>
      </c>
      <c r="C104" s="218" t="inlineStr">
        <is>
          <t>Скрепы 10х2 мм</t>
        </is>
      </c>
      <c r="D104" s="387" t="inlineStr">
        <is>
          <t>кг</t>
        </is>
      </c>
      <c r="E104" s="217" t="n">
        <v>0.06</v>
      </c>
      <c r="F104" s="283" t="n">
        <v>15.37</v>
      </c>
      <c r="G104" s="251">
        <f>ROUND(E104*F104,2)</f>
        <v/>
      </c>
      <c r="H104" s="250">
        <f>G104/$G$115</f>
        <v/>
      </c>
      <c r="I104" s="251">
        <f>ROUND(F104*'Прил. 10'!$D$13,2)</f>
        <v/>
      </c>
      <c r="J104" s="251">
        <f>ROUND(I104*E104,2)</f>
        <v/>
      </c>
    </row>
    <row r="105" hidden="1" outlineLevel="1" ht="51" customFormat="1" customHeight="1" s="299">
      <c r="A105" s="366" t="n">
        <v>77</v>
      </c>
      <c r="B105" s="217" t="inlineStr">
        <is>
          <t>23.3.06.04-0006</t>
        </is>
      </c>
      <c r="C105" s="218" t="inlineStr">
        <is>
          <t>Трубы стальные сварные неоцинкованные водогазопроводные с резьбой, легкие, номинальный диаметр 20 мм, толщина стенки 2,5 мм</t>
        </is>
      </c>
      <c r="D105" s="387" t="inlineStr">
        <is>
          <t>м</t>
        </is>
      </c>
      <c r="E105" s="217" t="n">
        <v>0.08</v>
      </c>
      <c r="F105" s="283" t="n">
        <v>11.5</v>
      </c>
      <c r="G105" s="251">
        <f>ROUND(E105*F105,2)</f>
        <v/>
      </c>
      <c r="H105" s="250">
        <f>G105/$G$115</f>
        <v/>
      </c>
      <c r="I105" s="251">
        <f>ROUND(F105*'Прил. 10'!$D$13,2)</f>
        <v/>
      </c>
      <c r="J105" s="251">
        <f>ROUND(I105*E105,2)</f>
        <v/>
      </c>
    </row>
    <row r="106" hidden="1" outlineLevel="1" ht="25.5" customFormat="1" customHeight="1" s="299">
      <c r="A106" s="366" t="n">
        <v>78</v>
      </c>
      <c r="B106" s="217" t="inlineStr">
        <is>
          <t>10.3.02.03-0011</t>
        </is>
      </c>
      <c r="C106" s="218" t="inlineStr">
        <is>
          <t>Припои оловянно-свинцовые бессурьмянистые, марка ПОС30</t>
        </is>
      </c>
      <c r="D106" s="387" t="inlineStr">
        <is>
          <t>т</t>
        </is>
      </c>
      <c r="E106" s="217" t="n">
        <v>1.3e-05</v>
      </c>
      <c r="F106" s="283" t="n">
        <v>68050</v>
      </c>
      <c r="G106" s="251">
        <f>ROUND(E106*F106,2)</f>
        <v/>
      </c>
      <c r="H106" s="250">
        <f>G106/$G$115</f>
        <v/>
      </c>
      <c r="I106" s="251">
        <f>ROUND(F106*'Прил. 10'!$D$13,2)</f>
        <v/>
      </c>
      <c r="J106" s="251">
        <f>ROUND(I106*E106,2)</f>
        <v/>
      </c>
    </row>
    <row r="107" hidden="1" outlineLevel="1" ht="21.75" customFormat="1" customHeight="1" s="299">
      <c r="A107" s="366" t="n">
        <v>79</v>
      </c>
      <c r="B107" s="217" t="inlineStr">
        <is>
          <t>01.3.05.17-0002</t>
        </is>
      </c>
      <c r="C107" s="218" t="inlineStr">
        <is>
          <t>Канифоль сосновая</t>
        </is>
      </c>
      <c r="D107" s="387" t="inlineStr">
        <is>
          <t>кг</t>
        </is>
      </c>
      <c r="E107" s="217" t="n">
        <v>0.03</v>
      </c>
      <c r="F107" s="283" t="n">
        <v>27.74</v>
      </c>
      <c r="G107" s="251">
        <f>ROUND(E107*F107,2)</f>
        <v/>
      </c>
      <c r="H107" s="250">
        <f>G107/$G$115</f>
        <v/>
      </c>
      <c r="I107" s="251">
        <f>ROUND(F107*'Прил. 10'!$D$13,2)</f>
        <v/>
      </c>
      <c r="J107" s="251">
        <f>ROUND(I107*E107,2)</f>
        <v/>
      </c>
    </row>
    <row r="108" hidden="1" outlineLevel="1" ht="14.25" customFormat="1" customHeight="1" s="299">
      <c r="A108" s="366" t="n">
        <v>80</v>
      </c>
      <c r="B108" s="217" t="inlineStr">
        <is>
          <t>01.7.07.20-0002</t>
        </is>
      </c>
      <c r="C108" s="218" t="inlineStr">
        <is>
          <t>Тальк молотый, сорт I</t>
        </is>
      </c>
      <c r="D108" s="387" t="inlineStr">
        <is>
          <t>т</t>
        </is>
      </c>
      <c r="E108" s="217" t="n">
        <v>0.0004</v>
      </c>
      <c r="F108" s="283" t="n">
        <v>1820</v>
      </c>
      <c r="G108" s="251">
        <f>ROUND(E108*F108,2)</f>
        <v/>
      </c>
      <c r="H108" s="250">
        <f>G108/$G$115</f>
        <v/>
      </c>
      <c r="I108" s="251">
        <f>ROUND(F108*'Прил. 10'!$D$13,2)</f>
        <v/>
      </c>
      <c r="J108" s="251">
        <f>ROUND(I108*E108,2)</f>
        <v/>
      </c>
    </row>
    <row r="109" hidden="1" outlineLevel="1" ht="21.75" customFormat="1" customHeight="1" s="299">
      <c r="A109" s="366" t="n">
        <v>81</v>
      </c>
      <c r="B109" s="217" t="inlineStr">
        <is>
          <t>01.7.02.09-0002</t>
        </is>
      </c>
      <c r="C109" s="218" t="inlineStr">
        <is>
          <t>Шпагат бумажный</t>
        </is>
      </c>
      <c r="D109" s="387" t="inlineStr">
        <is>
          <t>кг</t>
        </is>
      </c>
      <c r="E109" s="217" t="n">
        <v>0.013</v>
      </c>
      <c r="F109" s="283" t="n">
        <v>11.5</v>
      </c>
      <c r="G109" s="251">
        <f>ROUND(E109*F109,2)</f>
        <v/>
      </c>
      <c r="H109" s="250">
        <f>G109/$G$115</f>
        <v/>
      </c>
      <c r="I109" s="251">
        <f>ROUND(F109*'Прил. 10'!$D$13,2)</f>
        <v/>
      </c>
      <c r="J109" s="251">
        <f>ROUND(I109*E109,2)</f>
        <v/>
      </c>
    </row>
    <row r="110" hidden="1" outlineLevel="1" ht="14.25" customFormat="1" customHeight="1" s="299">
      <c r="A110" s="366" t="n">
        <v>82</v>
      </c>
      <c r="B110" s="217" t="inlineStr">
        <is>
          <t>01.7.06.07-0001</t>
        </is>
      </c>
      <c r="C110" s="218" t="inlineStr">
        <is>
          <t>Лента К226</t>
        </is>
      </c>
      <c r="D110" s="387" t="inlineStr">
        <is>
          <t>100 м</t>
        </is>
      </c>
      <c r="E110" s="217" t="n">
        <v>0.0012</v>
      </c>
      <c r="F110" s="283" t="n">
        <v>120</v>
      </c>
      <c r="G110" s="251">
        <f>ROUND(E110*F110,2)</f>
        <v/>
      </c>
      <c r="H110" s="250">
        <f>G110/$G$115</f>
        <v/>
      </c>
      <c r="I110" s="251">
        <f>ROUND(F110*'Прил. 10'!$D$13,2)</f>
        <v/>
      </c>
      <c r="J110" s="251">
        <f>ROUND(I110*E110,2)</f>
        <v/>
      </c>
    </row>
    <row r="111" hidden="1" outlineLevel="1" ht="25.5" customFormat="1" customHeight="1" s="299">
      <c r="A111" s="366" t="n">
        <v>83</v>
      </c>
      <c r="B111" s="217" t="inlineStr">
        <is>
          <t>01.7.19.04-0031</t>
        </is>
      </c>
      <c r="C111" s="218" t="inlineStr">
        <is>
          <t>Прокладки резиновые (пластина техническая прессованная)</t>
        </is>
      </c>
      <c r="D111" s="387" t="inlineStr">
        <is>
          <t>кг</t>
        </is>
      </c>
      <c r="E111" s="217" t="n">
        <v>0.005</v>
      </c>
      <c r="F111" s="283" t="n">
        <v>23.09</v>
      </c>
      <c r="G111" s="251">
        <f>ROUND(E111*F111,2)</f>
        <v/>
      </c>
      <c r="H111" s="250">
        <f>G111/$G$115</f>
        <v/>
      </c>
      <c r="I111" s="251">
        <f>ROUND(F111*'Прил. 10'!$D$13,2)</f>
        <v/>
      </c>
      <c r="J111" s="251">
        <f>ROUND(I111*E111,2)</f>
        <v/>
      </c>
    </row>
    <row r="112" hidden="1" outlineLevel="1" ht="21.75" customFormat="1" customHeight="1" s="299">
      <c r="A112" s="366" t="n">
        <v>84</v>
      </c>
      <c r="B112" s="217" t="inlineStr">
        <is>
          <t>01.7.07.29-0194</t>
        </is>
      </c>
      <c r="C112" s="218" t="inlineStr">
        <is>
          <t>Состав органосиликатный</t>
        </is>
      </c>
      <c r="D112" s="387" t="inlineStr">
        <is>
          <t>кг</t>
        </is>
      </c>
      <c r="E112" s="217" t="n">
        <v>0.001</v>
      </c>
      <c r="F112" s="283" t="n">
        <v>23.17</v>
      </c>
      <c r="G112" s="251">
        <f>ROUND(E112*F112,2)</f>
        <v/>
      </c>
      <c r="H112" s="250">
        <f>G112/$G$115</f>
        <v/>
      </c>
      <c r="I112" s="251">
        <f>ROUND(F112*'Прил. 10'!$D$13,2)</f>
        <v/>
      </c>
      <c r="J112" s="251">
        <f>ROUND(I112*E112,2)</f>
        <v/>
      </c>
    </row>
    <row r="113" hidden="1" outlineLevel="1" ht="14.25" customFormat="1" customHeight="1" s="299">
      <c r="A113" s="366" t="n">
        <v>85</v>
      </c>
      <c r="B113" s="217" t="inlineStr">
        <is>
          <t>01.7.03.04-0001</t>
        </is>
      </c>
      <c r="C113" s="218" t="inlineStr">
        <is>
          <t>Электроэнергия</t>
        </is>
      </c>
      <c r="D113" s="387" t="inlineStr">
        <is>
          <t>кВт-ч</t>
        </is>
      </c>
      <c r="E113" s="217" t="n">
        <v>0.06</v>
      </c>
      <c r="F113" s="283" t="n">
        <v>0.4</v>
      </c>
      <c r="G113" s="251">
        <f>ROUND(E113*F113,2)</f>
        <v/>
      </c>
      <c r="H113" s="250">
        <f>G113/$G$115</f>
        <v/>
      </c>
      <c r="I113" s="251">
        <f>ROUND(F113*'Прил. 10'!$D$13,2)</f>
        <v/>
      </c>
      <c r="J113" s="251">
        <f>ROUND(I113*E113,2)</f>
        <v/>
      </c>
    </row>
    <row r="114" collapsed="1" ht="14.25" customFormat="1" customHeight="1" s="299">
      <c r="A114" s="366" t="n"/>
      <c r="B114" s="366" t="n"/>
      <c r="C114" s="374" t="inlineStr">
        <is>
          <t>Итого прочие материалы</t>
        </is>
      </c>
      <c r="D114" s="366" t="n"/>
      <c r="E114" s="375" t="n"/>
      <c r="F114" s="376" t="n"/>
      <c r="G114" s="251">
        <f>SUM(G61:G113)</f>
        <v/>
      </c>
      <c r="H114" s="250">
        <f>G114/$G$115</f>
        <v/>
      </c>
      <c r="I114" s="251" t="n"/>
      <c r="J114" s="251">
        <f>SUM(J61:J113)</f>
        <v/>
      </c>
    </row>
    <row r="115" ht="14.25" customFormat="1" customHeight="1" s="299">
      <c r="A115" s="366" t="n"/>
      <c r="B115" s="366" t="n"/>
      <c r="C115" s="352" t="inlineStr">
        <is>
          <t>Итого по разделу «Материалы»</t>
        </is>
      </c>
      <c r="D115" s="366" t="n"/>
      <c r="E115" s="375" t="n"/>
      <c r="F115" s="376" t="n"/>
      <c r="G115" s="251">
        <f>G60+G114</f>
        <v/>
      </c>
      <c r="H115" s="377">
        <f>G115/$G$115</f>
        <v/>
      </c>
      <c r="I115" s="251" t="n"/>
      <c r="J115" s="251">
        <f>J60+J114</f>
        <v/>
      </c>
    </row>
    <row r="116" ht="14.25" customFormat="1" customHeight="1" s="299">
      <c r="A116" s="366" t="n"/>
      <c r="B116" s="366" t="n"/>
      <c r="C116" s="374" t="inlineStr">
        <is>
          <t>ИТОГО ПО РМ</t>
        </is>
      </c>
      <c r="D116" s="366" t="n"/>
      <c r="E116" s="375" t="n"/>
      <c r="F116" s="376" t="n"/>
      <c r="G116" s="251">
        <f>G16+G34+G115</f>
        <v/>
      </c>
      <c r="H116" s="377" t="n"/>
      <c r="I116" s="251" t="n"/>
      <c r="J116" s="251">
        <f>J16+J34+J115</f>
        <v/>
      </c>
    </row>
    <row r="117" ht="14.25" customFormat="1" customHeight="1" s="299">
      <c r="A117" s="366" t="n"/>
      <c r="B117" s="366" t="n"/>
      <c r="C117" s="374" t="inlineStr">
        <is>
          <t>Накладные расходы</t>
        </is>
      </c>
      <c r="D117" s="173">
        <f>ROUND(G117/(G$18+$G$16),2)</f>
        <v/>
      </c>
      <c r="E117" s="375" t="n"/>
      <c r="F117" s="376" t="n"/>
      <c r="G117" s="251" t="n">
        <v>2742.12</v>
      </c>
      <c r="H117" s="377" t="n"/>
      <c r="I117" s="251" t="n"/>
      <c r="J117" s="251">
        <f>ROUND(D117*(J16+J18),2)</f>
        <v/>
      </c>
    </row>
    <row r="118" ht="14.25" customFormat="1" customHeight="1" s="299">
      <c r="A118" s="366" t="n"/>
      <c r="B118" s="366" t="n"/>
      <c r="C118" s="374" t="inlineStr">
        <is>
          <t>Сметная прибыль</t>
        </is>
      </c>
      <c r="D118" s="173">
        <f>ROUND(G118/(G$16+G$18),2)</f>
        <v/>
      </c>
      <c r="E118" s="375" t="n"/>
      <c r="F118" s="376" t="n"/>
      <c r="G118" s="251" t="n">
        <v>1932.06</v>
      </c>
      <c r="H118" s="377" t="n"/>
      <c r="I118" s="251" t="n"/>
      <c r="J118" s="251">
        <f>ROUND(D118*(J16+J18),2)</f>
        <v/>
      </c>
    </row>
    <row r="119" ht="14.25" customFormat="1" customHeight="1" s="299">
      <c r="A119" s="366" t="n"/>
      <c r="B119" s="366" t="n"/>
      <c r="C119" s="374" t="inlineStr">
        <is>
          <t>Итого СМР (с НР и СП)</t>
        </is>
      </c>
      <c r="D119" s="366" t="n"/>
      <c r="E119" s="375" t="n"/>
      <c r="F119" s="376" t="n"/>
      <c r="G119" s="251">
        <f>G16+G34+G115+G117+G118</f>
        <v/>
      </c>
      <c r="H119" s="377" t="n"/>
      <c r="I119" s="251" t="n"/>
      <c r="J119" s="251">
        <f>J16+J34+J115+J117+J118</f>
        <v/>
      </c>
    </row>
    <row r="120" ht="14.25" customFormat="1" customHeight="1" s="299">
      <c r="A120" s="366" t="n"/>
      <c r="B120" s="366" t="n"/>
      <c r="C120" s="374" t="inlineStr">
        <is>
          <t>ВСЕГО СМР + ОБОРУДОВАНИЕ</t>
        </is>
      </c>
      <c r="D120" s="366" t="n"/>
      <c r="E120" s="375" t="n"/>
      <c r="F120" s="376" t="n"/>
      <c r="G120" s="251">
        <f>G119+G40</f>
        <v/>
      </c>
      <c r="H120" s="377" t="n"/>
      <c r="I120" s="251" t="n"/>
      <c r="J120" s="251">
        <f>J119+J40</f>
        <v/>
      </c>
    </row>
    <row r="121" ht="34.5" customFormat="1" customHeight="1" s="299">
      <c r="A121" s="366" t="n"/>
      <c r="B121" s="366" t="n"/>
      <c r="C121" s="374" t="inlineStr">
        <is>
          <t>ИТОГО ПОКАЗАТЕЛЬ НА ЕД. ИЗМ.</t>
        </is>
      </c>
      <c r="D121" s="366" t="inlineStr">
        <is>
          <t>ед.</t>
        </is>
      </c>
      <c r="E121" s="461" t="n">
        <v>1</v>
      </c>
      <c r="F121" s="376" t="n"/>
      <c r="G121" s="251">
        <f>G120/E121</f>
        <v/>
      </c>
      <c r="H121" s="377" t="n"/>
      <c r="I121" s="251" t="n"/>
      <c r="J121" s="251">
        <f>J120/E121</f>
        <v/>
      </c>
    </row>
    <row r="123" ht="14.25" customFormat="1" customHeight="1" s="299">
      <c r="A123" s="289" t="inlineStr">
        <is>
          <t>Составил ______________________    Е. М. Добровольская</t>
        </is>
      </c>
    </row>
    <row r="124" ht="14.25" customFormat="1" customHeight="1" s="299">
      <c r="A124" s="298" t="inlineStr">
        <is>
          <t xml:space="preserve">                         (подпись, инициалы, фамилия)</t>
        </is>
      </c>
    </row>
    <row r="125" ht="14.25" customFormat="1" customHeight="1" s="299">
      <c r="A125" s="289" t="n"/>
    </row>
    <row r="126" ht="14.25" customFormat="1" customHeight="1" s="299">
      <c r="A126" s="289" t="inlineStr">
        <is>
          <t>Проверил ______________________        А.В. Костянецкая</t>
        </is>
      </c>
    </row>
    <row r="127" ht="14.25" customFormat="1" customHeight="1" s="299">
      <c r="A127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36:H36"/>
    <mergeCell ref="C9:C10"/>
    <mergeCell ref="E9:E10"/>
    <mergeCell ref="A7:H7"/>
    <mergeCell ref="B35:H35"/>
    <mergeCell ref="B9:B10"/>
    <mergeCell ref="D9:D10"/>
    <mergeCell ref="B43:H43"/>
    <mergeCell ref="B12:H12"/>
    <mergeCell ref="D6:J6"/>
    <mergeCell ref="B42:H42"/>
    <mergeCell ref="A8:H8"/>
    <mergeCell ref="F9:G9"/>
    <mergeCell ref="B17:H17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8" sqref="E18"/>
    </sheetView>
  </sheetViews>
  <sheetFormatPr baseColWidth="8" defaultRowHeight="15"/>
  <cols>
    <col width="5.7109375" customWidth="1" style="301" min="1" max="1"/>
    <col width="17.5703125" customWidth="1" style="301" min="2" max="2"/>
    <col width="39.140625" customWidth="1" style="301" min="3" max="3"/>
    <col width="10.7109375" customWidth="1" style="301" min="4" max="4"/>
    <col width="13.85546875" customWidth="1" style="301" min="5" max="5"/>
    <col width="13.28515625" customWidth="1" style="301" min="6" max="6"/>
    <col width="14.140625" customWidth="1" style="301" min="7" max="7"/>
  </cols>
  <sheetData>
    <row r="1">
      <c r="A1" s="382" t="inlineStr">
        <is>
          <t>Приложение №6</t>
        </is>
      </c>
    </row>
    <row r="2" ht="21.75" customHeight="1" s="301">
      <c r="A2" s="382" t="n"/>
      <c r="B2" s="382" t="n"/>
      <c r="C2" s="382" t="n"/>
      <c r="D2" s="382" t="n"/>
      <c r="E2" s="382" t="n"/>
      <c r="F2" s="382" t="n"/>
      <c r="G2" s="382" t="n"/>
    </row>
    <row r="3">
      <c r="A3" s="337" t="inlineStr">
        <is>
          <t>Расчет стоимости оборудования</t>
        </is>
      </c>
    </row>
    <row r="4" ht="27" customHeight="1" s="301">
      <c r="A4" s="340" t="inlineStr">
        <is>
          <t>Наименование разрабатываемого показателя УНЦ — ПКУ класса напряжения 110 кВ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" customHeight="1" s="301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01">
      <c r="A9" s="228" t="n"/>
      <c r="B9" s="374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1">
      <c r="A10" s="366" t="n"/>
      <c r="B10" s="352" t="n"/>
      <c r="C10" s="374" t="inlineStr">
        <is>
          <t>ИТОГО ИНЖЕНЕРНОЕ ОБОРУДОВАНИЕ</t>
        </is>
      </c>
      <c r="D10" s="352" t="n"/>
      <c r="E10" s="169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1">
      <c r="A12" s="366" t="n">
        <v>1</v>
      </c>
      <c r="B12" s="374">
        <f>'Прил.5 Расчет СМР и ОБ'!B37</f>
        <v/>
      </c>
      <c r="C12" s="374">
        <f>'Прил.5 Расчет СМР и ОБ'!C37</f>
        <v/>
      </c>
      <c r="D12" s="366">
        <f>'Прил.5 Расчет СМР и ОБ'!D37</f>
        <v/>
      </c>
      <c r="E12" s="366">
        <f>'Прил.5 Расчет СМР и ОБ'!E37</f>
        <v/>
      </c>
      <c r="F12" s="375">
        <f>'Прил.5 Расчет СМР и ОБ'!F37</f>
        <v/>
      </c>
      <c r="G12" s="375">
        <f>ROUND(E12*F12,2)</f>
        <v/>
      </c>
    </row>
    <row r="13" ht="25.5" customHeight="1" s="301">
      <c r="A13" s="366" t="n"/>
      <c r="B13" s="374" t="n"/>
      <c r="C13" s="374" t="inlineStr">
        <is>
          <t>ИТОГО ТЕХНОЛОГИЧЕСКОЕ ОБОРУДОВАНИЕ</t>
        </is>
      </c>
      <c r="D13" s="374" t="n"/>
      <c r="E13" s="386" t="n"/>
      <c r="F13" s="376" t="n"/>
      <c r="G13" s="251">
        <f>SUM(G12:G12)</f>
        <v/>
      </c>
    </row>
    <row r="14" ht="19.5" customHeight="1" s="301">
      <c r="A14" s="366" t="n"/>
      <c r="B14" s="374" t="n"/>
      <c r="C14" s="374" t="inlineStr">
        <is>
          <t>Всего по разделу «Оборудование»</t>
        </is>
      </c>
      <c r="D14" s="374" t="n"/>
      <c r="E14" s="386" t="n"/>
      <c r="F14" s="376" t="n"/>
      <c r="G14" s="251">
        <f>G10+G13</f>
        <v/>
      </c>
    </row>
    <row r="15">
      <c r="A15" s="300" t="n"/>
      <c r="B15" s="295" t="n"/>
      <c r="C15" s="300" t="n"/>
      <c r="D15" s="300" t="n"/>
      <c r="E15" s="300" t="n"/>
      <c r="F15" s="300" t="n"/>
      <c r="G15" s="300" t="n"/>
    </row>
    <row r="16">
      <c r="A16" s="289" t="inlineStr">
        <is>
          <t>Составил ______________________    Е. М. Добровольская</t>
        </is>
      </c>
      <c r="B16" s="299" t="n"/>
      <c r="C16" s="299" t="n"/>
      <c r="D16" s="300" t="n"/>
      <c r="E16" s="300" t="n"/>
      <c r="F16" s="300" t="n"/>
      <c r="G16" s="300" t="n"/>
    </row>
    <row r="17">
      <c r="A17" s="298" t="inlineStr">
        <is>
          <t xml:space="preserve">                         (подпись, инициалы, фамилия)</t>
        </is>
      </c>
      <c r="B17" s="299" t="n"/>
      <c r="C17" s="299" t="n"/>
      <c r="D17" s="300" t="n"/>
      <c r="E17" s="300" t="n"/>
      <c r="F17" s="300" t="n"/>
      <c r="G17" s="300" t="n"/>
    </row>
    <row r="18">
      <c r="A18" s="289" t="n"/>
      <c r="B18" s="299" t="n"/>
      <c r="C18" s="299" t="n"/>
      <c r="D18" s="300" t="n"/>
      <c r="E18" s="300" t="n"/>
      <c r="F18" s="300" t="n"/>
      <c r="G18" s="300" t="n"/>
    </row>
    <row r="19">
      <c r="A19" s="289" t="inlineStr">
        <is>
          <t>Проверил ______________________        А.В. Костянецкая</t>
        </is>
      </c>
      <c r="B19" s="299" t="n"/>
      <c r="C19" s="299" t="n"/>
      <c r="D19" s="300" t="n"/>
      <c r="E19" s="300" t="n"/>
      <c r="F19" s="300" t="n"/>
      <c r="G19" s="300" t="n"/>
    </row>
    <row r="20">
      <c r="A20" s="298" t="inlineStr">
        <is>
          <t xml:space="preserve">                        (подпись, инициалы, фамилия)</t>
        </is>
      </c>
      <c r="B20" s="299" t="n"/>
      <c r="C20" s="299" t="n"/>
      <c r="D20" s="300" t="n"/>
      <c r="E20" s="300" t="n"/>
      <c r="F20" s="300" t="n"/>
      <c r="G20" s="3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301" min="1" max="1"/>
    <col width="29.7109375" customWidth="1" style="301" min="2" max="2"/>
    <col width="39.140625" customWidth="1" style="301" min="3" max="3"/>
    <col width="24.5703125" customWidth="1" style="301" min="4" max="4"/>
    <col width="8.85546875" customWidth="1" style="301" min="5" max="5"/>
  </cols>
  <sheetData>
    <row r="1">
      <c r="B1" s="289" t="n"/>
      <c r="C1" s="289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1">
      <c r="A3" s="337" t="inlineStr">
        <is>
          <t>Расчет показателя УНЦ</t>
        </is>
      </c>
    </row>
    <row r="4" ht="24.75" customHeight="1" s="301">
      <c r="A4" s="337" t="n"/>
      <c r="B4" s="337" t="n"/>
      <c r="C4" s="337" t="n"/>
      <c r="D4" s="337" t="n"/>
    </row>
    <row r="5" ht="24.6" customHeight="1" s="301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01">
      <c r="A6" s="340" t="inlineStr">
        <is>
          <t>Единица измерения  — 1 ед</t>
        </is>
      </c>
      <c r="D6" s="340" t="n"/>
    </row>
    <row r="7">
      <c r="A7" s="289" t="n"/>
      <c r="B7" s="289" t="n"/>
      <c r="C7" s="289" t="n"/>
      <c r="D7" s="289" t="n"/>
    </row>
    <row r="8" ht="14.45" customHeight="1" s="301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 ht="15" customHeight="1" s="301">
      <c r="A9" s="447" t="n"/>
      <c r="B9" s="447" t="n"/>
      <c r="C9" s="447" t="n"/>
      <c r="D9" s="447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5" customHeight="1" s="301">
      <c r="A11" s="366" t="inlineStr">
        <is>
          <t>А1-42</t>
        </is>
      </c>
      <c r="B11" s="366" t="inlineStr">
        <is>
          <t>УНЦ ИИК</t>
        </is>
      </c>
      <c r="C11" s="291">
        <f>D5</f>
        <v/>
      </c>
      <c r="D11" s="292">
        <f>'Прил.4 РМ'!C41/1000</f>
        <v/>
      </c>
      <c r="E11" s="293" t="n"/>
    </row>
    <row r="12">
      <c r="A12" s="300" t="n"/>
      <c r="B12" s="295" t="n"/>
      <c r="C12" s="300" t="n"/>
      <c r="D12" s="300" t="n"/>
    </row>
    <row r="13">
      <c r="A13" s="289" t="inlineStr">
        <is>
          <t>Составил ______________________      Е. М. Добровольская</t>
        </is>
      </c>
      <c r="B13" s="299" t="n"/>
      <c r="C13" s="299" t="n"/>
      <c r="D13" s="300" t="n"/>
    </row>
    <row r="14">
      <c r="A14" s="298" t="inlineStr">
        <is>
          <t xml:space="preserve">                         (подпись, инициалы, фамилия)</t>
        </is>
      </c>
      <c r="B14" s="299" t="n"/>
      <c r="C14" s="299" t="n"/>
      <c r="D14" s="300" t="n"/>
    </row>
    <row r="15">
      <c r="A15" s="289" t="n"/>
      <c r="B15" s="299" t="n"/>
      <c r="C15" s="299" t="n"/>
      <c r="D15" s="300" t="n"/>
    </row>
    <row r="16">
      <c r="A16" s="289" t="inlineStr">
        <is>
          <t>Проверил ______________________        А.В. Костянецкая</t>
        </is>
      </c>
      <c r="B16" s="299" t="n"/>
      <c r="C16" s="299" t="n"/>
      <c r="D16" s="300" t="n"/>
    </row>
    <row r="17">
      <c r="A17" s="298" t="inlineStr">
        <is>
          <t xml:space="preserve">                        (подпись, инициалы, фамилия)</t>
        </is>
      </c>
      <c r="B17" s="299" t="n"/>
      <c r="C17" s="299" t="n"/>
      <c r="D17" s="3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1" min="1" max="1"/>
    <col width="40.7109375" customWidth="1" style="301" min="2" max="2"/>
    <col width="37.5703125" customWidth="1" style="301" min="3" max="3"/>
    <col width="32" customWidth="1" style="301" min="4" max="4"/>
    <col width="9.140625" customWidth="1" style="301" min="5" max="5"/>
  </cols>
  <sheetData>
    <row r="4" ht="15.75" customHeight="1" s="301">
      <c r="B4" s="344" t="inlineStr">
        <is>
          <t>Приложение № 10</t>
        </is>
      </c>
    </row>
    <row r="5" ht="18.75" customHeight="1" s="301">
      <c r="B5" s="153" t="n"/>
    </row>
    <row r="6" ht="15.75" customHeight="1" s="301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1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01">
      <c r="B10" s="350" t="n">
        <v>1</v>
      </c>
      <c r="C10" s="350" t="n">
        <v>2</v>
      </c>
      <c r="D10" s="350" t="n">
        <v>3</v>
      </c>
    </row>
    <row r="11" ht="45" customHeight="1" s="301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30.03.2023г. №17106-ИФ/09  прил.1</t>
        </is>
      </c>
      <c r="D11" s="350" t="n">
        <v>46.83</v>
      </c>
    </row>
    <row r="12" ht="29.25" customHeight="1" s="301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30.03.2023г. №17106-ИФ/09  прил.1</t>
        </is>
      </c>
      <c r="D12" s="350" t="n">
        <v>11.96</v>
      </c>
    </row>
    <row r="13" ht="29.25" customHeight="1" s="301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30.03.2023г. №17106-ИФ/09  прил.1</t>
        </is>
      </c>
      <c r="D13" s="350" t="n">
        <v>9.84</v>
      </c>
    </row>
    <row r="14" ht="30.75" customHeight="1" s="301">
      <c r="B14" s="350" t="inlineStr">
        <is>
          <t>Индекс изменения сметной стоимости на 1 квартал 2023 года. ОБ</t>
        </is>
      </c>
      <c r="C14" s="280" t="inlineStr">
        <is>
          <t>Письмо Минстроя России от 23.02.2023г. №9791-ИФ/09 прил.6</t>
        </is>
      </c>
      <c r="D14" s="350" t="n">
        <v>6.26</v>
      </c>
    </row>
    <row r="15" ht="89.25" customHeight="1" s="301">
      <c r="B15" s="350" t="inlineStr">
        <is>
          <t>Временные здания и сооружения</t>
        </is>
      </c>
      <c r="C15" s="350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0.033</v>
      </c>
    </row>
    <row r="16" ht="78.75" customHeight="1" s="301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</v>
      </c>
    </row>
    <row r="17" ht="31.5" customHeight="1" s="301">
      <c r="B17" s="350" t="inlineStr">
        <is>
          <t>Строительный контроль</t>
        </is>
      </c>
      <c r="C17" s="350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1">
      <c r="B18" s="350" t="inlineStr">
        <is>
          <t>Авторский надзор - 0,2%</t>
        </is>
      </c>
      <c r="C18" s="350" t="inlineStr">
        <is>
          <t>Приказ от 4.08.2020 № 421/пр п.173</t>
        </is>
      </c>
      <c r="D18" s="156" t="n">
        <v>0.002</v>
      </c>
    </row>
    <row r="19" ht="24" customHeight="1" s="301">
      <c r="B19" s="350" t="inlineStr">
        <is>
          <t>Непредвиденные расходы</t>
        </is>
      </c>
      <c r="C19" s="350" t="inlineStr">
        <is>
          <t>Приказ от 4.08.2020 № 421/пр п.179</t>
        </is>
      </c>
      <c r="D19" s="156" t="n">
        <v>0.03</v>
      </c>
    </row>
    <row r="20" ht="18.75" customHeight="1" s="301">
      <c r="B20" s="161" t="n"/>
    </row>
    <row r="21" ht="18.75" customHeight="1" s="301">
      <c r="B21" s="161" t="n"/>
    </row>
    <row r="22" ht="18.75" customHeight="1" s="301">
      <c r="B22" s="161" t="n"/>
    </row>
    <row r="23" ht="18.75" customHeight="1" s="301">
      <c r="B23" s="161" t="n"/>
    </row>
    <row r="26">
      <c r="B26" s="289" t="inlineStr">
        <is>
          <t>Составил ______________________    Е. М. Добровольская</t>
        </is>
      </c>
      <c r="C26" s="299" t="n"/>
    </row>
    <row r="27">
      <c r="B27" s="298" t="inlineStr">
        <is>
          <t xml:space="preserve">                         (подпись, инициалы, фамилия)</t>
        </is>
      </c>
      <c r="C27" s="299" t="n"/>
    </row>
    <row r="28">
      <c r="B28" s="289" t="n"/>
      <c r="C28" s="299" t="n"/>
    </row>
    <row r="29">
      <c r="B29" s="289" t="inlineStr">
        <is>
          <t>Проверил ______________________        А.В. Костянецкая</t>
        </is>
      </c>
      <c r="C29" s="299" t="n"/>
    </row>
    <row r="30">
      <c r="B30" s="298" t="inlineStr">
        <is>
          <t xml:space="preserve">                        (подпись, инициалы, фамилия)</t>
        </is>
      </c>
      <c r="C30" s="2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2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1" min="2" max="2"/>
    <col width="13" customWidth="1" style="301" min="3" max="3"/>
    <col width="22.85546875" customWidth="1" style="301" min="4" max="4"/>
    <col width="21.5703125" customWidth="1" style="301" min="5" max="5"/>
    <col width="53.7109375" bestFit="1" customWidth="1" style="301" min="6" max="6"/>
  </cols>
  <sheetData>
    <row r="1" s="301"/>
    <row r="2" ht="17.25" customHeight="1" s="301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01"/>
    <row r="4" ht="18" customHeight="1" s="301">
      <c r="A4" s="302" t="inlineStr">
        <is>
          <t>Составлен в уровне цен на 01.01.2023 г.</t>
        </is>
      </c>
      <c r="B4" s="303" t="n"/>
      <c r="C4" s="303" t="n"/>
      <c r="D4" s="303" t="n"/>
      <c r="E4" s="303" t="n"/>
      <c r="F4" s="303" t="n"/>
      <c r="G4" s="303" t="n"/>
    </row>
    <row r="5" ht="15.75" customHeight="1" s="301">
      <c r="A5" s="304" t="inlineStr">
        <is>
          <t>№ пп.</t>
        </is>
      </c>
      <c r="B5" s="304" t="inlineStr">
        <is>
          <t>Наименование элемента</t>
        </is>
      </c>
      <c r="C5" s="304" t="inlineStr">
        <is>
          <t>Обозначение</t>
        </is>
      </c>
      <c r="D5" s="304" t="inlineStr">
        <is>
          <t>Формула</t>
        </is>
      </c>
      <c r="E5" s="304" t="inlineStr">
        <is>
          <t>Величина элемента</t>
        </is>
      </c>
      <c r="F5" s="304" t="inlineStr">
        <is>
          <t>Наименования обосновывающих документов</t>
        </is>
      </c>
      <c r="G5" s="303" t="n"/>
    </row>
    <row r="6" ht="15.75" customHeight="1" s="301">
      <c r="A6" s="304" t="n">
        <v>1</v>
      </c>
      <c r="B6" s="304" t="n">
        <v>2</v>
      </c>
      <c r="C6" s="304" t="n">
        <v>3</v>
      </c>
      <c r="D6" s="304" t="n">
        <v>4</v>
      </c>
      <c r="E6" s="304" t="n">
        <v>5</v>
      </c>
      <c r="F6" s="304" t="n">
        <v>6</v>
      </c>
      <c r="G6" s="303" t="n"/>
    </row>
    <row r="7" ht="110.25" customHeight="1" s="301">
      <c r="A7" s="305" t="inlineStr">
        <is>
          <t>1.1</t>
        </is>
      </c>
      <c r="B7" s="3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08" t="n">
        <v>47872.94</v>
      </c>
      <c r="F7" s="3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3" t="n"/>
    </row>
    <row r="8" ht="31.5" customHeight="1" s="301">
      <c r="A8" s="305" t="inlineStr">
        <is>
          <t>1.2</t>
        </is>
      </c>
      <c r="B8" s="310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09">
        <f>1973/12</f>
        <v/>
      </c>
      <c r="F8" s="310" t="inlineStr">
        <is>
          <t>Производственный календарь 2023 год
(40-часов.неделя)</t>
        </is>
      </c>
      <c r="G8" s="312" t="n"/>
    </row>
    <row r="9" ht="15.75" customHeight="1" s="301">
      <c r="A9" s="305" t="inlineStr">
        <is>
          <t>1.3</t>
        </is>
      </c>
      <c r="B9" s="310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09" t="n">
        <v>1</v>
      </c>
      <c r="F9" s="310" t="n"/>
      <c r="G9" s="312" t="n"/>
    </row>
    <row r="10" ht="15.75" customHeight="1" s="301">
      <c r="A10" s="305" t="inlineStr">
        <is>
          <t>1.4</t>
        </is>
      </c>
      <c r="B10" s="310" t="inlineStr">
        <is>
          <t>Средний разряд работ</t>
        </is>
      </c>
      <c r="C10" s="350" t="n"/>
      <c r="D10" s="350" t="n"/>
      <c r="E10" s="462" t="n">
        <v>3.9</v>
      </c>
      <c r="F10" s="310" t="inlineStr">
        <is>
          <t>РТМ</t>
        </is>
      </c>
      <c r="G10" s="312" t="n"/>
    </row>
    <row r="11" ht="78.75" customHeight="1" s="301">
      <c r="A11" s="305" t="inlineStr">
        <is>
          <t>1.5</t>
        </is>
      </c>
      <c r="B11" s="310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63" t="n">
        <v>1.324</v>
      </c>
      <c r="F11" s="3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3" t="n"/>
    </row>
    <row r="12" ht="78.75" customHeight="1" s="301">
      <c r="A12" s="318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64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1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3" t="n"/>
    </row>
    <row r="14" ht="15.75" customHeight="1" s="301">
      <c r="A14" s="436" t="n"/>
      <c r="B14" s="437" t="inlineStr">
        <is>
          <t>Инженер I категории</t>
        </is>
      </c>
      <c r="C14" s="437" t="n"/>
      <c r="D14" s="437" t="n"/>
      <c r="E14" s="437" t="n"/>
      <c r="F14" s="438" t="n"/>
    </row>
    <row r="15" ht="110.25" customHeight="1" s="301">
      <c r="A15" s="305" t="inlineStr">
        <is>
          <t>1.1</t>
        </is>
      </c>
      <c r="B15" s="3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0" t="inlineStr">
        <is>
          <t>С1ср</t>
        </is>
      </c>
      <c r="D15" s="350" t="inlineStr">
        <is>
          <t>-</t>
        </is>
      </c>
      <c r="E15" s="308" t="n">
        <v>47872.94</v>
      </c>
      <c r="F15" s="3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3" t="n"/>
    </row>
    <row r="16" ht="31.5" customHeight="1" s="301">
      <c r="A16" s="305" t="inlineStr">
        <is>
          <t>1.2</t>
        </is>
      </c>
      <c r="B16" s="310" t="inlineStr">
        <is>
          <t>Среднегодовое нормативное число часов работы одного рабочего в месяц, часы (ч.)</t>
        </is>
      </c>
      <c r="C16" s="350" t="inlineStr">
        <is>
          <t>tср</t>
        </is>
      </c>
      <c r="D16" s="350" t="inlineStr">
        <is>
          <t>1973ч/12мес.</t>
        </is>
      </c>
      <c r="E16" s="309">
        <f>1973/12</f>
        <v/>
      </c>
      <c r="F16" s="310" t="inlineStr">
        <is>
          <t>Производственный календарь 2023 год
(40-часов.неделя)</t>
        </is>
      </c>
      <c r="G16" s="312" t="n"/>
    </row>
    <row r="17" ht="15.75" customHeight="1" s="301">
      <c r="A17" s="305" t="inlineStr">
        <is>
          <t>1.3</t>
        </is>
      </c>
      <c r="B17" s="310" t="inlineStr">
        <is>
          <t>Коэффициент увеличения</t>
        </is>
      </c>
      <c r="C17" s="350" t="inlineStr">
        <is>
          <t>Кув</t>
        </is>
      </c>
      <c r="D17" s="350" t="inlineStr">
        <is>
          <t>-</t>
        </is>
      </c>
      <c r="E17" s="309" t="n">
        <v>1</v>
      </c>
      <c r="F17" s="310" t="n"/>
      <c r="G17" s="312" t="n"/>
    </row>
    <row r="18" ht="15.75" customHeight="1" s="301">
      <c r="A18" s="305" t="inlineStr">
        <is>
          <t>1.4</t>
        </is>
      </c>
      <c r="B18" s="310" t="inlineStr">
        <is>
          <t>Средний разряд работ</t>
        </is>
      </c>
      <c r="C18" s="350" t="n"/>
      <c r="D18" s="350" t="n"/>
      <c r="E18" s="462" t="inlineStr">
        <is>
          <t>Инженер I категории</t>
        </is>
      </c>
      <c r="F18" s="310" t="inlineStr">
        <is>
          <t>РТМ</t>
        </is>
      </c>
      <c r="G18" s="312" t="n"/>
    </row>
    <row r="19" ht="78.75" customHeight="1" s="301">
      <c r="A19" s="318" t="inlineStr">
        <is>
          <t>1.5</t>
        </is>
      </c>
      <c r="B19" s="320" t="inlineStr">
        <is>
          <t>Тарифный коэффициент среднего разряда работ</t>
        </is>
      </c>
      <c r="C19" s="351" t="inlineStr">
        <is>
          <t>КТ</t>
        </is>
      </c>
      <c r="D19" s="351" t="inlineStr">
        <is>
          <t>-</t>
        </is>
      </c>
      <c r="E19" s="465" t="n">
        <v>2.15</v>
      </c>
      <c r="F19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3" t="n"/>
    </row>
    <row r="20" ht="78.75" customHeight="1" s="301">
      <c r="A20" s="305" t="inlineStr">
        <is>
          <t>1.6</t>
        </is>
      </c>
      <c r="B20" s="315" t="inlineStr">
        <is>
          <t>Коэффициент инфляции, определяемый поквартально</t>
        </is>
      </c>
      <c r="C20" s="350" t="inlineStr">
        <is>
          <t>Кинф</t>
        </is>
      </c>
      <c r="D20" s="350" t="inlineStr">
        <is>
          <t>-</t>
        </is>
      </c>
      <c r="E20" s="466" t="n">
        <v>1.139</v>
      </c>
      <c r="F20" s="3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1">
      <c r="A21" s="305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50" t="inlineStr">
        <is>
          <t>ФОТр.тек.</t>
        </is>
      </c>
      <c r="D21" s="350" t="inlineStr">
        <is>
          <t>(С1ср/tср*КТ*Т*Кув)*Кинф</t>
        </is>
      </c>
      <c r="E21" s="326">
        <f>((E15*E17/E16)*E19)*E20</f>
        <v/>
      </c>
      <c r="F21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3" t="n"/>
    </row>
    <row r="22" ht="15.75" customHeight="1" s="301">
      <c r="A22" s="321" t="n"/>
      <c r="B22" s="322" t="inlineStr">
        <is>
          <t>Инженер II категории</t>
        </is>
      </c>
      <c r="C22" s="322" t="n"/>
      <c r="D22" s="322" t="n"/>
      <c r="E22" s="322" t="n"/>
      <c r="F22" s="323" t="n"/>
    </row>
    <row r="23" ht="110.25" customHeight="1" s="301">
      <c r="A23" s="305" t="inlineStr">
        <is>
          <t>1.1</t>
        </is>
      </c>
      <c r="B23" s="3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0" t="inlineStr">
        <is>
          <t>С1ср</t>
        </is>
      </c>
      <c r="D23" s="350" t="inlineStr">
        <is>
          <t>-</t>
        </is>
      </c>
      <c r="E23" s="308" t="n">
        <v>47872.94</v>
      </c>
      <c r="F23" s="3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3" t="n"/>
    </row>
    <row r="24" ht="31.5" customHeight="1" s="301">
      <c r="A24" s="305" t="inlineStr">
        <is>
          <t>1.2</t>
        </is>
      </c>
      <c r="B24" s="310" t="inlineStr">
        <is>
          <t>Среднегодовое нормативное число часов работы одного рабочего в месяц, часы (ч.)</t>
        </is>
      </c>
      <c r="C24" s="350" t="inlineStr">
        <is>
          <t>tср</t>
        </is>
      </c>
      <c r="D24" s="350" t="inlineStr">
        <is>
          <t>1973ч/12мес.</t>
        </is>
      </c>
      <c r="E24" s="309">
        <f>1973/12</f>
        <v/>
      </c>
      <c r="F24" s="310" t="inlineStr">
        <is>
          <t>Производственный календарь 2023 год
(40-часов.неделя)</t>
        </is>
      </c>
      <c r="G24" s="312" t="n"/>
    </row>
    <row r="25" ht="15.75" customHeight="1" s="301">
      <c r="A25" s="305" t="inlineStr">
        <is>
          <t>1.3</t>
        </is>
      </c>
      <c r="B25" s="310" t="inlineStr">
        <is>
          <t>Коэффициент увеличения</t>
        </is>
      </c>
      <c r="C25" s="350" t="inlineStr">
        <is>
          <t>Кув</t>
        </is>
      </c>
      <c r="D25" s="350" t="inlineStr">
        <is>
          <t>-</t>
        </is>
      </c>
      <c r="E25" s="309" t="n">
        <v>1</v>
      </c>
      <c r="F25" s="310" t="n"/>
      <c r="G25" s="312" t="n"/>
    </row>
    <row r="26" ht="15.75" customHeight="1" s="301">
      <c r="A26" s="305" t="inlineStr">
        <is>
          <t>1.4</t>
        </is>
      </c>
      <c r="B26" s="310" t="inlineStr">
        <is>
          <t>Средний разряд работ</t>
        </is>
      </c>
      <c r="C26" s="350" t="n"/>
      <c r="D26" s="350" t="n"/>
      <c r="E26" s="462" t="inlineStr">
        <is>
          <t>Инженер II категории</t>
        </is>
      </c>
      <c r="F26" s="310" t="inlineStr">
        <is>
          <t>РТМ</t>
        </is>
      </c>
      <c r="G26" s="312" t="n"/>
    </row>
    <row r="27" ht="78.75" customHeight="1" s="301">
      <c r="A27" s="318" t="inlineStr">
        <is>
          <t>1.5</t>
        </is>
      </c>
      <c r="B27" s="320" t="inlineStr">
        <is>
          <t>Тарифный коэффициент среднего разряда работ</t>
        </is>
      </c>
      <c r="C27" s="351" t="inlineStr">
        <is>
          <t>КТ</t>
        </is>
      </c>
      <c r="D27" s="351" t="inlineStr">
        <is>
          <t>-</t>
        </is>
      </c>
      <c r="E27" s="465" t="n">
        <v>1.96</v>
      </c>
      <c r="F27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3" t="n"/>
    </row>
    <row r="28" ht="78.75" customHeight="1" s="301">
      <c r="A28" s="305" t="inlineStr">
        <is>
          <t>1.6</t>
        </is>
      </c>
      <c r="B28" s="315" t="inlineStr">
        <is>
          <t>Коэффициент инфляции, определяемый поквартально</t>
        </is>
      </c>
      <c r="C28" s="350" t="inlineStr">
        <is>
          <t>Кинф</t>
        </is>
      </c>
      <c r="D28" s="350" t="inlineStr">
        <is>
          <t>-</t>
        </is>
      </c>
      <c r="E28" s="466" t="n">
        <v>1.139</v>
      </c>
      <c r="F28" s="3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1">
      <c r="A29" s="305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50" t="inlineStr">
        <is>
          <t>ФОТр.тек.</t>
        </is>
      </c>
      <c r="D29" s="350" t="inlineStr">
        <is>
          <t>(С1ср/tср*КТ*Т*Кув)*Кинф</t>
        </is>
      </c>
      <c r="E29" s="326">
        <f>((E23*E25/E24)*E27)*E28</f>
        <v/>
      </c>
      <c r="F29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2025-01-24T11:51:59Z</dcterms:modified>
  <cp:lastModifiedBy>Николай Трофименко</cp:lastModifiedBy>
  <cp:lastPrinted>2023-12-01T09:56:30Z</cp:lastPrinted>
</cp:coreProperties>
</file>