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8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19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0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0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19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7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vertical="top"/>
    </xf>
    <xf numFmtId="169" fontId="17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5" fillId="0" borderId="4" applyAlignment="1" pivotButton="0" quotePrefix="0" xfId="0">
      <alignment vertical="center" wrapText="1"/>
    </xf>
    <xf numFmtId="4" fontId="25" fillId="0" borderId="4" applyAlignment="1" pivotButton="0" quotePrefix="0" xfId="0">
      <alignment vertical="center" wrapText="1"/>
    </xf>
    <xf numFmtId="2" fontId="25" fillId="0" borderId="4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9" fillId="0" borderId="2" applyAlignment="1" pivotButton="0" quotePrefix="0" xfId="0">
      <alignment vertical="top"/>
    </xf>
    <xf numFmtId="0" fontId="19" fillId="0" borderId="6" applyAlignment="1" pivotButton="0" quotePrefix="0" xfId="0">
      <alignment vertical="top"/>
    </xf>
    <xf numFmtId="0" fontId="19" fillId="0" borderId="7" applyAlignment="1" pivotButton="0" quotePrefix="0" xfId="0">
      <alignment vertical="top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167" fontId="17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9" fontId="17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20" zoomScale="70" zoomScaleNormal="55" workbookViewId="0">
      <selection activeCell="D28" sqref="D28"/>
    </sheetView>
  </sheetViews>
  <sheetFormatPr baseColWidth="8" defaultColWidth="9.140625" defaultRowHeight="15.75"/>
  <cols>
    <col width="9.140625" customWidth="1" style="303" min="1" max="2"/>
    <col width="51.7109375" customWidth="1" style="303" min="3" max="3"/>
    <col width="47" customWidth="1" style="303" min="4" max="4"/>
    <col width="37.42578125" customWidth="1" style="303" min="5" max="5"/>
    <col width="9.140625" customWidth="1" style="303" min="6" max="6"/>
  </cols>
  <sheetData>
    <row r="3">
      <c r="B3" s="333" t="inlineStr">
        <is>
          <t>Приложение № 1</t>
        </is>
      </c>
    </row>
    <row r="4">
      <c r="B4" s="334" t="inlineStr">
        <is>
          <t>Сравнительная таблица отбора объекта-представителя</t>
        </is>
      </c>
    </row>
    <row r="5" ht="84" customHeight="1" s="301">
      <c r="B5" s="3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1">
      <c r="B6" s="199" t="n"/>
      <c r="C6" s="199" t="n"/>
      <c r="D6" s="199" t="n"/>
    </row>
    <row r="7" ht="64.5" customHeight="1" s="301">
      <c r="B7" s="335" t="inlineStr">
        <is>
          <t>Наименование разрабатываемого показателя УНЦ - Установка 3-ф ПУ трансформаторного включения в шкафу в ТП (СП, РП, РТП) 6-20 Кв</t>
        </is>
      </c>
    </row>
    <row r="8" ht="31.5" customHeight="1" s="301">
      <c r="B8" s="335" t="inlineStr">
        <is>
          <t>Сопоставимый уровень цен: 3 кв. 2019 г.</t>
        </is>
      </c>
    </row>
    <row r="9" ht="15.75" customHeight="1" s="301">
      <c r="B9" s="335" t="inlineStr">
        <is>
          <t>Единица измерения  — 1 ед.</t>
        </is>
      </c>
    </row>
    <row r="10">
      <c r="B10" s="335" t="n"/>
    </row>
    <row r="11">
      <c r="B11" s="339" t="inlineStr">
        <is>
          <t>№ п/п</t>
        </is>
      </c>
      <c r="C11" s="339" t="inlineStr">
        <is>
          <t>Параметр</t>
        </is>
      </c>
      <c r="D11" s="339" t="inlineStr">
        <is>
          <t xml:space="preserve">Объект-представитель </t>
        </is>
      </c>
      <c r="E11" s="200" t="n"/>
    </row>
    <row r="12" ht="96.75" customHeight="1" s="301">
      <c r="B12" s="339" t="n">
        <v>1</v>
      </c>
      <c r="C12" s="201" t="inlineStr">
        <is>
          <t>Наименование объекта-представителя</t>
        </is>
      </c>
      <c r="D12" s="339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39" t="n">
        <v>2</v>
      </c>
      <c r="C13" s="201" t="inlineStr">
        <is>
          <t>Наименование субъекта Российской Федерации</t>
        </is>
      </c>
      <c r="D13" s="339" t="inlineStr">
        <is>
          <t>Республика Калмыкия</t>
        </is>
      </c>
    </row>
    <row r="14">
      <c r="B14" s="339" t="n">
        <v>3</v>
      </c>
      <c r="C14" s="201" t="inlineStr">
        <is>
          <t>Климатический район и подрайон</t>
        </is>
      </c>
      <c r="D14" s="339" t="inlineStr">
        <is>
          <t>IVГ</t>
        </is>
      </c>
    </row>
    <row r="15">
      <c r="B15" s="339" t="n">
        <v>4</v>
      </c>
      <c r="C15" s="201" t="inlineStr">
        <is>
          <t>Мощность объекта</t>
        </is>
      </c>
      <c r="D15" s="339" t="n">
        <v>1</v>
      </c>
    </row>
    <row r="16" ht="63" customHeight="1" s="301">
      <c r="B16" s="339" t="n">
        <v>5</v>
      </c>
      <c r="C16" s="28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9" t="inlineStr">
        <is>
          <t>Счётчик трёхфазный прямого включения в шкафном исполнении с передачей данных в ИВК</t>
        </is>
      </c>
    </row>
    <row r="17" ht="79.5" customHeight="1" s="301">
      <c r="B17" s="339" t="n">
        <v>6</v>
      </c>
      <c r="C17" s="28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3">
        <f>D18+D19+D20+D21</f>
        <v/>
      </c>
      <c r="E17" s="204" t="n"/>
    </row>
    <row r="18">
      <c r="B18" s="205" t="inlineStr">
        <is>
          <t>6.1</t>
        </is>
      </c>
      <c r="C18" s="201" t="inlineStr">
        <is>
          <t>строительно-монтажные работы</t>
        </is>
      </c>
      <c r="D18" s="203">
        <f>'Прил.2 Расч стоим'!F12+'Прил.2 Расч стоим'!G12</f>
        <v/>
      </c>
    </row>
    <row r="19" ht="15.75" customHeight="1" s="301">
      <c r="B19" s="205" t="inlineStr">
        <is>
          <t>6.2</t>
        </is>
      </c>
      <c r="C19" s="201" t="inlineStr">
        <is>
          <t>оборудование и инвентарь</t>
        </is>
      </c>
      <c r="D19" s="203">
        <f>'Прил.2 Расч стоим'!H12</f>
        <v/>
      </c>
    </row>
    <row r="20" ht="16.5" customHeight="1" s="301">
      <c r="B20" s="205" t="inlineStr">
        <is>
          <t>6.3</t>
        </is>
      </c>
      <c r="C20" s="201" t="inlineStr">
        <is>
          <t>пусконаладочные работы</t>
        </is>
      </c>
      <c r="D20" s="203" t="n"/>
    </row>
    <row r="21" ht="35.25" customHeight="1" s="301">
      <c r="B21" s="205" t="inlineStr">
        <is>
          <t>6.4</t>
        </is>
      </c>
      <c r="C21" s="206" t="inlineStr">
        <is>
          <t>прочие и лимитированные затраты</t>
        </is>
      </c>
      <c r="D21" s="203">
        <f>D18*0.025+(D18*0.025+D18)*0.021</f>
        <v/>
      </c>
    </row>
    <row r="22">
      <c r="B22" s="339" t="n">
        <v>7</v>
      </c>
      <c r="C22" s="206" t="inlineStr">
        <is>
          <t>Сопоставимый уровень цен</t>
        </is>
      </c>
      <c r="D22" s="207" t="inlineStr">
        <is>
          <t>3 кв. 2019 г.</t>
        </is>
      </c>
      <c r="E22" s="208" t="n"/>
    </row>
    <row r="23" ht="123" customHeight="1" s="301">
      <c r="B23" s="339" t="n">
        <v>8</v>
      </c>
      <c r="C23" s="20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3">
        <f>D17</f>
        <v/>
      </c>
      <c r="E23" s="204" t="n"/>
    </row>
    <row r="24" ht="60.75" customHeight="1" s="301">
      <c r="B24" s="339" t="n">
        <v>9</v>
      </c>
      <c r="C24" s="280" t="inlineStr">
        <is>
          <t>Приведенная сметная стоимость на единицу мощности, тыс. руб. (строка 8/строку 4)</t>
        </is>
      </c>
      <c r="D24" s="203">
        <f>D23/D15</f>
        <v/>
      </c>
      <c r="E24" s="208" t="n"/>
    </row>
    <row r="25" ht="48" customHeight="1" s="301">
      <c r="B25" s="339" t="n">
        <v>10</v>
      </c>
      <c r="C25" s="201" t="inlineStr">
        <is>
          <t>Примечание</t>
        </is>
      </c>
      <c r="D25" s="339" t="n"/>
    </row>
    <row r="26">
      <c r="B26" s="210" t="n"/>
      <c r="C26" s="211" t="n"/>
      <c r="D26" s="211" t="n"/>
    </row>
    <row r="27" ht="37.5" customHeight="1" s="301">
      <c r="B27" s="163" t="n"/>
    </row>
    <row r="28">
      <c r="B28" s="303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03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3" min="1" max="1"/>
    <col width="9.140625" customWidth="1" style="303" min="2" max="2"/>
    <col width="35.28515625" customWidth="1" style="303" min="3" max="3"/>
    <col width="13.85546875" customWidth="1" style="303" min="4" max="4"/>
    <col width="24.85546875" customWidth="1" style="303" min="5" max="5"/>
    <col width="15.5703125" customWidth="1" style="303" min="6" max="6"/>
    <col width="14.85546875" customWidth="1" style="303" min="7" max="7"/>
    <col width="16.7109375" customWidth="1" style="303" min="8" max="8"/>
    <col width="13" customWidth="1" style="303" min="9" max="10"/>
    <col width="9.140625" customWidth="1" style="303" min="11" max="11"/>
  </cols>
  <sheetData>
    <row r="3">
      <c r="B3" s="333" t="inlineStr">
        <is>
          <t>Приложение № 2</t>
        </is>
      </c>
    </row>
    <row r="4">
      <c r="B4" s="334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1">
      <c r="B6" s="335">
        <f>'Прил.1 Сравнит табл'!B7:D7</f>
        <v/>
      </c>
    </row>
    <row r="7">
      <c r="B7" s="335">
        <f>'Прил.1 Сравнит табл'!B9:D9</f>
        <v/>
      </c>
    </row>
    <row r="8" ht="18.75" customHeight="1" s="301">
      <c r="B8" s="161" t="n"/>
    </row>
    <row r="9" ht="15.75" customHeight="1" s="301">
      <c r="B9" s="339" t="inlineStr">
        <is>
          <t>№ п/п</t>
        </is>
      </c>
      <c r="C9" s="3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9" t="inlineStr">
        <is>
          <t>Объект-представитель 1</t>
        </is>
      </c>
      <c r="E9" s="429" t="n"/>
      <c r="F9" s="429" t="n"/>
      <c r="G9" s="429" t="n"/>
      <c r="H9" s="429" t="n"/>
      <c r="I9" s="429" t="n"/>
      <c r="J9" s="430" t="n"/>
    </row>
    <row r="10" ht="15.75" customHeight="1" s="301">
      <c r="B10" s="431" t="n"/>
      <c r="C10" s="431" t="n"/>
      <c r="D10" s="339" t="inlineStr">
        <is>
          <t>Номер сметы</t>
        </is>
      </c>
      <c r="E10" s="339" t="inlineStr">
        <is>
          <t>Наименование сметы</t>
        </is>
      </c>
      <c r="F10" s="339" t="inlineStr">
        <is>
          <t>Сметная стоимость в уровне цен 3 кв. 2019г., тыс. руб.</t>
        </is>
      </c>
      <c r="G10" s="429" t="n"/>
      <c r="H10" s="429" t="n"/>
      <c r="I10" s="429" t="n"/>
      <c r="J10" s="430" t="n"/>
    </row>
    <row r="11" ht="31.5" customHeight="1" s="301">
      <c r="B11" s="432" t="n"/>
      <c r="C11" s="432" t="n"/>
      <c r="D11" s="432" t="n"/>
      <c r="E11" s="432" t="n"/>
      <c r="F11" s="340" t="inlineStr">
        <is>
          <t>Строительные работы</t>
        </is>
      </c>
      <c r="G11" s="340" t="inlineStr">
        <is>
          <t>Монтажные работы</t>
        </is>
      </c>
      <c r="H11" s="340" t="inlineStr">
        <is>
          <t>Оборудование</t>
        </is>
      </c>
      <c r="I11" s="340" t="inlineStr">
        <is>
          <t>Прочее</t>
        </is>
      </c>
      <c r="J11" s="340" t="inlineStr">
        <is>
          <t>Всего</t>
        </is>
      </c>
    </row>
    <row r="12" ht="56.25" customHeight="1" s="301">
      <c r="B12" s="319" t="n">
        <v>1</v>
      </c>
      <c r="C12" s="320" t="inlineStr">
        <is>
          <t>Счётчик трёхфазный прямого включения в шкафном исполнении с передачей данных в ИВК</t>
        </is>
      </c>
      <c r="D12" s="321" t="inlineStr">
        <is>
          <t>02-01-01</t>
        </is>
      </c>
      <c r="E12" s="320" t="inlineStr">
        <is>
          <t>Установка ПКУ 10 кВ</t>
        </is>
      </c>
      <c r="F12" s="320" t="n">
        <v>0</v>
      </c>
      <c r="G12" s="322" t="n">
        <v>4.98</v>
      </c>
      <c r="H12" s="322" t="n">
        <v>53.86</v>
      </c>
      <c r="I12" s="320" t="n">
        <v>0</v>
      </c>
      <c r="J12" s="320">
        <f>SUM(F12:I12)</f>
        <v/>
      </c>
    </row>
    <row r="13" ht="15.75" customHeight="1" s="301">
      <c r="B13" s="337" t="inlineStr">
        <is>
          <t>Всего по объекту:</t>
        </is>
      </c>
      <c r="C13" s="433" t="n"/>
      <c r="D13" s="433" t="n"/>
      <c r="E13" s="434" t="n"/>
      <c r="F13" s="323">
        <f>F12</f>
        <v/>
      </c>
      <c r="G13" s="323">
        <f>G12</f>
        <v/>
      </c>
      <c r="H13" s="323">
        <f>H12</f>
        <v/>
      </c>
      <c r="I13" s="323">
        <f>I12</f>
        <v/>
      </c>
      <c r="J13" s="323">
        <f>SUM(F13:I13)</f>
        <v/>
      </c>
    </row>
    <row r="14" ht="15.75" customHeight="1" s="301">
      <c r="B14" s="338" t="inlineStr">
        <is>
          <t>Всего по объекту в сопоставимом уровне цен 3 кв. 2019г:</t>
        </is>
      </c>
      <c r="C14" s="429" t="n"/>
      <c r="D14" s="429" t="n"/>
      <c r="E14" s="430" t="n"/>
      <c r="F14" s="323">
        <f>F13</f>
        <v/>
      </c>
      <c r="G14" s="323">
        <f>G13</f>
        <v/>
      </c>
      <c r="H14" s="323">
        <f>H13</f>
        <v/>
      </c>
      <c r="I14" s="324">
        <f>'Прил.1 Сравнит табл'!D21</f>
        <v/>
      </c>
      <c r="J14" s="325">
        <f>SUM(F14:I14)</f>
        <v/>
      </c>
    </row>
    <row r="15" ht="15" customHeight="1" s="301"/>
    <row r="16" ht="15" customHeight="1" s="301"/>
    <row r="17" ht="15" customHeight="1" s="301"/>
    <row r="18" ht="15" customHeight="1" s="301">
      <c r="C18" s="289" t="inlineStr">
        <is>
          <t>Составил ______________________     Е. М. Добровольская</t>
        </is>
      </c>
      <c r="D18" s="299" t="n"/>
      <c r="E18" s="299" t="n"/>
    </row>
    <row r="19" ht="15" customHeight="1" s="301">
      <c r="C19" s="298" t="inlineStr">
        <is>
          <t xml:space="preserve">                         (подпись, инициалы, фамилия)</t>
        </is>
      </c>
      <c r="D19" s="299" t="n"/>
      <c r="E19" s="299" t="n"/>
    </row>
    <row r="20" ht="15" customHeight="1" s="301">
      <c r="C20" s="289" t="n"/>
      <c r="D20" s="299" t="n"/>
      <c r="E20" s="299" t="n"/>
    </row>
    <row r="21" ht="15" customHeight="1" s="301">
      <c r="C21" s="289" t="inlineStr">
        <is>
          <t>Проверил ______________________        А.В. Костянецкая</t>
        </is>
      </c>
      <c r="D21" s="299" t="n"/>
      <c r="E21" s="299" t="n"/>
    </row>
    <row r="22" ht="15" customHeight="1" s="301">
      <c r="C22" s="298" t="inlineStr">
        <is>
          <t xml:space="preserve">                        (подпись, инициалы, фамилия)</t>
        </is>
      </c>
      <c r="D22" s="299" t="n"/>
      <c r="E22" s="299" t="n"/>
    </row>
    <row r="23" ht="15" customHeight="1" s="301"/>
    <row r="24" ht="15" customHeight="1" s="301"/>
    <row r="25" ht="15" customHeight="1" s="301"/>
    <row r="26" ht="15" customHeight="1" s="301"/>
    <row r="27" ht="15" customHeight="1" s="301"/>
    <row r="28" ht="15" customHeight="1" s="30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M46"/>
  <sheetViews>
    <sheetView view="pageBreakPreview" topLeftCell="A26" zoomScale="70" workbookViewId="0">
      <selection activeCell="C44" sqref="C44"/>
    </sheetView>
  </sheetViews>
  <sheetFormatPr baseColWidth="8" defaultColWidth="9.140625" defaultRowHeight="15.75"/>
  <cols>
    <col width="9.140625" customWidth="1" style="303" min="1" max="1"/>
    <col width="12.5703125" customWidth="1" style="303" min="2" max="2"/>
    <col width="22.42578125" customWidth="1" style="303" min="3" max="3"/>
    <col width="49.7109375" customWidth="1" style="303" min="4" max="4"/>
    <col width="10.140625" customWidth="1" style="303" min="5" max="5"/>
    <col width="23.5703125" customWidth="1" style="303" min="6" max="6"/>
    <col width="20" customWidth="1" style="303" min="7" max="7"/>
    <col width="16.7109375" customWidth="1" style="303" min="8" max="8"/>
    <col width="8.28515625" customWidth="1" style="303" min="9" max="9"/>
    <col width="12.5703125" customWidth="1" style="303" min="10" max="10"/>
    <col width="15" customWidth="1" style="303" min="11" max="11"/>
    <col width="9.140625" customWidth="1" style="303" min="12" max="12"/>
  </cols>
  <sheetData>
    <row r="2">
      <c r="A2" s="333" t="inlineStr">
        <is>
          <t xml:space="preserve">Приложение № 3 </t>
        </is>
      </c>
    </row>
    <row r="3">
      <c r="A3" s="334" t="inlineStr">
        <is>
          <t>Объектная ресурсная ведомость</t>
        </is>
      </c>
    </row>
    <row r="4" ht="18.75" customHeight="1" s="301">
      <c r="A4" s="212" t="n"/>
      <c r="B4" s="212" t="n"/>
      <c r="C4" s="34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5" t="n"/>
    </row>
    <row r="6" ht="33.75" customHeight="1" s="301">
      <c r="A6" s="348" t="inlineStr">
        <is>
          <t>Наименование разрабатываемого показателя УНЦ -  Установка 3-ф ПУ трансформаторного включения в шкафу в ТП (СП, РП, РТП) 6-20 Кв</t>
        </is>
      </c>
    </row>
    <row r="7" ht="33.75" customHeight="1" s="301">
      <c r="A7" s="348" t="n"/>
      <c r="B7" s="348" t="n"/>
      <c r="C7" s="348" t="n"/>
      <c r="D7" s="348" t="n"/>
      <c r="E7" s="348" t="n"/>
      <c r="F7" s="348" t="n"/>
      <c r="G7" s="348" t="n"/>
      <c r="H7" s="348" t="n"/>
      <c r="I7" s="303" t="n"/>
      <c r="J7" s="303" t="n"/>
      <c r="K7" s="303" t="n"/>
      <c r="L7" s="303" t="n"/>
    </row>
    <row r="8">
      <c r="A8" s="213" t="n"/>
      <c r="B8" s="213" t="n"/>
      <c r="C8" s="213" t="n"/>
      <c r="D8" s="213" t="n"/>
      <c r="E8" s="213" t="n"/>
      <c r="F8" s="213" t="n"/>
      <c r="G8" s="213" t="n"/>
      <c r="H8" s="213" t="n"/>
    </row>
    <row r="9" ht="38.25" customHeight="1" s="301">
      <c r="A9" s="339" t="inlineStr">
        <is>
          <t>п/п</t>
        </is>
      </c>
      <c r="B9" s="339" t="inlineStr">
        <is>
          <t>№ЛСР</t>
        </is>
      </c>
      <c r="C9" s="339" t="inlineStr">
        <is>
          <t>Код ресурса</t>
        </is>
      </c>
      <c r="D9" s="339" t="inlineStr">
        <is>
          <t>Наименование ресурса</t>
        </is>
      </c>
      <c r="E9" s="339" t="inlineStr">
        <is>
          <t>Ед. изм.</t>
        </is>
      </c>
      <c r="F9" s="339" t="inlineStr">
        <is>
          <t>Кол-во единиц по данным объекта-представителя</t>
        </is>
      </c>
      <c r="G9" s="339" t="inlineStr">
        <is>
          <t>Сметная стоимость в ценах на 01.01.2000 (руб.)</t>
        </is>
      </c>
      <c r="H9" s="430" t="n"/>
    </row>
    <row r="10" ht="40.5" customHeight="1" s="301">
      <c r="A10" s="432" t="n"/>
      <c r="B10" s="432" t="n"/>
      <c r="C10" s="432" t="n"/>
      <c r="D10" s="432" t="n"/>
      <c r="E10" s="432" t="n"/>
      <c r="F10" s="432" t="n"/>
      <c r="G10" s="339" t="inlineStr">
        <is>
          <t>на ед.изм.</t>
        </is>
      </c>
      <c r="H10" s="339" t="inlineStr">
        <is>
          <t>общая</t>
        </is>
      </c>
    </row>
    <row r="11">
      <c r="A11" s="340" t="n">
        <v>1</v>
      </c>
      <c r="B11" s="340" t="n"/>
      <c r="C11" s="340" t="n">
        <v>2</v>
      </c>
      <c r="D11" s="340" t="inlineStr">
        <is>
          <t>З</t>
        </is>
      </c>
      <c r="E11" s="340" t="n">
        <v>4</v>
      </c>
      <c r="F11" s="340" t="n">
        <v>5</v>
      </c>
      <c r="G11" s="340" t="n">
        <v>6</v>
      </c>
      <c r="H11" s="340" t="n">
        <v>7</v>
      </c>
    </row>
    <row r="12" customFormat="1" s="215">
      <c r="A12" s="342" t="inlineStr">
        <is>
          <t>Затраты труда рабочих</t>
        </is>
      </c>
      <c r="B12" s="429" t="n"/>
      <c r="C12" s="429" t="n"/>
      <c r="D12" s="429" t="n"/>
      <c r="E12" s="430" t="n"/>
      <c r="F12" s="435" t="n">
        <v>7.17</v>
      </c>
      <c r="G12" s="175" t="n"/>
      <c r="H12" s="435">
        <f>SUM(H13:H16)</f>
        <v/>
      </c>
    </row>
    <row r="13">
      <c r="A13" s="375" t="n">
        <v>1</v>
      </c>
      <c r="B13" s="176" t="n"/>
      <c r="C13" s="217" t="inlineStr">
        <is>
          <t>1-4-0</t>
        </is>
      </c>
      <c r="D13" s="218" t="inlineStr">
        <is>
          <t>Затраты труда рабочих (ср 4)</t>
        </is>
      </c>
      <c r="E13" s="375" t="inlineStr">
        <is>
          <t>чел.-ч</t>
        </is>
      </c>
      <c r="F13" s="375" t="n">
        <v>3.3</v>
      </c>
      <c r="G13" s="283" t="n">
        <v>9.619999999999999</v>
      </c>
      <c r="H13" s="177">
        <f>ROUND(F13*G13,2)</f>
        <v/>
      </c>
      <c r="M13" s="436" t="n"/>
    </row>
    <row r="14">
      <c r="A14" s="375" t="n">
        <v>2</v>
      </c>
      <c r="B14" s="176" t="n"/>
      <c r="C14" s="217" t="inlineStr">
        <is>
          <t>1-3-8</t>
        </is>
      </c>
      <c r="D14" s="218" t="inlineStr">
        <is>
          <t>Затраты труда рабочих (ср 3,8)</t>
        </is>
      </c>
      <c r="E14" s="375" t="inlineStr">
        <is>
          <t>чел.-ч</t>
        </is>
      </c>
      <c r="F14" s="375" t="n">
        <v>2.96</v>
      </c>
      <c r="G14" s="283" t="n">
        <v>9.4</v>
      </c>
      <c r="H14" s="177">
        <f>ROUND(F14*G14,2)</f>
        <v/>
      </c>
      <c r="M14" s="436" t="n"/>
    </row>
    <row r="15">
      <c r="A15" s="375" t="n">
        <v>3</v>
      </c>
      <c r="B15" s="176" t="n"/>
      <c r="C15" s="217" t="inlineStr">
        <is>
          <t>1-4-2</t>
        </is>
      </c>
      <c r="D15" s="218" t="inlineStr">
        <is>
          <t>Затраты труда рабочих (ср 4,2)</t>
        </is>
      </c>
      <c r="E15" s="375" t="inlineStr">
        <is>
          <t>чел.-ч</t>
        </is>
      </c>
      <c r="F15" s="375" t="n">
        <v>0.7</v>
      </c>
      <c r="G15" s="283" t="n">
        <v>9.92</v>
      </c>
      <c r="H15" s="177">
        <f>ROUND(F15*G15,2)</f>
        <v/>
      </c>
      <c r="M15" s="436" t="n"/>
    </row>
    <row r="16">
      <c r="A16" s="375" t="n">
        <v>4</v>
      </c>
      <c r="B16" s="176" t="n"/>
      <c r="C16" s="217" t="inlineStr">
        <is>
          <t>1-3-6</t>
        </is>
      </c>
      <c r="D16" s="218" t="inlineStr">
        <is>
          <t>Затраты труда рабочих (ср 3,6)</t>
        </is>
      </c>
      <c r="E16" s="375" t="inlineStr">
        <is>
          <t>чел.-ч</t>
        </is>
      </c>
      <c r="F16" s="375" t="n">
        <v>0.21</v>
      </c>
      <c r="G16" s="283" t="n">
        <v>9.18</v>
      </c>
      <c r="H16" s="177">
        <f>ROUND(F16*G16,2)</f>
        <v/>
      </c>
      <c r="M16" s="436" t="n"/>
    </row>
    <row r="17">
      <c r="A17" s="341" t="inlineStr">
        <is>
          <t>Затраты труда машинистов</t>
        </is>
      </c>
      <c r="B17" s="429" t="n"/>
      <c r="C17" s="429" t="n"/>
      <c r="D17" s="429" t="n"/>
      <c r="E17" s="430" t="n"/>
      <c r="F17" s="342" t="n"/>
      <c r="G17" s="178" t="n"/>
      <c r="H17" s="435">
        <f>H18</f>
        <v/>
      </c>
    </row>
    <row r="18">
      <c r="A18" s="375" t="n">
        <v>5</v>
      </c>
      <c r="B18" s="343" t="n"/>
      <c r="C18" s="217" t="n">
        <v>2</v>
      </c>
      <c r="D18" s="218" t="inlineStr">
        <is>
          <t>Затраты труда машинистов</t>
        </is>
      </c>
      <c r="E18" s="375" t="inlineStr">
        <is>
          <t>чел.-ч</t>
        </is>
      </c>
      <c r="F18" s="437" t="n">
        <v>0.35</v>
      </c>
      <c r="G18" s="177" t="n"/>
      <c r="H18" s="438" t="n">
        <v>18.15</v>
      </c>
      <c r="J18" s="439" t="n"/>
    </row>
    <row r="19" customFormat="1" s="215">
      <c r="A19" s="342" t="inlineStr">
        <is>
          <t>Машины и механизмы</t>
        </is>
      </c>
      <c r="B19" s="429" t="n"/>
      <c r="C19" s="429" t="n"/>
      <c r="D19" s="429" t="n"/>
      <c r="E19" s="430" t="n"/>
      <c r="F19" s="342" t="n"/>
      <c r="G19" s="178" t="n"/>
      <c r="H19" s="435">
        <f>SUM(H20:H23)</f>
        <v/>
      </c>
    </row>
    <row r="20">
      <c r="A20" s="375" t="n">
        <v>6</v>
      </c>
      <c r="B20" s="343" t="n"/>
      <c r="C20" s="217" t="inlineStr">
        <is>
          <t>91.06.09-001</t>
        </is>
      </c>
      <c r="D20" s="218" t="inlineStr">
        <is>
          <t>Вышки телескопические 25 м</t>
        </is>
      </c>
      <c r="E20" s="375" t="inlineStr">
        <is>
          <t>маш.-ч</t>
        </is>
      </c>
      <c r="F20" s="375" t="n">
        <v>1</v>
      </c>
      <c r="G20" s="283" t="n">
        <v>142.7</v>
      </c>
      <c r="H20" s="177">
        <f>ROUND(F20*G20,2)</f>
        <v/>
      </c>
      <c r="I20" s="223" t="n"/>
      <c r="J20" s="223" t="n"/>
      <c r="L20" s="223" t="n"/>
    </row>
    <row r="21" ht="25.5" customHeight="1" s="301">
      <c r="A21" s="375" t="n">
        <v>7</v>
      </c>
      <c r="B21" s="343" t="n"/>
      <c r="C21" s="217" t="inlineStr">
        <is>
          <t>91.05.05-015</t>
        </is>
      </c>
      <c r="D21" s="218" t="inlineStr">
        <is>
          <t>Краны на автомобильном ходу, грузоподъемность 16 т</t>
        </is>
      </c>
      <c r="E21" s="375" t="inlineStr">
        <is>
          <t>маш.час</t>
        </is>
      </c>
      <c r="F21" s="375" t="n">
        <v>0.31</v>
      </c>
      <c r="G21" s="283" t="n">
        <v>115.4</v>
      </c>
      <c r="H21" s="177">
        <f>ROUND(F21*G21,2)</f>
        <v/>
      </c>
      <c r="I21" s="223" t="n"/>
      <c r="J21" s="223" t="n"/>
      <c r="K21" s="223" t="n"/>
      <c r="L21" s="223" t="n"/>
    </row>
    <row r="22" customFormat="1" s="215">
      <c r="A22" s="375" t="n">
        <v>8</v>
      </c>
      <c r="B22" s="343" t="n"/>
      <c r="C22" s="217" t="inlineStr">
        <is>
          <t>91.14.02-001</t>
        </is>
      </c>
      <c r="D22" s="218" t="inlineStr">
        <is>
          <t>Автомобили бортовые, грузоподъемность до 5 т</t>
        </is>
      </c>
      <c r="E22" s="375" t="inlineStr">
        <is>
          <t>маш.час</t>
        </is>
      </c>
      <c r="F22" s="375" t="n">
        <v>0.04</v>
      </c>
      <c r="G22" s="283" t="n">
        <v>65.70999999999999</v>
      </c>
      <c r="H22" s="177">
        <f>ROUND(F22*G22,2)</f>
        <v/>
      </c>
      <c r="I22" s="223" t="n"/>
      <c r="J22" s="223" t="n"/>
      <c r="K22" s="223" t="n"/>
      <c r="L22" s="223" t="n"/>
    </row>
    <row r="23" ht="25.5" customHeight="1" s="301">
      <c r="A23" s="375" t="n">
        <v>9</v>
      </c>
      <c r="B23" s="343" t="n"/>
      <c r="C23" s="217" t="inlineStr">
        <is>
          <t>91.17.04-233</t>
        </is>
      </c>
      <c r="D23" s="218" t="inlineStr">
        <is>
          <t>Установки для сварки ручной дуговой (постоянного тока)</t>
        </is>
      </c>
      <c r="E23" s="375" t="inlineStr">
        <is>
          <t>маш.час</t>
        </is>
      </c>
      <c r="F23" s="375" t="n">
        <v>0.01</v>
      </c>
      <c r="G23" s="283" t="n">
        <v>8.1</v>
      </c>
      <c r="H23" s="177">
        <f>ROUND(F23*G23,2)</f>
        <v/>
      </c>
      <c r="I23" s="223" t="n"/>
      <c r="J23" s="223" t="n"/>
      <c r="K23" s="223" t="n"/>
      <c r="L23" s="223" t="n"/>
    </row>
    <row r="24" ht="15" customHeight="1" s="301">
      <c r="A24" s="342" t="inlineStr">
        <is>
          <t>Оборудование</t>
        </is>
      </c>
      <c r="B24" s="429" t="n"/>
      <c r="C24" s="429" t="n"/>
      <c r="D24" s="429" t="n"/>
      <c r="E24" s="430" t="n"/>
      <c r="F24" s="175" t="n"/>
      <c r="G24" s="175" t="n"/>
      <c r="H24" s="435">
        <f>SUM(H25:H25)</f>
        <v/>
      </c>
    </row>
    <row r="25" ht="38.25" customHeight="1" s="301">
      <c r="A25" s="375" t="n">
        <v>10</v>
      </c>
      <c r="B25" s="343" t="n"/>
      <c r="C25" s="217" t="inlineStr">
        <is>
          <t>Прайс из СД ОП</t>
        </is>
      </c>
      <c r="D25" s="218" t="inlineStr">
        <is>
          <t>Счетчик трехфазный полукосвенного включения в шкафном исполнении с передачей данных в ИВКЭ для технического учета ТП</t>
        </is>
      </c>
      <c r="E25" s="375" t="inlineStr">
        <is>
          <t>шт</t>
        </is>
      </c>
      <c r="F25" s="375" t="n">
        <v>1</v>
      </c>
      <c r="G25" s="177" t="n">
        <v>11435.52</v>
      </c>
      <c r="H25" s="177">
        <f>ROUND(F25*G25,2)</f>
        <v/>
      </c>
      <c r="I25" s="223" t="n"/>
      <c r="J25" s="223" t="n"/>
      <c r="L25" s="223" t="n"/>
    </row>
    <row r="26">
      <c r="A26" s="342" t="inlineStr">
        <is>
          <t>Материалы</t>
        </is>
      </c>
      <c r="B26" s="429" t="n"/>
      <c r="C26" s="429" t="n"/>
      <c r="D26" s="429" t="n"/>
      <c r="E26" s="430" t="n"/>
      <c r="F26" s="342" t="n"/>
      <c r="G26" s="178" t="n"/>
      <c r="H26" s="435">
        <f>SUM(H27:H39)</f>
        <v/>
      </c>
    </row>
    <row r="27" ht="25.5" customHeight="1" s="301">
      <c r="A27" s="224" t="n">
        <v>11</v>
      </c>
      <c r="B27" s="343" t="n"/>
      <c r="C27" s="217" t="inlineStr">
        <is>
          <t>20.1.01.08-0014</t>
        </is>
      </c>
      <c r="D27" s="218" t="inlineStr">
        <is>
          <t>Зажим ответвительный с прокалыванием изоляции (СИП): P 645</t>
        </is>
      </c>
      <c r="E27" s="375" t="inlineStr">
        <is>
          <t>100 шт</t>
        </is>
      </c>
      <c r="F27" s="375" t="n">
        <v>0.08</v>
      </c>
      <c r="G27" s="177" t="n">
        <v>3423</v>
      </c>
      <c r="H27" s="177">
        <f>ROUND(F27*G27,2)</f>
        <v/>
      </c>
      <c r="I27" s="234" t="n"/>
      <c r="J27" s="223" t="n"/>
      <c r="K27" s="223" t="n"/>
    </row>
    <row r="28">
      <c r="A28" s="224" t="n">
        <v>12</v>
      </c>
      <c r="B28" s="343" t="n"/>
      <c r="C28" s="217" t="inlineStr">
        <is>
          <t>21.2.01.01-0065</t>
        </is>
      </c>
      <c r="D28" s="218" t="inlineStr">
        <is>
          <t>Провод самонесущий изолированный СИП 4х16-0,6/1</t>
        </is>
      </c>
      <c r="E28" s="375" t="inlineStr">
        <is>
          <t>1000 м</t>
        </is>
      </c>
      <c r="F28" s="375" t="n">
        <v>0.004</v>
      </c>
      <c r="G28" s="177" t="n">
        <v>9524.879999999999</v>
      </c>
      <c r="H28" s="177">
        <f>ROUND(F28*G28,2)</f>
        <v/>
      </c>
      <c r="I28" s="234" t="n"/>
      <c r="J28" s="223" t="n"/>
      <c r="K28" s="223" t="n"/>
    </row>
    <row r="29" ht="38.25" customHeight="1" s="301">
      <c r="A29" s="224" t="n">
        <v>13</v>
      </c>
      <c r="B29" s="343" t="n"/>
      <c r="C29" s="217" t="inlineStr">
        <is>
          <t>25.2.02.11-0021</t>
        </is>
      </c>
      <c r="D29" s="218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29" s="375" t="inlineStr">
        <is>
          <t>шт</t>
        </is>
      </c>
      <c r="F29" s="375" t="n">
        <v>0.024</v>
      </c>
      <c r="G29" s="177" t="n">
        <v>943.0599999999999</v>
      </c>
      <c r="H29" s="177">
        <f>ROUND(F29*G29,2)</f>
        <v/>
      </c>
      <c r="I29" s="234" t="n"/>
      <c r="J29" s="223" t="n"/>
    </row>
    <row r="30">
      <c r="A30" s="224" t="n">
        <v>14</v>
      </c>
      <c r="B30" s="343" t="n"/>
      <c r="C30" s="217" t="inlineStr">
        <is>
          <t>01.3.01.01-0001</t>
        </is>
      </c>
      <c r="D30" s="218" t="inlineStr">
        <is>
          <t>Бензин авиационный Б-70</t>
        </is>
      </c>
      <c r="E30" s="375" t="inlineStr">
        <is>
          <t>т</t>
        </is>
      </c>
      <c r="F30" s="375" t="n">
        <v>0.0016</v>
      </c>
      <c r="G30" s="177" t="n">
        <v>4488.4</v>
      </c>
      <c r="H30" s="177">
        <f>ROUND(F30*G30,2)</f>
        <v/>
      </c>
      <c r="I30" s="234" t="n"/>
      <c r="J30" s="223" t="n"/>
    </row>
    <row r="31" ht="25.5" customHeight="1" s="301">
      <c r="A31" s="224" t="n">
        <v>15</v>
      </c>
      <c r="B31" s="343" t="n"/>
      <c r="C31" s="217" t="inlineStr">
        <is>
          <t>25.2.02.11-0051</t>
        </is>
      </c>
      <c r="D31" s="218" t="inlineStr">
        <is>
          <t>Скрепа для фиксации на промежуточных опорах, размер 20 мм</t>
        </is>
      </c>
      <c r="E31" s="375" t="inlineStr">
        <is>
          <t>100 шт</t>
        </is>
      </c>
      <c r="F31" s="375" t="n">
        <v>0.01</v>
      </c>
      <c r="G31" s="177" t="n">
        <v>582</v>
      </c>
      <c r="H31" s="177">
        <f>ROUND(F31*G31,2)</f>
        <v/>
      </c>
      <c r="I31" s="234" t="n"/>
      <c r="J31" s="223" t="n"/>
      <c r="K31" s="223" t="n"/>
    </row>
    <row r="32">
      <c r="A32" s="224" t="n">
        <v>16</v>
      </c>
      <c r="B32" s="343" t="n"/>
      <c r="C32" s="217" t="inlineStr">
        <is>
          <t>14.4.02.09-0001</t>
        </is>
      </c>
      <c r="D32" s="218" t="inlineStr">
        <is>
          <t>Краска</t>
        </is>
      </c>
      <c r="E32" s="375" t="inlineStr">
        <is>
          <t>кг</t>
        </is>
      </c>
      <c r="F32" s="375" t="n">
        <v>0.064</v>
      </c>
      <c r="G32" s="177" t="n">
        <v>28.6</v>
      </c>
      <c r="H32" s="177">
        <f>ROUND(F32*G32,2)</f>
        <v/>
      </c>
      <c r="I32" s="234" t="n"/>
      <c r="J32" s="223" t="n"/>
    </row>
    <row r="33">
      <c r="A33" s="224" t="n">
        <v>17</v>
      </c>
      <c r="B33" s="343" t="n"/>
      <c r="C33" s="217" t="inlineStr">
        <is>
          <t>01.3.02.09-0022</t>
        </is>
      </c>
      <c r="D33" s="218" t="inlineStr">
        <is>
          <t>Пропан-бутан смесь техническая</t>
        </is>
      </c>
      <c r="E33" s="375" t="inlineStr">
        <is>
          <t>кг</t>
        </is>
      </c>
      <c r="F33" s="375" t="n">
        <v>0.3</v>
      </c>
      <c r="G33" s="177" t="n">
        <v>6.09</v>
      </c>
      <c r="H33" s="177">
        <f>ROUND(F33*G33,2)</f>
        <v/>
      </c>
      <c r="I33" s="234" t="n"/>
      <c r="J33" s="223" t="n"/>
    </row>
    <row r="34" ht="25.5" customHeight="1" s="301">
      <c r="A34" s="224" t="n">
        <v>18</v>
      </c>
      <c r="B34" s="343" t="n"/>
      <c r="C34" s="217" t="inlineStr">
        <is>
          <t>999-9950</t>
        </is>
      </c>
      <c r="D34" s="218" t="inlineStr">
        <is>
          <t>Вспомогательные ненормируемые ресурсы (2% от Оплаты труда рабочих)</t>
        </is>
      </c>
      <c r="E34" s="375" t="inlineStr">
        <is>
          <t>руб</t>
        </is>
      </c>
      <c r="F34" s="375" t="n">
        <v>1.3376</v>
      </c>
      <c r="G34" s="177" t="n">
        <v>1</v>
      </c>
      <c r="H34" s="177">
        <f>ROUND(F34*G34,2)</f>
        <v/>
      </c>
      <c r="I34" s="234" t="n"/>
      <c r="J34" s="223" t="n"/>
      <c r="K34" s="223" t="n"/>
    </row>
    <row r="35" ht="25.5" customHeight="1" s="301">
      <c r="A35" s="224" t="n">
        <v>19</v>
      </c>
      <c r="B35" s="343" t="n"/>
      <c r="C35" s="217" t="inlineStr">
        <is>
          <t>08.3.07.01-0076</t>
        </is>
      </c>
      <c r="D35" s="218" t="inlineStr">
        <is>
          <t>Прокат полосовой, горячекатаный, марка стали Ст3сп, ширина 50-200 мм, толщина 4-5 мм</t>
        </is>
      </c>
      <c r="E35" s="375" t="inlineStr">
        <is>
          <t>т</t>
        </is>
      </c>
      <c r="F35" s="375" t="n">
        <v>0.00024</v>
      </c>
      <c r="G35" s="177" t="n">
        <v>5000</v>
      </c>
      <c r="H35" s="177">
        <f>ROUND(F35*G35,2)</f>
        <v/>
      </c>
      <c r="I35" s="234" t="n"/>
      <c r="J35" s="223" t="n"/>
    </row>
    <row r="36">
      <c r="A36" s="224" t="n">
        <v>20</v>
      </c>
      <c r="B36" s="343" t="n"/>
      <c r="C36" s="217" t="inlineStr">
        <is>
          <t>01.7.15.04-0011</t>
        </is>
      </c>
      <c r="D36" s="218" t="inlineStr">
        <is>
          <t>Винты с полукруглой головкой, длина 50 мм</t>
        </is>
      </c>
      <c r="E36" s="375" t="inlineStr">
        <is>
          <t>т</t>
        </is>
      </c>
      <c r="F36" s="375" t="n">
        <v>3e-05</v>
      </c>
      <c r="G36" s="177" t="n">
        <v>12430</v>
      </c>
      <c r="H36" s="177">
        <f>ROUND(F36*G36,2)</f>
        <v/>
      </c>
      <c r="I36" s="234" t="n"/>
      <c r="J36" s="223" t="n"/>
    </row>
    <row r="37">
      <c r="A37" s="224" t="n">
        <v>21</v>
      </c>
      <c r="B37" s="343" t="n"/>
      <c r="C37" s="217" t="inlineStr">
        <is>
          <t>01.7.06.07-0002</t>
        </is>
      </c>
      <c r="D37" s="218" t="inlineStr">
        <is>
          <t>Лента монтажная, тип ЛМ-5</t>
        </is>
      </c>
      <c r="E37" s="375" t="inlineStr">
        <is>
          <t>10 м</t>
        </is>
      </c>
      <c r="F37" s="375" t="n">
        <v>0.048</v>
      </c>
      <c r="G37" s="177" t="n">
        <v>6.9</v>
      </c>
      <c r="H37" s="177">
        <f>ROUND(F37*G37,2)</f>
        <v/>
      </c>
      <c r="I37" s="234" t="n"/>
      <c r="J37" s="223" t="n"/>
    </row>
    <row r="38">
      <c r="A38" s="224" t="n">
        <v>22</v>
      </c>
      <c r="B38" s="343" t="n"/>
      <c r="C38" s="217" t="inlineStr">
        <is>
          <t>01.3.01.05-0009</t>
        </is>
      </c>
      <c r="D38" s="218" t="inlineStr">
        <is>
          <t>Парафин нефтяной твердый Т-1</t>
        </is>
      </c>
      <c r="E38" s="375" t="inlineStr">
        <is>
          <t>т</t>
        </is>
      </c>
      <c r="F38" s="375" t="n">
        <v>2e-05</v>
      </c>
      <c r="G38" s="177" t="n">
        <v>8105.71</v>
      </c>
      <c r="H38" s="177">
        <f>ROUND(F38*G38,2)</f>
        <v/>
      </c>
      <c r="I38" s="234" t="n"/>
      <c r="J38" s="223" t="n"/>
      <c r="K38" s="223" t="n"/>
    </row>
    <row r="39">
      <c r="A39" s="224" t="n">
        <v>23</v>
      </c>
      <c r="B39" s="343" t="n"/>
      <c r="C39" s="217" t="inlineStr">
        <is>
          <t>01.7.03.04-0001</t>
        </is>
      </c>
      <c r="D39" s="218" t="inlineStr">
        <is>
          <t>Электроэнергия</t>
        </is>
      </c>
      <c r="E39" s="375" t="inlineStr">
        <is>
          <t>кВт-ч</t>
        </is>
      </c>
      <c r="F39" s="217" t="n">
        <v>0.06</v>
      </c>
      <c r="G39" s="283" t="n">
        <v>0.4</v>
      </c>
      <c r="H39" s="177">
        <f>ROUND(F39*G39,2)</f>
        <v/>
      </c>
      <c r="I39" s="234" t="n"/>
      <c r="J39" s="223" t="n"/>
    </row>
    <row r="42">
      <c r="B42" s="303" t="inlineStr">
        <is>
          <t>Составил ______________________     Е. М. Добровольская</t>
        </is>
      </c>
    </row>
    <row r="43">
      <c r="B43" s="163" t="inlineStr">
        <is>
          <t xml:space="preserve">                         (подпись, инициалы, фамилия)</t>
        </is>
      </c>
    </row>
    <row r="45">
      <c r="B45" s="303" t="inlineStr">
        <is>
          <t>Проверил ______________________        А.В. Костянецкая</t>
        </is>
      </c>
    </row>
    <row r="46">
      <c r="B4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A26:E26"/>
    <mergeCell ref="F9:F10"/>
    <mergeCell ref="E9:E10"/>
    <mergeCell ref="A9:A10"/>
    <mergeCell ref="A24:E24"/>
    <mergeCell ref="A2:H2"/>
    <mergeCell ref="A19:E19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301" min="1" max="1"/>
    <col width="36.28515625" customWidth="1" style="301" min="2" max="2"/>
    <col width="18.85546875" customWidth="1" style="301" min="3" max="3"/>
    <col width="18.28515625" customWidth="1" style="301" min="4" max="4"/>
    <col width="18.85546875" customWidth="1" style="301" min="5" max="5"/>
    <col width="11.42578125" customWidth="1" style="301" min="6" max="6"/>
    <col width="14.42578125" customWidth="1" style="301" min="7" max="7"/>
    <col width="9.140625" customWidth="1" style="301" min="8" max="11"/>
    <col width="13.5703125" customWidth="1" style="301" min="12" max="12"/>
    <col width="9.140625" customWidth="1" style="301" min="13" max="13"/>
  </cols>
  <sheetData>
    <row r="1">
      <c r="B1" s="289" t="n"/>
      <c r="C1" s="289" t="n"/>
      <c r="D1" s="289" t="n"/>
      <c r="E1" s="289" t="n"/>
    </row>
    <row r="2">
      <c r="B2" s="289" t="n"/>
      <c r="C2" s="289" t="n"/>
      <c r="D2" s="289" t="n"/>
      <c r="E2" s="370" t="inlineStr">
        <is>
          <t>Приложение № 4</t>
        </is>
      </c>
    </row>
    <row r="3">
      <c r="B3" s="289" t="n"/>
      <c r="C3" s="289" t="n"/>
      <c r="D3" s="289" t="n"/>
      <c r="E3" s="289" t="n"/>
    </row>
    <row r="4">
      <c r="B4" s="289" t="n"/>
      <c r="C4" s="289" t="n"/>
      <c r="D4" s="289" t="n"/>
      <c r="E4" s="289" t="n"/>
    </row>
    <row r="5">
      <c r="B5" s="326" t="inlineStr">
        <is>
          <t>Ресурсная модель</t>
        </is>
      </c>
    </row>
    <row r="6">
      <c r="B6" s="226" t="n"/>
      <c r="C6" s="289" t="n"/>
      <c r="D6" s="289" t="n"/>
      <c r="E6" s="289" t="n"/>
    </row>
    <row r="7" ht="38.25" customHeight="1" s="301">
      <c r="B7" s="350" t="inlineStr">
        <is>
          <t>Наименование разрабатываемого показателя УНЦ — Установка 3-ф ПУ трансформаторного включения в шкафу в ТП (СП, РП, РТП) 6-20 Кв</t>
        </is>
      </c>
    </row>
    <row r="8">
      <c r="B8" s="351" t="inlineStr">
        <is>
          <t>Единица измерения  — 1 ед.</t>
        </is>
      </c>
    </row>
    <row r="9">
      <c r="B9" s="226" t="n"/>
      <c r="C9" s="289" t="n"/>
      <c r="D9" s="289" t="n"/>
      <c r="E9" s="289" t="n"/>
    </row>
    <row r="10" ht="51" customHeight="1" s="301">
      <c r="B10" s="355" t="inlineStr">
        <is>
          <t>Наименование</t>
        </is>
      </c>
      <c r="C10" s="355" t="inlineStr">
        <is>
          <t>Сметная стоимость в ценах на 01.01.2023
 (руб.)</t>
        </is>
      </c>
      <c r="D10" s="355" t="inlineStr">
        <is>
          <t>Удельный вес, 
(в СМР)</t>
        </is>
      </c>
      <c r="E10" s="355" t="inlineStr">
        <is>
          <t>Удельный вес, % 
(от всего по РМ)</t>
        </is>
      </c>
    </row>
    <row r="11">
      <c r="B11" s="228" t="inlineStr">
        <is>
          <t>Оплата труда рабочих</t>
        </is>
      </c>
      <c r="C11" s="291">
        <f>'Прил.5 Расчет СМР и ОБ'!J14</f>
        <v/>
      </c>
      <c r="D11" s="230">
        <f>C11/$C$24</f>
        <v/>
      </c>
      <c r="E11" s="230">
        <f>C11/$C$40</f>
        <v/>
      </c>
    </row>
    <row r="12">
      <c r="B12" s="228" t="inlineStr">
        <is>
          <t>Эксплуатация машин основных</t>
        </is>
      </c>
      <c r="C12" s="291">
        <f>'Прил.5 Расчет СМР и ОБ'!J21</f>
        <v/>
      </c>
      <c r="D12" s="230">
        <f>C12/$C$24</f>
        <v/>
      </c>
      <c r="E12" s="230">
        <f>C12/$C$40</f>
        <v/>
      </c>
    </row>
    <row r="13">
      <c r="B13" s="228" t="inlineStr">
        <is>
          <t>Эксплуатация машин прочих</t>
        </is>
      </c>
      <c r="C13" s="291">
        <f>'Прил.5 Расчет СМР и ОБ'!J24</f>
        <v/>
      </c>
      <c r="D13" s="230">
        <f>C13/$C$24</f>
        <v/>
      </c>
      <c r="E13" s="230">
        <f>C13/$C$40</f>
        <v/>
      </c>
    </row>
    <row r="14">
      <c r="B14" s="228" t="inlineStr">
        <is>
          <t>ЭКСПЛУАТАЦИЯ МАШИН, ВСЕГО:</t>
        </is>
      </c>
      <c r="C14" s="291">
        <f>C13+C12</f>
        <v/>
      </c>
      <c r="D14" s="230">
        <f>C14/$C$24</f>
        <v/>
      </c>
      <c r="E14" s="230">
        <f>C14/$C$40</f>
        <v/>
      </c>
    </row>
    <row r="15">
      <c r="B15" s="228" t="inlineStr">
        <is>
          <t>в том числе зарплата машинистов</t>
        </is>
      </c>
      <c r="C15" s="291">
        <f>'Прил.5 Расчет СМР и ОБ'!J16</f>
        <v/>
      </c>
      <c r="D15" s="230">
        <f>C15/$C$24</f>
        <v/>
      </c>
      <c r="E15" s="230">
        <f>C15/$C$40</f>
        <v/>
      </c>
    </row>
    <row r="16">
      <c r="B16" s="228" t="inlineStr">
        <is>
          <t>Материалы основные</t>
        </is>
      </c>
      <c r="C16" s="291">
        <f>'Прил.5 Расчет СМР и ОБ'!J37</f>
        <v/>
      </c>
      <c r="D16" s="230">
        <f>C16/$C$24</f>
        <v/>
      </c>
      <c r="E16" s="230">
        <f>C16/$C$40</f>
        <v/>
      </c>
    </row>
    <row r="17">
      <c r="B17" s="228" t="inlineStr">
        <is>
          <t>Материалы прочие</t>
        </is>
      </c>
      <c r="C17" s="291">
        <f>'Прил.5 Расчет СМР и ОБ'!J48</f>
        <v/>
      </c>
      <c r="D17" s="230">
        <f>C17/$C$24</f>
        <v/>
      </c>
      <c r="E17" s="230">
        <f>C17/$C$40</f>
        <v/>
      </c>
      <c r="G17" s="440" t="n"/>
    </row>
    <row r="18">
      <c r="B18" s="228" t="inlineStr">
        <is>
          <t>МАТЕРИАЛЫ, ВСЕГО:</t>
        </is>
      </c>
      <c r="C18" s="291">
        <f>C17+C16</f>
        <v/>
      </c>
      <c r="D18" s="230">
        <f>C18/$C$24</f>
        <v/>
      </c>
      <c r="E18" s="230">
        <f>C18/$C$40</f>
        <v/>
      </c>
    </row>
    <row r="19">
      <c r="B19" s="228" t="inlineStr">
        <is>
          <t>ИТОГО</t>
        </is>
      </c>
      <c r="C19" s="291">
        <f>C18+C14+C11</f>
        <v/>
      </c>
      <c r="D19" s="230" t="n"/>
      <c r="E19" s="228" t="n"/>
    </row>
    <row r="20">
      <c r="B20" s="228" t="inlineStr">
        <is>
          <t>Сметная прибыль, руб.</t>
        </is>
      </c>
      <c r="C20" s="291">
        <f>ROUND(C21*(C11+C15),2)</f>
        <v/>
      </c>
      <c r="D20" s="230">
        <f>C20/$C$24</f>
        <v/>
      </c>
      <c r="E20" s="230">
        <f>C20/$C$40</f>
        <v/>
      </c>
    </row>
    <row r="21">
      <c r="B21" s="228" t="inlineStr">
        <is>
          <t>Сметная прибыль, %</t>
        </is>
      </c>
      <c r="C21" s="232">
        <f>'Прил.5 Расчет СМР и ОБ'!D52</f>
        <v/>
      </c>
      <c r="D21" s="230" t="n"/>
      <c r="E21" s="228" t="n"/>
    </row>
    <row r="22">
      <c r="B22" s="228" t="inlineStr">
        <is>
          <t>Накладные расходы, руб.</t>
        </is>
      </c>
      <c r="C22" s="291">
        <f>ROUND(C23*(C11+C15),2)</f>
        <v/>
      </c>
      <c r="D22" s="230">
        <f>C22/$C$24</f>
        <v/>
      </c>
      <c r="E22" s="230">
        <f>C22/$C$40</f>
        <v/>
      </c>
    </row>
    <row r="23">
      <c r="B23" s="228" t="inlineStr">
        <is>
          <t>Накладные расходы, %</t>
        </is>
      </c>
      <c r="C23" s="232">
        <f>'Прил.5 Расчет СМР и ОБ'!D51</f>
        <v/>
      </c>
      <c r="D23" s="230" t="n"/>
      <c r="E23" s="228" t="n"/>
    </row>
    <row r="24">
      <c r="B24" s="228" t="inlineStr">
        <is>
          <t>ВСЕГО СМР с НР и СП</t>
        </is>
      </c>
      <c r="C24" s="291">
        <f>C19+C20+C22</f>
        <v/>
      </c>
      <c r="D24" s="230">
        <f>C24/$C$24</f>
        <v/>
      </c>
      <c r="E24" s="230">
        <f>C24/$C$40</f>
        <v/>
      </c>
    </row>
    <row r="25" ht="25.5" customHeight="1" s="301">
      <c r="B25" s="228" t="inlineStr">
        <is>
          <t>ВСЕГО стоимость оборудования, в том числе</t>
        </is>
      </c>
      <c r="C25" s="291">
        <f>'Прил.5 Расчет СМР и ОБ'!J31</f>
        <v/>
      </c>
      <c r="D25" s="230" t="n"/>
      <c r="E25" s="230">
        <f>C25/$C$40</f>
        <v/>
      </c>
    </row>
    <row r="26" ht="25.5" customHeight="1" s="301">
      <c r="B26" s="228" t="inlineStr">
        <is>
          <t>стоимость оборудования технологического</t>
        </is>
      </c>
      <c r="C26" s="291">
        <f>'Прил.5 Расчет СМР и ОБ'!J32</f>
        <v/>
      </c>
      <c r="D26" s="230" t="n"/>
      <c r="E26" s="230">
        <f>C26/$C$40</f>
        <v/>
      </c>
    </row>
    <row r="27">
      <c r="B27" s="228" t="inlineStr">
        <is>
          <t>ИТОГО (СМР + ОБОРУДОВАНИЕ)</t>
        </is>
      </c>
      <c r="C27" s="158">
        <f>C24+C25</f>
        <v/>
      </c>
      <c r="D27" s="230" t="n"/>
      <c r="E27" s="230">
        <f>C27/$C$40</f>
        <v/>
      </c>
    </row>
    <row r="28" ht="33" customHeight="1" s="301">
      <c r="B28" s="228" t="inlineStr">
        <is>
          <t>ПРОЧ. ЗАТР., УЧТЕННЫЕ ПОКАЗАТЕЛЕМ,  в том числе</t>
        </is>
      </c>
      <c r="C28" s="228" t="n"/>
      <c r="D28" s="228" t="n"/>
      <c r="E28" s="228" t="n"/>
      <c r="F28" s="233" t="n"/>
    </row>
    <row r="29" ht="25.5" customHeight="1" s="301">
      <c r="B29" s="228" t="inlineStr">
        <is>
          <t>Временные здания и сооружения - 2,5%</t>
        </is>
      </c>
      <c r="C29" s="158">
        <f>ROUND(C24*2.5%,2)</f>
        <v/>
      </c>
      <c r="D29" s="228" t="n"/>
      <c r="E29" s="230">
        <f>C29/$C$40</f>
        <v/>
      </c>
    </row>
    <row r="30" ht="38.25" customHeight="1" s="301">
      <c r="B30" s="228" t="inlineStr">
        <is>
          <t>Дополнительные затраты при производстве строительно-монтажных работ в зимнее время - 2,1%</t>
        </is>
      </c>
      <c r="C30" s="158">
        <f>ROUND((C24+C29)*2.1%,2)</f>
        <v/>
      </c>
      <c r="D30" s="228" t="n"/>
      <c r="E30" s="230">
        <f>C30/$C$40</f>
        <v/>
      </c>
      <c r="F30" s="233" t="n"/>
    </row>
    <row r="31">
      <c r="B31" s="228" t="inlineStr">
        <is>
          <t>Пусконаладочные работы</t>
        </is>
      </c>
      <c r="C31" s="158" t="n">
        <v>9896.16</v>
      </c>
      <c r="D31" s="228" t="n"/>
      <c r="E31" s="230">
        <f>C31/$C$40</f>
        <v/>
      </c>
    </row>
    <row r="32" ht="25.5" customHeight="1" s="301">
      <c r="B32" s="228" t="inlineStr">
        <is>
          <t>Затраты по перевозке работников к месту работы и обратно</t>
        </is>
      </c>
      <c r="C32" s="158">
        <f>ROUND(C27*0%,2)</f>
        <v/>
      </c>
      <c r="D32" s="228" t="n"/>
      <c r="E32" s="230">
        <f>C32/$C$40</f>
        <v/>
      </c>
    </row>
    <row r="33" ht="25.5" customHeight="1" s="301">
      <c r="B33" s="228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28" t="n"/>
      <c r="E33" s="230">
        <f>C33/$C$40</f>
        <v/>
      </c>
    </row>
    <row r="34" ht="51" customHeight="1" s="301">
      <c r="B34" s="22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28" t="n"/>
      <c r="E34" s="230">
        <f>C34/$C$40</f>
        <v/>
      </c>
      <c r="H34" s="234" t="n"/>
    </row>
    <row r="35" ht="76.5" customHeight="1" s="301">
      <c r="B35" s="22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28" t="n"/>
      <c r="E35" s="230">
        <f>C35/$C$40</f>
        <v/>
      </c>
    </row>
    <row r="36" ht="25.5" customHeight="1" s="301">
      <c r="B36" s="228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28" t="n"/>
      <c r="E36" s="230">
        <f>C36/$C$40</f>
        <v/>
      </c>
      <c r="L36" s="233" t="n"/>
    </row>
    <row r="37">
      <c r="B37" s="228" t="inlineStr">
        <is>
          <t>Авторский надзор - 0,2%</t>
        </is>
      </c>
      <c r="C37" s="158">
        <f>ROUND((C27+C32+C33+C34+C35+C29+C31+C30)*0.2%,2)</f>
        <v/>
      </c>
      <c r="D37" s="228" t="n"/>
      <c r="E37" s="230">
        <f>C37/$C$40</f>
        <v/>
      </c>
      <c r="L37" s="233" t="n"/>
    </row>
    <row r="38" ht="38.25" customHeight="1" s="301">
      <c r="B38" s="228" t="inlineStr">
        <is>
          <t>ИТОГО (СМР+ОБОРУДОВАНИЕ+ПРОЧ. ЗАТР., УЧТЕННЫЕ ПОКАЗАТЕЛЕМ)</t>
        </is>
      </c>
      <c r="C38" s="291">
        <f>C27+C32+C33+C34+C35+C29+C31+C30+C36+C37</f>
        <v/>
      </c>
      <c r="D38" s="228" t="n"/>
      <c r="E38" s="230">
        <f>C38/$C$40</f>
        <v/>
      </c>
    </row>
    <row r="39" ht="13.5" customHeight="1" s="301">
      <c r="B39" s="228" t="inlineStr">
        <is>
          <t>Непредвиденные расходы</t>
        </is>
      </c>
      <c r="C39" s="291">
        <f>ROUND(C38*3%,2)</f>
        <v/>
      </c>
      <c r="D39" s="228" t="n"/>
      <c r="E39" s="230">
        <f>C39/$C$38</f>
        <v/>
      </c>
    </row>
    <row r="40">
      <c r="B40" s="228" t="inlineStr">
        <is>
          <t>ВСЕГО:</t>
        </is>
      </c>
      <c r="C40" s="291">
        <f>C39+C38</f>
        <v/>
      </c>
      <c r="D40" s="228" t="n"/>
      <c r="E40" s="230">
        <f>C40/$C$40</f>
        <v/>
      </c>
    </row>
    <row r="41">
      <c r="B41" s="228" t="inlineStr">
        <is>
          <t>ИТОГО ПОКАЗАТЕЛЬ НА ЕД. ИЗМ.</t>
        </is>
      </c>
      <c r="C41" s="291">
        <f>C40/'Прил.5 Расчет СМР и ОБ'!E55</f>
        <v/>
      </c>
      <c r="D41" s="228" t="n"/>
      <c r="E41" s="228" t="n"/>
    </row>
    <row r="42">
      <c r="B42" s="293" t="n"/>
      <c r="C42" s="289" t="n"/>
      <c r="D42" s="289" t="n"/>
      <c r="E42" s="289" t="n"/>
    </row>
    <row r="43">
      <c r="B43" s="293" t="inlineStr">
        <is>
          <t>Составил ____________________________ Е. М. Добровольская</t>
        </is>
      </c>
      <c r="C43" s="289" t="n"/>
      <c r="D43" s="289" t="n"/>
      <c r="E43" s="289" t="n"/>
    </row>
    <row r="44">
      <c r="B44" s="293" t="inlineStr">
        <is>
          <t xml:space="preserve">(должность, подпись, инициалы, фамилия) </t>
        </is>
      </c>
      <c r="C44" s="289" t="n"/>
      <c r="D44" s="289" t="n"/>
      <c r="E44" s="289" t="n"/>
    </row>
    <row r="45">
      <c r="B45" s="293" t="n"/>
      <c r="C45" s="289" t="n"/>
      <c r="D45" s="289" t="n"/>
      <c r="E45" s="289" t="n"/>
    </row>
    <row r="46">
      <c r="B46" s="293" t="inlineStr">
        <is>
          <t>Проверил ____________________________ А.В. Костянецкая</t>
        </is>
      </c>
      <c r="C46" s="289" t="n"/>
      <c r="D46" s="289" t="n"/>
      <c r="E46" s="289" t="n"/>
    </row>
    <row r="47">
      <c r="B47" s="351" t="inlineStr">
        <is>
          <t>(должность, подпись, инициалы, фамилия)</t>
        </is>
      </c>
      <c r="D47" s="289" t="n"/>
      <c r="E47" s="289" t="n"/>
    </row>
    <row r="49">
      <c r="B49" s="289" t="n"/>
      <c r="C49" s="289" t="n"/>
      <c r="D49" s="289" t="n"/>
      <c r="E49" s="289" t="n"/>
    </row>
    <row r="50">
      <c r="B50" s="289" t="n"/>
      <c r="C50" s="289" t="n"/>
      <c r="D50" s="289" t="n"/>
      <c r="E50" s="2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61"/>
  <sheetViews>
    <sheetView view="pageBreakPreview" topLeftCell="A31" workbookViewId="0">
      <selection activeCell="B63" sqref="B63"/>
    </sheetView>
  </sheetViews>
  <sheetFormatPr baseColWidth="8" defaultColWidth="9.140625" defaultRowHeight="15" outlineLevelRow="1"/>
  <cols>
    <col width="5.7109375" customWidth="1" style="299" min="1" max="1"/>
    <col width="22.5703125" customWidth="1" style="299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299" min="7" max="7"/>
    <col width="12.7109375" customWidth="1" style="299" min="8" max="8"/>
    <col width="13.85546875" customWidth="1" style="299" min="9" max="9"/>
    <col width="17.5703125" customWidth="1" style="299" min="10" max="10"/>
    <col width="10.85546875" customWidth="1" style="299" min="11" max="11"/>
    <col width="9.140625" customWidth="1" style="299" min="12" max="12"/>
    <col width="9.140625" customWidth="1" style="301" min="13" max="13"/>
  </cols>
  <sheetData>
    <row r="1" s="301">
      <c r="A1" s="299" t="n"/>
      <c r="B1" s="299" t="n"/>
      <c r="C1" s="299" t="n"/>
      <c r="D1" s="299" t="n"/>
      <c r="E1" s="299" t="n"/>
      <c r="F1" s="299" t="n"/>
      <c r="G1" s="299" t="n"/>
      <c r="H1" s="299" t="n"/>
      <c r="I1" s="299" t="n"/>
      <c r="J1" s="299" t="n"/>
      <c r="K1" s="299" t="n"/>
      <c r="L1" s="299" t="n"/>
      <c r="M1" s="299" t="n"/>
      <c r="N1" s="299" t="n"/>
    </row>
    <row r="2" ht="15.75" customHeight="1" s="301">
      <c r="A2" s="299" t="n"/>
      <c r="B2" s="299" t="n"/>
      <c r="C2" s="299" t="n"/>
      <c r="D2" s="299" t="n"/>
      <c r="E2" s="299" t="n"/>
      <c r="F2" s="299" t="n"/>
      <c r="G2" s="299" t="n"/>
      <c r="H2" s="352" t="inlineStr">
        <is>
          <t>Приложение №5</t>
        </is>
      </c>
      <c r="K2" s="299" t="n"/>
      <c r="L2" s="299" t="n"/>
      <c r="M2" s="299" t="n"/>
      <c r="N2" s="299" t="n"/>
    </row>
    <row r="3" s="301">
      <c r="A3" s="299" t="n"/>
      <c r="B3" s="299" t="n"/>
      <c r="C3" s="299" t="n"/>
      <c r="D3" s="299" t="n"/>
      <c r="E3" s="299" t="n"/>
      <c r="F3" s="299" t="n"/>
      <c r="G3" s="299" t="n"/>
      <c r="H3" s="299" t="n"/>
      <c r="I3" s="299" t="n"/>
      <c r="J3" s="299" t="n"/>
      <c r="K3" s="299" t="n"/>
      <c r="L3" s="299" t="n"/>
      <c r="M3" s="299" t="n"/>
      <c r="N3" s="299" t="n"/>
    </row>
    <row r="4" ht="12.75" customFormat="1" customHeight="1" s="289">
      <c r="A4" s="326" t="inlineStr">
        <is>
          <t>Расчет стоимости СМР и оборудования</t>
        </is>
      </c>
    </row>
    <row r="5" ht="12.75" customFormat="1" customHeight="1" s="289">
      <c r="A5" s="326" t="n"/>
      <c r="B5" s="326" t="n"/>
      <c r="C5" s="377" t="n"/>
      <c r="D5" s="326" t="n"/>
      <c r="E5" s="326" t="n"/>
      <c r="F5" s="326" t="n"/>
      <c r="G5" s="326" t="n"/>
      <c r="H5" s="326" t="n"/>
      <c r="I5" s="326" t="n"/>
      <c r="J5" s="326" t="n"/>
    </row>
    <row r="6" ht="27.75" customFormat="1" customHeight="1" s="289">
      <c r="A6" s="239" t="inlineStr">
        <is>
          <t>Наименование разрабатываемого показателя УНЦ</t>
        </is>
      </c>
      <c r="B6" s="240" t="n"/>
      <c r="C6" s="240" t="n"/>
      <c r="D6" s="329" t="inlineStr">
        <is>
          <t>Установка 3-ф ПУ трансформаторного включения в шкафу в ТП (СП, РП, РТП) 6-20 Кв</t>
        </is>
      </c>
    </row>
    <row r="7" ht="12.75" customFormat="1" customHeight="1" s="289">
      <c r="A7" s="329" t="inlineStr">
        <is>
          <t>Единица измерения  — 1 ед.</t>
        </is>
      </c>
      <c r="I7" s="350" t="n"/>
      <c r="J7" s="350" t="n"/>
    </row>
    <row r="8" ht="13.5" customFormat="1" customHeight="1" s="289">
      <c r="A8" s="329" t="n"/>
    </row>
    <row r="9" ht="27" customHeight="1" s="301">
      <c r="A9" s="355" t="inlineStr">
        <is>
          <t>№ пп.</t>
        </is>
      </c>
      <c r="B9" s="355" t="inlineStr">
        <is>
          <t>Код ресурса</t>
        </is>
      </c>
      <c r="C9" s="355" t="inlineStr">
        <is>
          <t>Наименование</t>
        </is>
      </c>
      <c r="D9" s="355" t="inlineStr">
        <is>
          <t>Ед. изм.</t>
        </is>
      </c>
      <c r="E9" s="355" t="inlineStr">
        <is>
          <t>Кол-во единиц по проектным данным</t>
        </is>
      </c>
      <c r="F9" s="355" t="inlineStr">
        <is>
          <t>Сметная стоимость в ценах на 01.01.2000 (руб.)</t>
        </is>
      </c>
      <c r="G9" s="430" t="n"/>
      <c r="H9" s="355" t="inlineStr">
        <is>
          <t>Удельный вес, %</t>
        </is>
      </c>
      <c r="I9" s="355" t="inlineStr">
        <is>
          <t>Сметная стоимость в ценах на 01.01.2023 (руб.)</t>
        </is>
      </c>
      <c r="J9" s="430" t="n"/>
      <c r="K9" s="299" t="n"/>
      <c r="L9" s="299" t="n"/>
      <c r="M9" s="299" t="n"/>
      <c r="N9" s="299" t="n"/>
    </row>
    <row r="10" ht="28.5" customHeight="1" s="301">
      <c r="A10" s="432" t="n"/>
      <c r="B10" s="432" t="n"/>
      <c r="C10" s="432" t="n"/>
      <c r="D10" s="432" t="n"/>
      <c r="E10" s="432" t="n"/>
      <c r="F10" s="355" t="inlineStr">
        <is>
          <t>на ед. изм.</t>
        </is>
      </c>
      <c r="G10" s="355" t="inlineStr">
        <is>
          <t>общая</t>
        </is>
      </c>
      <c r="H10" s="432" t="n"/>
      <c r="I10" s="355" t="inlineStr">
        <is>
          <t>на ед. изм.</t>
        </is>
      </c>
      <c r="J10" s="355" t="inlineStr">
        <is>
          <t>общая</t>
        </is>
      </c>
      <c r="K10" s="299" t="n"/>
      <c r="L10" s="299" t="n"/>
      <c r="M10" s="299" t="n"/>
      <c r="N10" s="299" t="n"/>
    </row>
    <row r="11" s="301">
      <c r="A11" s="355" t="n">
        <v>1</v>
      </c>
      <c r="B11" s="355" t="n">
        <v>2</v>
      </c>
      <c r="C11" s="355" t="n">
        <v>3</v>
      </c>
      <c r="D11" s="355" t="n">
        <v>4</v>
      </c>
      <c r="E11" s="355" t="n">
        <v>5</v>
      </c>
      <c r="F11" s="355" t="n">
        <v>6</v>
      </c>
      <c r="G11" s="355" t="n">
        <v>7</v>
      </c>
      <c r="H11" s="355" t="n">
        <v>8</v>
      </c>
      <c r="I11" s="356" t="n">
        <v>9</v>
      </c>
      <c r="J11" s="356" t="n">
        <v>10</v>
      </c>
      <c r="K11" s="299" t="n"/>
      <c r="L11" s="299" t="n"/>
      <c r="M11" s="299" t="n"/>
      <c r="N11" s="299" t="n"/>
    </row>
    <row r="12">
      <c r="A12" s="355" t="n"/>
      <c r="B12" s="341" t="inlineStr">
        <is>
          <t>Затраты труда рабочих-строителей</t>
        </is>
      </c>
      <c r="C12" s="429" t="n"/>
      <c r="D12" s="429" t="n"/>
      <c r="E12" s="429" t="n"/>
      <c r="F12" s="429" t="n"/>
      <c r="G12" s="429" t="n"/>
      <c r="H12" s="430" t="n"/>
      <c r="I12" s="186" t="n"/>
      <c r="J12" s="186" t="n"/>
    </row>
    <row r="13" ht="25.5" customHeight="1" s="301">
      <c r="A13" s="355" t="n">
        <v>1</v>
      </c>
      <c r="B13" s="241" t="inlineStr">
        <is>
          <t>1-3-9</t>
        </is>
      </c>
      <c r="C13" s="362" t="inlineStr">
        <is>
          <t>Затраты труда рабочих-строителей среднего разряда (3,9)</t>
        </is>
      </c>
      <c r="D13" s="355" t="inlineStr">
        <is>
          <t>чел.-ч.</t>
        </is>
      </c>
      <c r="E13" s="441">
        <f>G13/F13</f>
        <v/>
      </c>
      <c r="F13" s="251" t="n">
        <v>9.51</v>
      </c>
      <c r="G13" s="251">
        <f>'Прил. 3'!H12</f>
        <v/>
      </c>
      <c r="H13" s="250">
        <f>G13/$G$14</f>
        <v/>
      </c>
      <c r="I13" s="251">
        <f>'ФОТр.тек.'!E13</f>
        <v/>
      </c>
      <c r="J13" s="251">
        <f>ROUND(I13*E13,2)</f>
        <v/>
      </c>
    </row>
    <row r="14" ht="25.5" customFormat="1" customHeight="1" s="299">
      <c r="A14" s="355" t="n"/>
      <c r="B14" s="355" t="n"/>
      <c r="C14" s="341" t="inlineStr">
        <is>
          <t>Итого по разделу "Затраты труда рабочих-строителей"</t>
        </is>
      </c>
      <c r="D14" s="355" t="inlineStr">
        <is>
          <t>чел.-ч.</t>
        </is>
      </c>
      <c r="E14" s="441">
        <f>SUM(E13:E13)</f>
        <v/>
      </c>
      <c r="F14" s="251" t="n"/>
      <c r="G14" s="251">
        <f>SUM(G13:G13)</f>
        <v/>
      </c>
      <c r="H14" s="365">
        <f>SUM(H13:H13)</f>
        <v/>
      </c>
      <c r="I14" s="186" t="n"/>
      <c r="J14" s="251">
        <f>SUM(J13:J13)</f>
        <v/>
      </c>
    </row>
    <row r="15" ht="14.25" customFormat="1" customHeight="1" s="299">
      <c r="A15" s="355" t="n"/>
      <c r="B15" s="362" t="inlineStr">
        <is>
          <t>Затраты труда машинистов</t>
        </is>
      </c>
      <c r="C15" s="429" t="n"/>
      <c r="D15" s="429" t="n"/>
      <c r="E15" s="429" t="n"/>
      <c r="F15" s="429" t="n"/>
      <c r="G15" s="429" t="n"/>
      <c r="H15" s="430" t="n"/>
      <c r="I15" s="186" t="n"/>
      <c r="J15" s="186" t="n"/>
    </row>
    <row r="16" ht="14.25" customFormat="1" customHeight="1" s="299">
      <c r="A16" s="355" t="n">
        <v>2</v>
      </c>
      <c r="B16" s="355" t="n">
        <v>2</v>
      </c>
      <c r="C16" s="362" t="inlineStr">
        <is>
          <t>Затраты труда машинистов</t>
        </is>
      </c>
      <c r="D16" s="355" t="inlineStr">
        <is>
          <t>чел.-ч.</t>
        </is>
      </c>
      <c r="E16" s="441">
        <f>'Прил. 3'!F18</f>
        <v/>
      </c>
      <c r="F16" s="251">
        <f>G16/E16</f>
        <v/>
      </c>
      <c r="G16" s="251">
        <f>'Прил. 3'!H17</f>
        <v/>
      </c>
      <c r="H16" s="365" t="n">
        <v>1</v>
      </c>
      <c r="I16" s="251">
        <f>ROUND(F16*'Прил. 10'!D11,2)</f>
        <v/>
      </c>
      <c r="J16" s="251">
        <f>ROUND(I16*E16,2)</f>
        <v/>
      </c>
    </row>
    <row r="17" ht="14.25" customFormat="1" customHeight="1" s="299">
      <c r="A17" s="355" t="n"/>
      <c r="B17" s="341" t="inlineStr">
        <is>
          <t>Машины и механизмы</t>
        </is>
      </c>
      <c r="C17" s="429" t="n"/>
      <c r="D17" s="429" t="n"/>
      <c r="E17" s="429" t="n"/>
      <c r="F17" s="429" t="n"/>
      <c r="G17" s="429" t="n"/>
      <c r="H17" s="430" t="n"/>
      <c r="I17" s="186" t="n"/>
      <c r="J17" s="186" t="n"/>
    </row>
    <row r="18" ht="14.25" customFormat="1" customHeight="1" s="299">
      <c r="A18" s="355" t="n"/>
      <c r="B18" s="362" t="inlineStr">
        <is>
          <t>Основные машины и механизмы</t>
        </is>
      </c>
      <c r="C18" s="429" t="n"/>
      <c r="D18" s="429" t="n"/>
      <c r="E18" s="429" t="n"/>
      <c r="F18" s="429" t="n"/>
      <c r="G18" s="429" t="n"/>
      <c r="H18" s="430" t="n"/>
      <c r="I18" s="186" t="n"/>
      <c r="J18" s="186" t="n"/>
    </row>
    <row r="19" ht="43.5" customFormat="1" customHeight="1" s="299">
      <c r="A19" s="355" t="n">
        <v>3</v>
      </c>
      <c r="B19" s="241" t="inlineStr">
        <is>
          <t>91.06.09-001</t>
        </is>
      </c>
      <c r="C19" s="362" t="inlineStr">
        <is>
          <t>Вышки телескопические 25 м</t>
        </is>
      </c>
      <c r="D19" s="355" t="inlineStr">
        <is>
          <t>маш.-ч</t>
        </is>
      </c>
      <c r="E19" s="441" t="n">
        <v>1</v>
      </c>
      <c r="F19" s="364" t="n">
        <v>142.7</v>
      </c>
      <c r="G19" s="251">
        <f>ROUND(E19*F19,2)</f>
        <v/>
      </c>
      <c r="H19" s="250">
        <f>G19/$G$25</f>
        <v/>
      </c>
      <c r="I19" s="251">
        <f>ROUND(F19*'Прил. 10'!$D$12,2)</f>
        <v/>
      </c>
      <c r="J19" s="251">
        <f>ROUND(I19*E19,2)</f>
        <v/>
      </c>
    </row>
    <row r="20" ht="30.75" customFormat="1" customHeight="1" s="299">
      <c r="A20" s="355" t="n">
        <v>4</v>
      </c>
      <c r="B20" s="241" t="inlineStr">
        <is>
          <t>91.05.05-015</t>
        </is>
      </c>
      <c r="C20" s="362" t="inlineStr">
        <is>
          <t>Краны на автомобильном ходу, грузоподъемность 16 т</t>
        </is>
      </c>
      <c r="D20" s="355" t="inlineStr">
        <is>
          <t>маш.час</t>
        </is>
      </c>
      <c r="E20" s="441" t="n">
        <v>0.31</v>
      </c>
      <c r="F20" s="364" t="n">
        <v>115.4</v>
      </c>
      <c r="G20" s="251">
        <f>ROUND(E20*F20,2)</f>
        <v/>
      </c>
      <c r="H20" s="250">
        <f>G20/$G$25</f>
        <v/>
      </c>
      <c r="I20" s="251">
        <f>ROUND(F20*'Прил. 10'!$D$12,2)</f>
        <v/>
      </c>
      <c r="J20" s="251">
        <f>ROUND(I20*E20,2)</f>
        <v/>
      </c>
    </row>
    <row r="21" ht="14.25" customFormat="1" customHeight="1" s="299">
      <c r="A21" s="355" t="n"/>
      <c r="B21" s="355" t="n"/>
      <c r="C21" s="362" t="inlineStr">
        <is>
          <t>Итого основные машины и механизмы</t>
        </is>
      </c>
      <c r="D21" s="355" t="n"/>
      <c r="E21" s="441" t="n"/>
      <c r="F21" s="251" t="n"/>
      <c r="G21" s="251">
        <f>SUM(G19:G20)</f>
        <v/>
      </c>
      <c r="H21" s="365">
        <f>G21/G25</f>
        <v/>
      </c>
      <c r="I21" s="249" t="n"/>
      <c r="J21" s="251">
        <f>SUM(J19:J20)</f>
        <v/>
      </c>
    </row>
    <row r="22" hidden="1" outlineLevel="1" ht="51" customFormat="1" customHeight="1" s="299">
      <c r="A22" s="355" t="n">
        <v>5</v>
      </c>
      <c r="B22" s="241" t="inlineStr">
        <is>
          <t>91.14.02-001</t>
        </is>
      </c>
      <c r="C22" s="362" t="inlineStr">
        <is>
          <t>Автомобили бортовые, грузоподъемность до 5 т</t>
        </is>
      </c>
      <c r="D22" s="355" t="inlineStr">
        <is>
          <t>маш.час</t>
        </is>
      </c>
      <c r="E22" s="441" t="n">
        <v>0.04</v>
      </c>
      <c r="F22" s="364" t="n">
        <v>65.70999999999999</v>
      </c>
      <c r="G22" s="251">
        <f>ROUND(E22*F22,2)</f>
        <v/>
      </c>
      <c r="H22" s="250">
        <f>G22/$G$25</f>
        <v/>
      </c>
      <c r="I22" s="251">
        <f>ROUND(F22*'Прил. 10'!$D$12,2)</f>
        <v/>
      </c>
      <c r="J22" s="251">
        <f>ROUND(I22*E22,2)</f>
        <v/>
      </c>
    </row>
    <row r="23" hidden="1" outlineLevel="1" ht="25.5" customFormat="1" customHeight="1" s="299">
      <c r="A23" s="355" t="n">
        <v>6</v>
      </c>
      <c r="B23" s="241" t="inlineStr">
        <is>
          <t>91.17.04-233</t>
        </is>
      </c>
      <c r="C23" s="362" t="inlineStr">
        <is>
          <t>Установки для сварки ручной дуговой (постоянного тока)</t>
        </is>
      </c>
      <c r="D23" s="355" t="inlineStr">
        <is>
          <t>маш.час</t>
        </is>
      </c>
      <c r="E23" s="441" t="n">
        <v>0.01</v>
      </c>
      <c r="F23" s="364" t="n">
        <v>8.1</v>
      </c>
      <c r="G23" s="251">
        <f>ROUND(E23*F23,2)</f>
        <v/>
      </c>
      <c r="H23" s="250">
        <f>G23/$G$25</f>
        <v/>
      </c>
      <c r="I23" s="251">
        <f>ROUND(F23*'Прил. 10'!$D$12,2)</f>
        <v/>
      </c>
      <c r="J23" s="251">
        <f>ROUND(I23*E23,2)</f>
        <v/>
      </c>
    </row>
    <row r="24" collapsed="1" ht="14.25" customFormat="1" customHeight="1" s="299">
      <c r="A24" s="355" t="n"/>
      <c r="B24" s="355" t="n"/>
      <c r="C24" s="362" t="inlineStr">
        <is>
          <t>Итого прочие машины и механизмы</t>
        </is>
      </c>
      <c r="D24" s="355" t="n"/>
      <c r="E24" s="363" t="n"/>
      <c r="F24" s="251" t="n"/>
      <c r="G24" s="249">
        <f>SUM(G22:G23)</f>
        <v/>
      </c>
      <c r="H24" s="250">
        <f>G24/G25</f>
        <v/>
      </c>
      <c r="I24" s="251" t="n"/>
      <c r="J24" s="249">
        <f>SUM(J22:J23)</f>
        <v/>
      </c>
    </row>
    <row r="25" ht="25.5" customFormat="1" customHeight="1" s="299">
      <c r="A25" s="355" t="n"/>
      <c r="B25" s="355" t="n"/>
      <c r="C25" s="341" t="inlineStr">
        <is>
          <t>Итого по разделу «Машины и механизмы»</t>
        </is>
      </c>
      <c r="D25" s="355" t="n"/>
      <c r="E25" s="363" t="n"/>
      <c r="F25" s="251" t="n"/>
      <c r="G25" s="251">
        <f>G21+G24</f>
        <v/>
      </c>
      <c r="H25" s="365">
        <f>H21+H24</f>
        <v/>
      </c>
      <c r="I25" s="184" t="n"/>
      <c r="J25" s="251">
        <f>J21+J24</f>
        <v/>
      </c>
    </row>
    <row r="26" ht="14.25" customFormat="1" customHeight="1" s="299">
      <c r="A26" s="355" t="n"/>
      <c r="B26" s="341" t="inlineStr">
        <is>
          <t>Оборудование</t>
        </is>
      </c>
      <c r="C26" s="429" t="n"/>
      <c r="D26" s="429" t="n"/>
      <c r="E26" s="429" t="n"/>
      <c r="F26" s="429" t="n"/>
      <c r="G26" s="429" t="n"/>
      <c r="H26" s="430" t="n"/>
      <c r="I26" s="186" t="n"/>
      <c r="J26" s="186" t="n"/>
    </row>
    <row r="27">
      <c r="A27" s="355" t="n"/>
      <c r="B27" s="362" t="inlineStr">
        <is>
          <t>Основное оборудование</t>
        </is>
      </c>
      <c r="C27" s="429" t="n"/>
      <c r="D27" s="429" t="n"/>
      <c r="E27" s="429" t="n"/>
      <c r="F27" s="429" t="n"/>
      <c r="G27" s="429" t="n"/>
      <c r="H27" s="430" t="n"/>
      <c r="I27" s="186" t="n"/>
      <c r="J27" s="186" t="n"/>
      <c r="K27" s="299" t="n"/>
      <c r="L27" s="299" t="n"/>
    </row>
    <row r="28" ht="51" customFormat="1" customHeight="1" s="299">
      <c r="A28" s="355" t="n">
        <v>7</v>
      </c>
      <c r="B28" s="355" t="inlineStr">
        <is>
          <t>БЦ.47.15</t>
        </is>
      </c>
      <c r="C28" s="362" t="inlineStr">
        <is>
          <t>Счетчик трехфазный полукосвенного включения в шкафном исполнении с передачей данных в ИВКЭ для технического учета ТП</t>
        </is>
      </c>
      <c r="D28" s="355" t="inlineStr">
        <is>
          <t>шт</t>
        </is>
      </c>
      <c r="E28" s="442" t="n">
        <v>1</v>
      </c>
      <c r="F28" s="364">
        <f>ROUND(I28/'Прил. 10'!$D$14,2)</f>
        <v/>
      </c>
      <c r="G28" s="251">
        <f>ROUND(E28*F28,2)</f>
        <v/>
      </c>
      <c r="H28" s="250" t="n">
        <v>0</v>
      </c>
      <c r="I28" s="251" t="n">
        <v>19838.57</v>
      </c>
      <c r="J28" s="251">
        <f>ROUND(I28*E28,2)</f>
        <v/>
      </c>
    </row>
    <row r="29">
      <c r="A29" s="355" t="n"/>
      <c r="B29" s="355" t="n"/>
      <c r="C29" s="362" t="inlineStr">
        <is>
          <t>Итого основное оборудование</t>
        </is>
      </c>
      <c r="D29" s="355" t="n"/>
      <c r="E29" s="442" t="n"/>
      <c r="F29" s="364" t="n"/>
      <c r="G29" s="251">
        <f>SUM(G28:G28)</f>
        <v/>
      </c>
      <c r="H29" s="250">
        <f>H28</f>
        <v/>
      </c>
      <c r="I29" s="249" t="n"/>
      <c r="J29" s="251">
        <f>SUM(J28:J28)</f>
        <v/>
      </c>
      <c r="K29" s="299" t="n"/>
      <c r="L29" s="299" t="n"/>
    </row>
    <row r="30">
      <c r="A30" s="355" t="n"/>
      <c r="B30" s="355" t="n"/>
      <c r="C30" s="362" t="inlineStr">
        <is>
          <t>Итого прочее оборудование</t>
        </is>
      </c>
      <c r="D30" s="355" t="n"/>
      <c r="E30" s="441" t="n"/>
      <c r="F30" s="364" t="n"/>
      <c r="G30" s="251" t="n">
        <v>0</v>
      </c>
      <c r="H30" s="250" t="n">
        <v>0</v>
      </c>
      <c r="I30" s="249" t="n"/>
      <c r="J30" s="251" t="n">
        <v>0</v>
      </c>
      <c r="K30" s="299" t="n"/>
      <c r="L30" s="299" t="n"/>
    </row>
    <row r="31">
      <c r="A31" s="355" t="n"/>
      <c r="B31" s="355" t="n"/>
      <c r="C31" s="341" t="inlineStr">
        <is>
          <t>Итого по разделу «Оборудование»</t>
        </is>
      </c>
      <c r="D31" s="355" t="n"/>
      <c r="E31" s="363" t="n"/>
      <c r="F31" s="364" t="n"/>
      <c r="G31" s="251">
        <f>G29+G30</f>
        <v/>
      </c>
      <c r="H31" s="250">
        <f>H29+H30</f>
        <v/>
      </c>
      <c r="I31" s="249" t="n"/>
      <c r="J31" s="251">
        <f>J30+J29</f>
        <v/>
      </c>
      <c r="K31" s="299" t="n"/>
      <c r="L31" s="299" t="n"/>
    </row>
    <row r="32" ht="25.5" customHeight="1" s="301">
      <c r="A32" s="355" t="n"/>
      <c r="B32" s="355" t="n"/>
      <c r="C32" s="362" t="inlineStr">
        <is>
          <t>в том числе технологическое оборудование</t>
        </is>
      </c>
      <c r="D32" s="355" t="n"/>
      <c r="E32" s="442" t="n"/>
      <c r="F32" s="364" t="n"/>
      <c r="G32" s="251">
        <f>G31</f>
        <v/>
      </c>
      <c r="H32" s="365" t="n"/>
      <c r="I32" s="249" t="n"/>
      <c r="J32" s="251">
        <f>J31</f>
        <v/>
      </c>
      <c r="K32" s="299" t="n"/>
      <c r="L32" s="299" t="n"/>
    </row>
    <row r="33" ht="14.25" customFormat="1" customHeight="1" s="299">
      <c r="A33" s="355" t="n"/>
      <c r="B33" s="341" t="inlineStr">
        <is>
          <t>Материалы</t>
        </is>
      </c>
      <c r="C33" s="429" t="n"/>
      <c r="D33" s="429" t="n"/>
      <c r="E33" s="429" t="n"/>
      <c r="F33" s="429" t="n"/>
      <c r="G33" s="429" t="n"/>
      <c r="H33" s="430" t="n"/>
      <c r="I33" s="186" t="n"/>
      <c r="J33" s="186" t="n"/>
    </row>
    <row r="34" ht="14.25" customFormat="1" customHeight="1" s="299">
      <c r="A34" s="356" t="n"/>
      <c r="B34" s="358" t="inlineStr">
        <is>
          <t>Основные материалы</t>
        </is>
      </c>
      <c r="C34" s="443" t="n"/>
      <c r="D34" s="443" t="n"/>
      <c r="E34" s="443" t="n"/>
      <c r="F34" s="443" t="n"/>
      <c r="G34" s="443" t="n"/>
      <c r="H34" s="444" t="n"/>
      <c r="I34" s="255" t="n"/>
      <c r="J34" s="255" t="n"/>
    </row>
    <row r="35" ht="34.5" customFormat="1" customHeight="1" s="299">
      <c r="A35" s="355" t="n">
        <v>8</v>
      </c>
      <c r="B35" s="355" t="inlineStr">
        <is>
          <t>20.1.01.08-0014</t>
        </is>
      </c>
      <c r="C35" s="362" t="inlineStr">
        <is>
          <t>Зажим ответвительный с прокалыванием изоляции (СИП): P 645</t>
        </is>
      </c>
      <c r="D35" s="355" t="inlineStr">
        <is>
          <t>100 шт</t>
        </is>
      </c>
      <c r="E35" s="442" t="n">
        <v>0.08</v>
      </c>
      <c r="F35" s="364" t="n">
        <v>3423</v>
      </c>
      <c r="G35" s="251">
        <f>ROUND(E35*F35,2)</f>
        <v/>
      </c>
      <c r="H35" s="250">
        <f>G35/$G$49</f>
        <v/>
      </c>
      <c r="I35" s="251">
        <f>ROUND(F35*'Прил. 10'!$D$13,2)</f>
        <v/>
      </c>
      <c r="J35" s="251">
        <f>ROUND(I35*E35,2)</f>
        <v/>
      </c>
    </row>
    <row r="36" ht="25.5" customFormat="1" customHeight="1" s="299">
      <c r="A36" s="355" t="n">
        <v>9</v>
      </c>
      <c r="B36" s="355" t="inlineStr">
        <is>
          <t>21.2.01.01-0065</t>
        </is>
      </c>
      <c r="C36" s="362" t="inlineStr">
        <is>
          <t>Провод самонесущий изолированный СИП 4х16-0,6/1</t>
        </is>
      </c>
      <c r="D36" s="355" t="inlineStr">
        <is>
          <t>1000 м</t>
        </is>
      </c>
      <c r="E36" s="442" t="n">
        <v>0.004</v>
      </c>
      <c r="F36" s="364" t="n">
        <v>9524.879999999999</v>
      </c>
      <c r="G36" s="251">
        <f>ROUND(E36*F36,2)</f>
        <v/>
      </c>
      <c r="H36" s="250">
        <f>G36/$G$49</f>
        <v/>
      </c>
      <c r="I36" s="251">
        <f>ROUND(F36*'Прил. 10'!$D$13,2)</f>
        <v/>
      </c>
      <c r="J36" s="251">
        <f>ROUND(I36*E36,2)</f>
        <v/>
      </c>
    </row>
    <row r="37" ht="14.25" customFormat="1" customHeight="1" s="299">
      <c r="A37" s="357" t="n"/>
      <c r="B37" s="257" t="n"/>
      <c r="C37" s="258" t="inlineStr">
        <is>
          <t>Итого основные материалы</t>
        </is>
      </c>
      <c r="D37" s="357" t="n"/>
      <c r="E37" s="445" t="n"/>
      <c r="F37" s="262" t="n"/>
      <c r="G37" s="262">
        <f>SUM(G35:G36)</f>
        <v/>
      </c>
      <c r="H37" s="250">
        <f>G37/$G$49</f>
        <v/>
      </c>
      <c r="I37" s="251" t="n"/>
      <c r="J37" s="262">
        <f>SUM(J35:J36)</f>
        <v/>
      </c>
    </row>
    <row r="38" hidden="1" outlineLevel="1" ht="51" customFormat="1" customHeight="1" s="299">
      <c r="A38" s="355" t="n">
        <v>10</v>
      </c>
      <c r="B38" s="355" t="inlineStr">
        <is>
          <t>25.2.02.11-0021</t>
        </is>
      </c>
      <c r="C38" s="362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D38" s="355" t="inlineStr">
        <is>
          <t>шт</t>
        </is>
      </c>
      <c r="E38" s="442" t="n">
        <v>0.024</v>
      </c>
      <c r="F38" s="364" t="n">
        <v>943.0599999999999</v>
      </c>
      <c r="G38" s="251">
        <f>ROUND(E38*F38,2)</f>
        <v/>
      </c>
      <c r="H38" s="250">
        <f>G38/$G$49</f>
        <v/>
      </c>
      <c r="I38" s="251">
        <f>ROUND(F38*'Прил. 10'!$D$13,2)</f>
        <v/>
      </c>
      <c r="J38" s="251">
        <f>ROUND(I38*E38,2)</f>
        <v/>
      </c>
    </row>
    <row r="39" hidden="1" outlineLevel="1" ht="21.75" customFormat="1" customHeight="1" s="299">
      <c r="A39" s="355" t="n">
        <v>11</v>
      </c>
      <c r="B39" s="355" t="inlineStr">
        <is>
          <t>01.3.01.01-0001</t>
        </is>
      </c>
      <c r="C39" s="362" t="inlineStr">
        <is>
          <t>Бензин авиационный Б-70</t>
        </is>
      </c>
      <c r="D39" s="355" t="inlineStr">
        <is>
          <t>т</t>
        </is>
      </c>
      <c r="E39" s="442" t="n">
        <v>0.0016</v>
      </c>
      <c r="F39" s="364" t="n">
        <v>4488.4</v>
      </c>
      <c r="G39" s="251">
        <f>ROUND(E39*F39,2)</f>
        <v/>
      </c>
      <c r="H39" s="250">
        <f>G39/$G$49</f>
        <v/>
      </c>
      <c r="I39" s="251">
        <f>ROUND(F39*'Прил. 10'!$D$13,2)</f>
        <v/>
      </c>
      <c r="J39" s="251">
        <f>ROUND(I39*E39,2)</f>
        <v/>
      </c>
    </row>
    <row r="40" hidden="1" outlineLevel="1" ht="25.5" customFormat="1" customHeight="1" s="299">
      <c r="A40" s="355" t="n">
        <v>12</v>
      </c>
      <c r="B40" s="355" t="inlineStr">
        <is>
          <t>25.2.02.11-0051</t>
        </is>
      </c>
      <c r="C40" s="362" t="inlineStr">
        <is>
          <t>Скрепа для фиксации на промежуточных опорах, размер 20 мм</t>
        </is>
      </c>
      <c r="D40" s="355" t="inlineStr">
        <is>
          <t>100 шт</t>
        </is>
      </c>
      <c r="E40" s="442" t="n">
        <v>0.01</v>
      </c>
      <c r="F40" s="364" t="n">
        <v>582</v>
      </c>
      <c r="G40" s="251">
        <f>ROUND(E40*F40,2)</f>
        <v/>
      </c>
      <c r="H40" s="250">
        <f>G40/$G$49</f>
        <v/>
      </c>
      <c r="I40" s="251">
        <f>ROUND(F40*'Прил. 10'!$D$13,2)</f>
        <v/>
      </c>
      <c r="J40" s="251">
        <f>ROUND(I40*E40,2)</f>
        <v/>
      </c>
    </row>
    <row r="41" hidden="1" outlineLevel="1" ht="14.25" customFormat="1" customHeight="1" s="299">
      <c r="A41" s="355" t="n">
        <v>13</v>
      </c>
      <c r="B41" s="355" t="inlineStr">
        <is>
          <t>14.4.02.09-0001</t>
        </is>
      </c>
      <c r="C41" s="362" t="inlineStr">
        <is>
          <t>Краска</t>
        </is>
      </c>
      <c r="D41" s="355" t="inlineStr">
        <is>
          <t>кг</t>
        </is>
      </c>
      <c r="E41" s="442" t="n">
        <v>0.064</v>
      </c>
      <c r="F41" s="364" t="n">
        <v>28.6</v>
      </c>
      <c r="G41" s="251">
        <f>ROUND(E41*F41,2)</f>
        <v/>
      </c>
      <c r="H41" s="250">
        <f>G41/$G$49</f>
        <v/>
      </c>
      <c r="I41" s="251">
        <f>ROUND(F41*'Прил. 10'!$D$13,2)</f>
        <v/>
      </c>
      <c r="J41" s="251">
        <f>ROUND(I41*E41,2)</f>
        <v/>
      </c>
    </row>
    <row r="42" hidden="1" outlineLevel="1" ht="21.75" customFormat="1" customHeight="1" s="299">
      <c r="A42" s="355" t="n">
        <v>14</v>
      </c>
      <c r="B42" s="355" t="inlineStr">
        <is>
          <t>01.3.02.09-0022</t>
        </is>
      </c>
      <c r="C42" s="362" t="inlineStr">
        <is>
          <t>Пропан-бутан смесь техническая</t>
        </is>
      </c>
      <c r="D42" s="355" t="inlineStr">
        <is>
          <t>кг</t>
        </is>
      </c>
      <c r="E42" s="442" t="n">
        <v>0.3</v>
      </c>
      <c r="F42" s="364" t="n">
        <v>6.09</v>
      </c>
      <c r="G42" s="251">
        <f>ROUND(E42*F42,2)</f>
        <v/>
      </c>
      <c r="H42" s="250">
        <f>G42/$G$49</f>
        <v/>
      </c>
      <c r="I42" s="251">
        <f>ROUND(F42*'Прил. 10'!$D$13,2)</f>
        <v/>
      </c>
      <c r="J42" s="251">
        <f>ROUND(I42*E42,2)</f>
        <v/>
      </c>
    </row>
    <row r="43" hidden="1" outlineLevel="1" ht="25.5" customFormat="1" customHeight="1" s="299">
      <c r="A43" s="355" t="n">
        <v>15</v>
      </c>
      <c r="B43" s="355" t="inlineStr">
        <is>
          <t>999-9950</t>
        </is>
      </c>
      <c r="C43" s="362" t="inlineStr">
        <is>
          <t>Вспомогательные ненормируемые ресурсы (2% от Оплаты труда рабочих)</t>
        </is>
      </c>
      <c r="D43" s="355" t="inlineStr">
        <is>
          <t>руб</t>
        </is>
      </c>
      <c r="E43" s="442" t="n">
        <v>1.3376</v>
      </c>
      <c r="F43" s="364" t="n">
        <v>1</v>
      </c>
      <c r="G43" s="251">
        <f>ROUND(E43*F43,2)</f>
        <v/>
      </c>
      <c r="H43" s="250">
        <f>G43/$G$49</f>
        <v/>
      </c>
      <c r="I43" s="251">
        <f>ROUND(F43*'Прил. 10'!$D$13,2)</f>
        <v/>
      </c>
      <c r="J43" s="251">
        <f>ROUND(I43*E43,2)</f>
        <v/>
      </c>
    </row>
    <row r="44" hidden="1" outlineLevel="1" ht="38.25" customFormat="1" customHeight="1" s="299">
      <c r="A44" s="355" t="n">
        <v>16</v>
      </c>
      <c r="B44" s="355" t="inlineStr">
        <is>
          <t>08.3.07.01-0076</t>
        </is>
      </c>
      <c r="C44" s="362" t="inlineStr">
        <is>
          <t>Прокат полосовой, горячекатаный, марка стали Ст3сп, ширина 50-200 мм, толщина 4-5 мм</t>
        </is>
      </c>
      <c r="D44" s="355" t="inlineStr">
        <is>
          <t>т</t>
        </is>
      </c>
      <c r="E44" s="442" t="n">
        <v>0.00024</v>
      </c>
      <c r="F44" s="364" t="n">
        <v>5000</v>
      </c>
      <c r="G44" s="251">
        <f>ROUND(E44*F44,2)</f>
        <v/>
      </c>
      <c r="H44" s="250">
        <f>G44/$G$49</f>
        <v/>
      </c>
      <c r="I44" s="251">
        <f>ROUND(F44*'Прил. 10'!$D$13,2)</f>
        <v/>
      </c>
      <c r="J44" s="251">
        <f>ROUND(I44*E44,2)</f>
        <v/>
      </c>
    </row>
    <row r="45" hidden="1" outlineLevel="1" ht="21.75" customFormat="1" customHeight="1" s="299">
      <c r="A45" s="355" t="n">
        <v>17</v>
      </c>
      <c r="B45" s="355" t="inlineStr">
        <is>
          <t>01.7.15.04-0011</t>
        </is>
      </c>
      <c r="C45" s="362" t="inlineStr">
        <is>
          <t>Винты с полукруглой головкой, длина 50 мм</t>
        </is>
      </c>
      <c r="D45" s="355" t="inlineStr">
        <is>
          <t>т</t>
        </is>
      </c>
      <c r="E45" s="442" t="n">
        <v>3e-05</v>
      </c>
      <c r="F45" s="364" t="n">
        <v>12430</v>
      </c>
      <c r="G45" s="251">
        <f>ROUND(E45*F45,2)</f>
        <v/>
      </c>
      <c r="H45" s="250">
        <f>G45/$G$49</f>
        <v/>
      </c>
      <c r="I45" s="251">
        <f>ROUND(F45*'Прил. 10'!$D$13,2)</f>
        <v/>
      </c>
      <c r="J45" s="251">
        <f>ROUND(I45*E45,2)</f>
        <v/>
      </c>
    </row>
    <row r="46" hidden="1" outlineLevel="1" ht="14.25" customFormat="1" customHeight="1" s="299">
      <c r="A46" s="355" t="n">
        <v>18</v>
      </c>
      <c r="B46" s="355" t="inlineStr">
        <is>
          <t>01.7.06.07-0002</t>
        </is>
      </c>
      <c r="C46" s="362" t="inlineStr">
        <is>
          <t>Лента монтажная, тип ЛМ-5</t>
        </is>
      </c>
      <c r="D46" s="355" t="inlineStr">
        <is>
          <t>10 м</t>
        </is>
      </c>
      <c r="E46" s="442" t="n">
        <v>0.048</v>
      </c>
      <c r="F46" s="364" t="n">
        <v>6.9</v>
      </c>
      <c r="G46" s="251">
        <f>ROUND(E46*F46,2)</f>
        <v/>
      </c>
      <c r="H46" s="250">
        <f>G46/$G$49</f>
        <v/>
      </c>
      <c r="I46" s="251">
        <f>ROUND(F46*'Прил. 10'!$D$13,2)</f>
        <v/>
      </c>
      <c r="J46" s="251">
        <f>ROUND(I46*E46,2)</f>
        <v/>
      </c>
    </row>
    <row r="47" hidden="1" outlineLevel="1" ht="21.75" customFormat="1" customHeight="1" s="299">
      <c r="A47" s="355" t="n">
        <v>19</v>
      </c>
      <c r="B47" s="355" t="inlineStr">
        <is>
          <t>01.3.01.05-0009</t>
        </is>
      </c>
      <c r="C47" s="362" t="inlineStr">
        <is>
          <t>Парафин нефтяной твердый Т-1</t>
        </is>
      </c>
      <c r="D47" s="355" t="inlineStr">
        <is>
          <t>т</t>
        </is>
      </c>
      <c r="E47" s="442" t="n">
        <v>2e-05</v>
      </c>
      <c r="F47" s="364" t="n">
        <v>8105.71</v>
      </c>
      <c r="G47" s="251">
        <f>ROUND(E47*F47,2)</f>
        <v/>
      </c>
      <c r="H47" s="250">
        <f>G47/$G$49</f>
        <v/>
      </c>
      <c r="I47" s="251">
        <f>ROUND(F47*'Прил. 10'!$D$13,2)</f>
        <v/>
      </c>
      <c r="J47" s="251">
        <f>ROUND(I47*E47,2)</f>
        <v/>
      </c>
    </row>
    <row r="48" collapsed="1" ht="14.25" customFormat="1" customHeight="1" s="299">
      <c r="A48" s="355" t="n"/>
      <c r="B48" s="355" t="n"/>
      <c r="C48" s="362" t="inlineStr">
        <is>
          <t>Итого прочие материалы</t>
        </is>
      </c>
      <c r="D48" s="355" t="n"/>
      <c r="E48" s="363" t="n"/>
      <c r="F48" s="364" t="n"/>
      <c r="G48" s="251">
        <f>SUM(G38:G47)</f>
        <v/>
      </c>
      <c r="H48" s="250">
        <f>G48/$G$49</f>
        <v/>
      </c>
      <c r="I48" s="251" t="n"/>
      <c r="J48" s="251">
        <f>SUM(J38:J47)</f>
        <v/>
      </c>
    </row>
    <row r="49" ht="14.25" customFormat="1" customHeight="1" s="299">
      <c r="A49" s="355" t="n"/>
      <c r="B49" s="355" t="n"/>
      <c r="C49" s="341" t="inlineStr">
        <is>
          <t>Итого по разделу «Материалы»</t>
        </is>
      </c>
      <c r="D49" s="355" t="n"/>
      <c r="E49" s="363" t="n"/>
      <c r="F49" s="364" t="n"/>
      <c r="G49" s="251">
        <f>G37+G48</f>
        <v/>
      </c>
      <c r="H49" s="365">
        <f>G49/$G$49</f>
        <v/>
      </c>
      <c r="I49" s="251" t="n"/>
      <c r="J49" s="251">
        <f>J37+J48</f>
        <v/>
      </c>
    </row>
    <row r="50" ht="14.25" customFormat="1" customHeight="1" s="299">
      <c r="A50" s="355" t="n"/>
      <c r="B50" s="355" t="n"/>
      <c r="C50" s="362" t="inlineStr">
        <is>
          <t>ИТОГО ПО РМ</t>
        </is>
      </c>
      <c r="D50" s="355" t="n"/>
      <c r="E50" s="363" t="n"/>
      <c r="F50" s="364" t="n"/>
      <c r="G50" s="251">
        <f>G14+G25+G49</f>
        <v/>
      </c>
      <c r="H50" s="365" t="n"/>
      <c r="I50" s="251" t="n"/>
      <c r="J50" s="251">
        <f>J14+J25+J49</f>
        <v/>
      </c>
    </row>
    <row r="51" ht="14.25" customFormat="1" customHeight="1" s="299">
      <c r="A51" s="355" t="n"/>
      <c r="B51" s="355" t="n"/>
      <c r="C51" s="362" t="inlineStr">
        <is>
          <t>Накладные расходы</t>
        </is>
      </c>
      <c r="D51" s="173">
        <f>ROUND(G51/(G$16+$G$14),2)</f>
        <v/>
      </c>
      <c r="E51" s="363" t="n"/>
      <c r="F51" s="364" t="n"/>
      <c r="G51" s="251" t="n">
        <v>83.92</v>
      </c>
      <c r="H51" s="365" t="n"/>
      <c r="I51" s="251" t="n"/>
      <c r="J51" s="251">
        <f>ROUND(D51*(J14+J16),2)</f>
        <v/>
      </c>
    </row>
    <row r="52" ht="14.25" customFormat="1" customHeight="1" s="299">
      <c r="A52" s="355" t="n"/>
      <c r="B52" s="355" t="n"/>
      <c r="C52" s="362" t="inlineStr">
        <is>
          <t>Сметная прибыль</t>
        </is>
      </c>
      <c r="D52" s="173">
        <f>ROUND(G52/(G$14+G$16),2)</f>
        <v/>
      </c>
      <c r="E52" s="363" t="n"/>
      <c r="F52" s="364" t="n"/>
      <c r="G52" s="251" t="n">
        <v>44.13</v>
      </c>
      <c r="H52" s="365" t="n"/>
      <c r="I52" s="251" t="n"/>
      <c r="J52" s="251">
        <f>ROUND(D52*(J14+J16),2)</f>
        <v/>
      </c>
    </row>
    <row r="53" ht="14.25" customFormat="1" customHeight="1" s="299">
      <c r="A53" s="355" t="n"/>
      <c r="B53" s="355" t="n"/>
      <c r="C53" s="362" t="inlineStr">
        <is>
          <t>Итого СМР (с НР и СП)</t>
        </is>
      </c>
      <c r="D53" s="355" t="n"/>
      <c r="E53" s="363" t="n"/>
      <c r="F53" s="364" t="n"/>
      <c r="G53" s="251">
        <f>G14+G25+G49+G51+G52</f>
        <v/>
      </c>
      <c r="H53" s="365" t="n"/>
      <c r="I53" s="251" t="n"/>
      <c r="J53" s="251">
        <f>J14+J25+J49+J51+J52</f>
        <v/>
      </c>
    </row>
    <row r="54" ht="14.25" customFormat="1" customHeight="1" s="299">
      <c r="A54" s="355" t="n"/>
      <c r="B54" s="355" t="n"/>
      <c r="C54" s="362" t="inlineStr">
        <is>
          <t>ВСЕГО СМР + ОБОРУДОВАНИЕ</t>
        </is>
      </c>
      <c r="D54" s="355" t="n"/>
      <c r="E54" s="363" t="n"/>
      <c r="F54" s="364" t="n"/>
      <c r="G54" s="251">
        <f>G53+G31</f>
        <v/>
      </c>
      <c r="H54" s="365" t="n"/>
      <c r="I54" s="251" t="n"/>
      <c r="J54" s="251">
        <f>J53+J31</f>
        <v/>
      </c>
    </row>
    <row r="55" ht="34.5" customFormat="1" customHeight="1" s="299">
      <c r="A55" s="355" t="n"/>
      <c r="B55" s="355" t="n"/>
      <c r="C55" s="362" t="inlineStr">
        <is>
          <t>ИТОГО ПОКАЗАТЕЛЬ НА ЕД. ИЗМ.</t>
        </is>
      </c>
      <c r="D55" s="355" t="inlineStr">
        <is>
          <t>ед.</t>
        </is>
      </c>
      <c r="E55" s="446" t="n">
        <v>1</v>
      </c>
      <c r="F55" s="364" t="n"/>
      <c r="G55" s="251">
        <f>G54/E55</f>
        <v/>
      </c>
      <c r="H55" s="365" t="n"/>
      <c r="I55" s="251" t="n"/>
      <c r="J55" s="251">
        <f>J54/E55</f>
        <v/>
      </c>
    </row>
    <row r="57" ht="14.25" customFormat="1" customHeight="1" s="299">
      <c r="A57" s="289" t="inlineStr">
        <is>
          <t>Составил ______________________    Е. М. Добровольская</t>
        </is>
      </c>
    </row>
    <row r="58" ht="14.25" customFormat="1" customHeight="1" s="299">
      <c r="A58" s="298" t="inlineStr">
        <is>
          <t xml:space="preserve">                         (подпись, инициалы, фамилия)</t>
        </is>
      </c>
    </row>
    <row r="59" ht="14.25" customFormat="1" customHeight="1" s="299">
      <c r="A59" s="289" t="n"/>
    </row>
    <row r="60" ht="14.25" customFormat="1" customHeight="1" s="299">
      <c r="A60" s="289" t="inlineStr">
        <is>
          <t>Проверил ______________________        А.В. Костянецкая</t>
        </is>
      </c>
    </row>
    <row r="61" ht="14.25" customFormat="1" customHeight="1" s="299">
      <c r="A61" s="29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1" min="1" max="1"/>
    <col width="17.5703125" customWidth="1" style="301" min="2" max="2"/>
    <col width="39.140625" customWidth="1" style="301" min="3" max="3"/>
    <col width="10.7109375" customWidth="1" style="301" min="4" max="4"/>
    <col width="13.85546875" customWidth="1" style="301" min="5" max="5"/>
    <col width="13.28515625" customWidth="1" style="301" min="6" max="6"/>
    <col width="14.140625" customWidth="1" style="301" min="7" max="7"/>
  </cols>
  <sheetData>
    <row r="1">
      <c r="A1" s="370" t="inlineStr">
        <is>
          <t>Приложение №6</t>
        </is>
      </c>
    </row>
    <row r="2" ht="21.75" customHeight="1" s="301">
      <c r="A2" s="370" t="n"/>
      <c r="B2" s="370" t="n"/>
      <c r="C2" s="370" t="n"/>
      <c r="D2" s="370" t="n"/>
      <c r="E2" s="370" t="n"/>
      <c r="F2" s="370" t="n"/>
      <c r="G2" s="370" t="n"/>
    </row>
    <row r="3">
      <c r="A3" s="326" t="inlineStr">
        <is>
          <t>Расчет стоимости оборудования</t>
        </is>
      </c>
    </row>
    <row r="4" ht="27" customHeight="1" s="301">
      <c r="A4" s="329" t="inlineStr">
        <is>
          <t>Наименование разрабатываемого показателя УНЦ — Установка 3-ф ПУ трансформаторного включения в шкафу в ТП (СП, РП, РТП) 6-20 Кв</t>
        </is>
      </c>
    </row>
    <row r="5">
      <c r="A5" s="289" t="n"/>
      <c r="B5" s="289" t="n"/>
      <c r="C5" s="289" t="n"/>
      <c r="D5" s="289" t="n"/>
      <c r="E5" s="289" t="n"/>
      <c r="F5" s="289" t="n"/>
      <c r="G5" s="289" t="n"/>
    </row>
    <row r="6" ht="30" customHeight="1" s="301">
      <c r="A6" s="375" t="inlineStr">
        <is>
          <t>№ пп.</t>
        </is>
      </c>
      <c r="B6" s="375" t="inlineStr">
        <is>
          <t>Код ресурса</t>
        </is>
      </c>
      <c r="C6" s="375" t="inlineStr">
        <is>
          <t>Наименование</t>
        </is>
      </c>
      <c r="D6" s="375" t="inlineStr">
        <is>
          <t>Ед. изм.</t>
        </is>
      </c>
      <c r="E6" s="355" t="inlineStr">
        <is>
          <t>Кол-во единиц по проектным данным</t>
        </is>
      </c>
      <c r="F6" s="375" t="inlineStr">
        <is>
          <t>Сметная стоимость в ценах на 01.01.2000 (руб.)</t>
        </is>
      </c>
      <c r="G6" s="430" t="n"/>
    </row>
    <row r="7">
      <c r="A7" s="432" t="n"/>
      <c r="B7" s="432" t="n"/>
      <c r="C7" s="432" t="n"/>
      <c r="D7" s="432" t="n"/>
      <c r="E7" s="432" t="n"/>
      <c r="F7" s="355" t="inlineStr">
        <is>
          <t>на ед. изм.</t>
        </is>
      </c>
      <c r="G7" s="355" t="inlineStr">
        <is>
          <t>общая</t>
        </is>
      </c>
    </row>
    <row r="8">
      <c r="A8" s="355" t="n">
        <v>1</v>
      </c>
      <c r="B8" s="355" t="n">
        <v>2</v>
      </c>
      <c r="C8" s="355" t="n">
        <v>3</v>
      </c>
      <c r="D8" s="355" t="n">
        <v>4</v>
      </c>
      <c r="E8" s="355" t="n">
        <v>5</v>
      </c>
      <c r="F8" s="355" t="n">
        <v>6</v>
      </c>
      <c r="G8" s="355" t="n">
        <v>7</v>
      </c>
    </row>
    <row r="9" ht="15" customHeight="1" s="301">
      <c r="A9" s="228" t="n"/>
      <c r="B9" s="362" t="inlineStr">
        <is>
          <t>ИНЖЕНЕРНОЕ ОБОРУДОВАНИЕ</t>
        </is>
      </c>
      <c r="C9" s="429" t="n"/>
      <c r="D9" s="429" t="n"/>
      <c r="E9" s="429" t="n"/>
      <c r="F9" s="429" t="n"/>
      <c r="G9" s="430" t="n"/>
    </row>
    <row r="10" ht="27" customHeight="1" s="301">
      <c r="A10" s="355" t="n"/>
      <c r="B10" s="341" t="n"/>
      <c r="C10" s="362" t="inlineStr">
        <is>
          <t>ИТОГО ИНЖЕНЕРНОЕ ОБОРУДОВАНИЕ</t>
        </is>
      </c>
      <c r="D10" s="341" t="n"/>
      <c r="E10" s="169" t="n"/>
      <c r="F10" s="364" t="n"/>
      <c r="G10" s="364" t="n">
        <v>0</v>
      </c>
    </row>
    <row r="11">
      <c r="A11" s="355" t="n"/>
      <c r="B11" s="362" t="inlineStr">
        <is>
          <t>ТЕХНОЛОГИЧЕСКОЕ ОБОРУДОВАНИЕ</t>
        </is>
      </c>
      <c r="C11" s="429" t="n"/>
      <c r="D11" s="429" t="n"/>
      <c r="E11" s="429" t="n"/>
      <c r="F11" s="429" t="n"/>
      <c r="G11" s="430" t="n"/>
    </row>
    <row r="12" ht="51" customHeight="1" s="301">
      <c r="A12" s="355" t="n">
        <v>1</v>
      </c>
      <c r="B12" s="362">
        <f>'Прил.5 Расчет СМР и ОБ'!B28</f>
        <v/>
      </c>
      <c r="C12" s="362">
        <f>'Прил.5 Расчет СМР и ОБ'!C28</f>
        <v/>
      </c>
      <c r="D12" s="355">
        <f>'Прил.5 Расчет СМР и ОБ'!D28</f>
        <v/>
      </c>
      <c r="E12" s="355">
        <f>'Прил.5 Расчет СМР и ОБ'!E28</f>
        <v/>
      </c>
      <c r="F12" s="363">
        <f>'Прил.5 Расчет СМР и ОБ'!F28</f>
        <v/>
      </c>
      <c r="G12" s="363">
        <f>ROUND(E12*F12,2)</f>
        <v/>
      </c>
    </row>
    <row r="13" ht="25.5" customHeight="1" s="301">
      <c r="A13" s="355" t="n"/>
      <c r="B13" s="362" t="n"/>
      <c r="C13" s="362" t="inlineStr">
        <is>
          <t>ИТОГО ТЕХНОЛОГИЧЕСКОЕ ОБОРУДОВАНИЕ</t>
        </is>
      </c>
      <c r="D13" s="362" t="n"/>
      <c r="E13" s="374" t="n"/>
      <c r="F13" s="364" t="n"/>
      <c r="G13" s="251">
        <f>SUM(G12:G12)</f>
        <v/>
      </c>
    </row>
    <row r="14" ht="19.5" customHeight="1" s="301">
      <c r="A14" s="355" t="n"/>
      <c r="B14" s="362" t="n"/>
      <c r="C14" s="362" t="inlineStr">
        <is>
          <t>Всего по разделу «Оборудование»</t>
        </is>
      </c>
      <c r="D14" s="362" t="n"/>
      <c r="E14" s="374" t="n"/>
      <c r="F14" s="364" t="n"/>
      <c r="G14" s="251">
        <f>G10+G13</f>
        <v/>
      </c>
    </row>
    <row r="15">
      <c r="A15" s="300" t="n"/>
      <c r="B15" s="295" t="n"/>
      <c r="C15" s="300" t="n"/>
      <c r="D15" s="300" t="n"/>
      <c r="E15" s="300" t="n"/>
      <c r="F15" s="300" t="n"/>
      <c r="G15" s="300" t="n"/>
    </row>
    <row r="16">
      <c r="A16" s="289" t="inlineStr">
        <is>
          <t>Составил ______________________    Е. М. Добровольская</t>
        </is>
      </c>
      <c r="B16" s="299" t="n"/>
      <c r="C16" s="299" t="n"/>
      <c r="D16" s="300" t="n"/>
      <c r="E16" s="300" t="n"/>
      <c r="F16" s="300" t="n"/>
      <c r="G16" s="300" t="n"/>
    </row>
    <row r="17">
      <c r="A17" s="298" t="inlineStr">
        <is>
          <t xml:space="preserve">                         (подпись, инициалы, фамилия)</t>
        </is>
      </c>
      <c r="B17" s="299" t="n"/>
      <c r="C17" s="299" t="n"/>
      <c r="D17" s="300" t="n"/>
      <c r="E17" s="300" t="n"/>
      <c r="F17" s="300" t="n"/>
      <c r="G17" s="300" t="n"/>
    </row>
    <row r="18">
      <c r="A18" s="289" t="n"/>
      <c r="B18" s="299" t="n"/>
      <c r="C18" s="299" t="n"/>
      <c r="D18" s="300" t="n"/>
      <c r="E18" s="300" t="n"/>
      <c r="F18" s="300" t="n"/>
      <c r="G18" s="300" t="n"/>
    </row>
    <row r="19">
      <c r="A19" s="289" t="inlineStr">
        <is>
          <t>Проверил ______________________        А.В. Костянецкая</t>
        </is>
      </c>
      <c r="B19" s="299" t="n"/>
      <c r="C19" s="299" t="n"/>
      <c r="D19" s="300" t="n"/>
      <c r="E19" s="300" t="n"/>
      <c r="F19" s="300" t="n"/>
      <c r="G19" s="300" t="n"/>
    </row>
    <row r="20">
      <c r="A20" s="298" t="inlineStr">
        <is>
          <t xml:space="preserve">                        (подпись, инициалы, фамилия)</t>
        </is>
      </c>
      <c r="B20" s="299" t="n"/>
      <c r="C20" s="299" t="n"/>
      <c r="D20" s="300" t="n"/>
      <c r="E20" s="300" t="n"/>
      <c r="F20" s="300" t="n"/>
      <c r="G20" s="3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1" min="1" max="1"/>
    <col width="29.7109375" customWidth="1" style="301" min="2" max="2"/>
    <col width="39.140625" customWidth="1" style="301" min="3" max="3"/>
    <col width="24.5703125" customWidth="1" style="301" min="4" max="4"/>
    <col width="8.85546875" customWidth="1" style="301" min="5" max="5"/>
  </cols>
  <sheetData>
    <row r="1">
      <c r="B1" s="289" t="n"/>
      <c r="C1" s="289" t="n"/>
      <c r="D1" s="370" t="inlineStr">
        <is>
          <t>Приложение №7</t>
        </is>
      </c>
    </row>
    <row r="2">
      <c r="A2" s="370" t="n"/>
      <c r="B2" s="370" t="n"/>
      <c r="C2" s="370" t="n"/>
      <c r="D2" s="370" t="n"/>
    </row>
    <row r="3" ht="24.75" customHeight="1" s="301">
      <c r="A3" s="326" t="inlineStr">
        <is>
          <t>Расчет показателя УНЦ</t>
        </is>
      </c>
    </row>
    <row r="4" ht="24.75" customHeight="1" s="301">
      <c r="A4" s="326" t="n"/>
      <c r="B4" s="326" t="n"/>
      <c r="C4" s="326" t="n"/>
      <c r="D4" s="326" t="n"/>
    </row>
    <row r="5" ht="24.6" customHeight="1" s="301">
      <c r="A5" s="329" t="inlineStr">
        <is>
          <t xml:space="preserve">Наименование разрабатываемого показателя УНЦ - </t>
        </is>
      </c>
      <c r="D5" s="329">
        <f>'Прил.5 Расчет СМР и ОБ'!D6:J6</f>
        <v/>
      </c>
    </row>
    <row r="6" ht="19.9" customHeight="1" s="301">
      <c r="A6" s="329" t="inlineStr">
        <is>
          <t>Единица измерения  — 1 ед</t>
        </is>
      </c>
      <c r="D6" s="329" t="n"/>
    </row>
    <row r="7">
      <c r="A7" s="289" t="n"/>
      <c r="B7" s="289" t="n"/>
      <c r="C7" s="289" t="n"/>
      <c r="D7" s="289" t="n"/>
    </row>
    <row r="8" ht="14.45" customHeight="1" s="301">
      <c r="A8" s="339" t="inlineStr">
        <is>
          <t>Код показателя</t>
        </is>
      </c>
      <c r="B8" s="339" t="inlineStr">
        <is>
          <t>Наименование показателя</t>
        </is>
      </c>
      <c r="C8" s="339" t="inlineStr">
        <is>
          <t>Наименование РМ, входящих в состав показателя</t>
        </is>
      </c>
      <c r="D8" s="339" t="inlineStr">
        <is>
          <t>Норматив цены на 01.01.2023, тыс.руб.</t>
        </is>
      </c>
    </row>
    <row r="9" ht="15" customHeight="1" s="301">
      <c r="A9" s="432" t="n"/>
      <c r="B9" s="432" t="n"/>
      <c r="C9" s="432" t="n"/>
      <c r="D9" s="432" t="n"/>
    </row>
    <row r="10">
      <c r="A10" s="355" t="n">
        <v>1</v>
      </c>
      <c r="B10" s="355" t="n">
        <v>2</v>
      </c>
      <c r="C10" s="355" t="n">
        <v>3</v>
      </c>
      <c r="D10" s="355" t="n">
        <v>4</v>
      </c>
    </row>
    <row r="11" ht="41.45" customHeight="1" s="301">
      <c r="A11" s="355" t="inlineStr">
        <is>
          <t>А1-44</t>
        </is>
      </c>
      <c r="B11" s="355" t="inlineStr">
        <is>
          <t>УНЦ ИИК</t>
        </is>
      </c>
      <c r="C11" s="291">
        <f>D5</f>
        <v/>
      </c>
      <c r="D11" s="292">
        <f>'Прил.4 РМ'!C41/1000</f>
        <v/>
      </c>
      <c r="E11" s="293" t="n"/>
    </row>
    <row r="12">
      <c r="A12" s="300" t="n"/>
      <c r="B12" s="295" t="n"/>
      <c r="C12" s="300" t="n"/>
      <c r="D12" s="300" t="n"/>
    </row>
    <row r="13">
      <c r="A13" s="293" t="inlineStr">
        <is>
          <t>Составил ____________________________ Е. М. Добровольская</t>
        </is>
      </c>
      <c r="B13" s="299" t="n"/>
      <c r="C13" s="299" t="n"/>
      <c r="D13" s="300" t="n"/>
    </row>
    <row r="14">
      <c r="A14" s="298" t="inlineStr">
        <is>
          <t xml:space="preserve">                         (подпись, инициалы, фамилия)</t>
        </is>
      </c>
      <c r="B14" s="299" t="n"/>
      <c r="C14" s="299" t="n"/>
      <c r="D14" s="300" t="n"/>
    </row>
    <row r="15">
      <c r="A15" s="289" t="n"/>
      <c r="B15" s="299" t="n"/>
      <c r="C15" s="299" t="n"/>
      <c r="D15" s="300" t="n"/>
    </row>
    <row r="16">
      <c r="A16" s="289" t="inlineStr">
        <is>
          <t>Проверил ______________________        А.В. Костянецкая</t>
        </is>
      </c>
      <c r="B16" s="299" t="n"/>
      <c r="C16" s="299" t="n"/>
      <c r="D16" s="300" t="n"/>
    </row>
    <row r="17">
      <c r="A17" s="298" t="inlineStr">
        <is>
          <t xml:space="preserve">                        (подпись, инициалы, фамилия)</t>
        </is>
      </c>
      <c r="B17" s="299" t="n"/>
      <c r="C17" s="299" t="n"/>
      <c r="D17" s="30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1" min="1" max="1"/>
    <col width="40.7109375" customWidth="1" style="301" min="2" max="2"/>
    <col width="37.5703125" customWidth="1" style="301" min="3" max="3"/>
    <col width="32" customWidth="1" style="301" min="4" max="4"/>
    <col width="9.140625" customWidth="1" style="301" min="5" max="5"/>
  </cols>
  <sheetData>
    <row r="4" ht="15.75" customHeight="1" s="301">
      <c r="B4" s="333" t="inlineStr">
        <is>
          <t>Приложение № 10</t>
        </is>
      </c>
    </row>
    <row r="5" ht="18.75" customHeight="1" s="301">
      <c r="B5" s="153" t="n"/>
    </row>
    <row r="6" ht="15.75" customHeight="1" s="301">
      <c r="B6" s="334" t="inlineStr">
        <is>
          <t>Используемые индексы изменений сметной стоимости и нормы сопутствующих затрат</t>
        </is>
      </c>
    </row>
    <row r="7">
      <c r="B7" s="376" t="n"/>
    </row>
    <row r="8">
      <c r="B8" s="376" t="n"/>
      <c r="C8" s="376" t="n"/>
      <c r="D8" s="376" t="n"/>
      <c r="E8" s="376" t="n"/>
    </row>
    <row r="9" ht="47.25" customHeight="1" s="301">
      <c r="B9" s="339" t="inlineStr">
        <is>
          <t>Наименование индекса / норм сопутствующих затрат</t>
        </is>
      </c>
      <c r="C9" s="339" t="inlineStr">
        <is>
          <t>Дата применения и обоснование индекса / норм сопутствующих затрат</t>
        </is>
      </c>
      <c r="D9" s="339" t="inlineStr">
        <is>
          <t>Размер индекса / норма сопутствующих затрат</t>
        </is>
      </c>
    </row>
    <row r="10" ht="15.75" customHeight="1" s="301">
      <c r="B10" s="339" t="n">
        <v>1</v>
      </c>
      <c r="C10" s="339" t="n">
        <v>2</v>
      </c>
      <c r="D10" s="339" t="n">
        <v>3</v>
      </c>
    </row>
    <row r="11" ht="45" customHeight="1" s="301">
      <c r="B11" s="339" t="inlineStr">
        <is>
          <t xml:space="preserve">Индекс изменения сметной стоимости на 1 квартал 2023 года. ОЗП </t>
        </is>
      </c>
      <c r="C11" s="339" t="inlineStr">
        <is>
          <t>Письмо Минстроя России от 30.03.2023г. №17106-ИФ/09  прил.1</t>
        </is>
      </c>
      <c r="D11" s="339" t="n">
        <v>44.29</v>
      </c>
    </row>
    <row r="12" ht="29.25" customHeight="1" s="301">
      <c r="B12" s="339" t="inlineStr">
        <is>
          <t>Индекс изменения сметной стоимости на 1 квартал 2023 года. ЭМ</t>
        </is>
      </c>
      <c r="C12" s="339" t="inlineStr">
        <is>
          <t>Письмо Минстроя России от 30.03.2023г. №17106-ИФ/09  прил.1</t>
        </is>
      </c>
      <c r="D12" s="339" t="n">
        <v>13.47</v>
      </c>
    </row>
    <row r="13" ht="29.25" customHeight="1" s="301">
      <c r="B13" s="339" t="inlineStr">
        <is>
          <t>Индекс изменения сметной стоимости на 1 квартал 2023 года. МАТ</t>
        </is>
      </c>
      <c r="C13" s="339" t="inlineStr">
        <is>
          <t>Письмо Минстроя России от 30.03.2023г. №17106-ИФ/09  прил.1</t>
        </is>
      </c>
      <c r="D13" s="339" t="n">
        <v>8.039999999999999</v>
      </c>
    </row>
    <row r="14" ht="30.75" customHeight="1" s="301">
      <c r="B14" s="339" t="inlineStr">
        <is>
          <t>Индекс изменения сметной стоимости на 1 квартал 2023 года. ОБ</t>
        </is>
      </c>
      <c r="C14" s="280" t="inlineStr">
        <is>
          <t>Письмо Минстроя России от 23.02.2023г. №9791-ИФ/09 прил.6</t>
        </is>
      </c>
      <c r="D14" s="339" t="n">
        <v>6.26</v>
      </c>
    </row>
    <row r="15" ht="89.25" customHeight="1" s="301">
      <c r="B15" s="339" t="inlineStr">
        <is>
          <t>Временные здания и сооружения</t>
        </is>
      </c>
      <c r="C15" s="339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1">
      <c r="B16" s="339" t="inlineStr">
        <is>
          <t>Дополнительные затраты при производстве строительно-монтажных работ в зимнее время</t>
        </is>
      </c>
      <c r="C16" s="339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0.021</v>
      </c>
    </row>
    <row r="17" ht="31.5" customHeight="1" s="301">
      <c r="B17" s="339" t="inlineStr">
        <is>
          <t>Строительный контроль</t>
        </is>
      </c>
      <c r="C17" s="339" t="inlineStr">
        <is>
          <t>Постановление Правительства РФ от 21.06.10 г. № 468</t>
        </is>
      </c>
      <c r="D17" s="156" t="n">
        <v>0.0214</v>
      </c>
    </row>
    <row r="18" ht="31.5" customHeight="1" s="301">
      <c r="B18" s="339" t="inlineStr">
        <is>
          <t>Авторский надзор - 0,2%</t>
        </is>
      </c>
      <c r="C18" s="339" t="inlineStr">
        <is>
          <t>Приказ от 4.08.2020 № 421/пр п.173</t>
        </is>
      </c>
      <c r="D18" s="156" t="n">
        <v>0.002</v>
      </c>
    </row>
    <row r="19" ht="24" customHeight="1" s="301">
      <c r="B19" s="339" t="inlineStr">
        <is>
          <t>Непредвиденные расходы</t>
        </is>
      </c>
      <c r="C19" s="339" t="inlineStr">
        <is>
          <t>Приказ от 4.08.2020 № 421/пр п.179</t>
        </is>
      </c>
      <c r="D19" s="156" t="n">
        <v>0.03</v>
      </c>
    </row>
    <row r="20" ht="18.75" customHeight="1" s="301">
      <c r="B20" s="161" t="n"/>
    </row>
    <row r="21" ht="18.75" customHeight="1" s="301">
      <c r="B21" s="161" t="n"/>
    </row>
    <row r="22" ht="18.75" customHeight="1" s="301">
      <c r="B22" s="161" t="n"/>
    </row>
    <row r="23" ht="18.75" customHeight="1" s="301">
      <c r="B23" s="161" t="n"/>
    </row>
    <row r="26">
      <c r="B26" s="289" t="inlineStr">
        <is>
          <t>Составил ______________________    Е. М. Добровольская</t>
        </is>
      </c>
      <c r="C26" s="299" t="n"/>
    </row>
    <row r="27">
      <c r="B27" s="298" t="inlineStr">
        <is>
          <t xml:space="preserve">                         (подпись, инициалы, фамилия)</t>
        </is>
      </c>
      <c r="C27" s="299" t="n"/>
    </row>
    <row r="28">
      <c r="B28" s="289" t="n"/>
      <c r="C28" s="299" t="n"/>
    </row>
    <row r="29">
      <c r="B29" s="289" t="inlineStr">
        <is>
          <t>Проверил ______________________        А.В. Костянецкая</t>
        </is>
      </c>
      <c r="C29" s="299" t="n"/>
    </row>
    <row r="30">
      <c r="B30" s="298" t="inlineStr">
        <is>
          <t xml:space="preserve">                        (подпись, инициалы, фамилия)</t>
        </is>
      </c>
      <c r="C30" s="2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1" min="2" max="2"/>
    <col width="13" customWidth="1" style="301" min="3" max="3"/>
    <col width="22.85546875" customWidth="1" style="301" min="4" max="4"/>
    <col width="21.5703125" customWidth="1" style="301" min="5" max="5"/>
    <col width="53.7109375" bestFit="1" customWidth="1" style="301" min="6" max="6"/>
  </cols>
  <sheetData>
    <row r="1" s="301"/>
    <row r="2" ht="17.25" customHeight="1" s="301">
      <c r="A2" s="334" t="inlineStr">
        <is>
          <t>Расчет размера средств на оплату труда рабочих-строителей в текущем уровне цен (ФОТр.тек.)</t>
        </is>
      </c>
    </row>
    <row r="3" s="301"/>
    <row r="4" ht="18" customHeight="1" s="301">
      <c r="A4" s="302" t="inlineStr">
        <is>
          <t>Составлен в уровне цен на 01.01.2023 г.</t>
        </is>
      </c>
      <c r="B4" s="303" t="n"/>
      <c r="C4" s="303" t="n"/>
      <c r="D4" s="303" t="n"/>
      <c r="E4" s="303" t="n"/>
      <c r="F4" s="303" t="n"/>
      <c r="G4" s="303" t="n"/>
    </row>
    <row r="5" ht="15.75" customHeight="1" s="301">
      <c r="A5" s="304" t="inlineStr">
        <is>
          <t>№ пп.</t>
        </is>
      </c>
      <c r="B5" s="304" t="inlineStr">
        <is>
          <t>Наименование элемента</t>
        </is>
      </c>
      <c r="C5" s="304" t="inlineStr">
        <is>
          <t>Обозначение</t>
        </is>
      </c>
      <c r="D5" s="304" t="inlineStr">
        <is>
          <t>Формула</t>
        </is>
      </c>
      <c r="E5" s="304" t="inlineStr">
        <is>
          <t>Величина элемента</t>
        </is>
      </c>
      <c r="F5" s="304" t="inlineStr">
        <is>
          <t>Наименования обосновывающих документов</t>
        </is>
      </c>
      <c r="G5" s="303" t="n"/>
    </row>
    <row r="6" ht="15.75" customHeight="1" s="301">
      <c r="A6" s="304" t="n">
        <v>1</v>
      </c>
      <c r="B6" s="304" t="n">
        <v>2</v>
      </c>
      <c r="C6" s="304" t="n">
        <v>3</v>
      </c>
      <c r="D6" s="304" t="n">
        <v>4</v>
      </c>
      <c r="E6" s="304" t="n">
        <v>5</v>
      </c>
      <c r="F6" s="304" t="n">
        <v>6</v>
      </c>
      <c r="G6" s="303" t="n"/>
    </row>
    <row r="7" ht="110.25" customHeight="1" s="301">
      <c r="A7" s="305" t="inlineStr">
        <is>
          <t>1.1</t>
        </is>
      </c>
      <c r="B7" s="3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9" t="inlineStr">
        <is>
          <t>С1ср</t>
        </is>
      </c>
      <c r="D7" s="339" t="inlineStr">
        <is>
          <t>-</t>
        </is>
      </c>
      <c r="E7" s="308" t="n">
        <v>47872.94</v>
      </c>
      <c r="F7" s="3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3" t="n"/>
    </row>
    <row r="8" ht="31.5" customHeight="1" s="301">
      <c r="A8" s="305" t="inlineStr">
        <is>
          <t>1.2</t>
        </is>
      </c>
      <c r="B8" s="310" t="inlineStr">
        <is>
          <t>Среднегодовое нормативное число часов работы одного рабочего в месяц, часы (ч.)</t>
        </is>
      </c>
      <c r="C8" s="339" t="inlineStr">
        <is>
          <t>tср</t>
        </is>
      </c>
      <c r="D8" s="339" t="inlineStr">
        <is>
          <t>1973ч/12мес.</t>
        </is>
      </c>
      <c r="E8" s="309">
        <f>1973/12</f>
        <v/>
      </c>
      <c r="F8" s="310" t="inlineStr">
        <is>
          <t>Производственный календарь 2023 год
(40-часов.неделя)</t>
        </is>
      </c>
      <c r="G8" s="312" t="n"/>
    </row>
    <row r="9" ht="15.75" customHeight="1" s="301">
      <c r="A9" s="305" t="inlineStr">
        <is>
          <t>1.3</t>
        </is>
      </c>
      <c r="B9" s="310" t="inlineStr">
        <is>
          <t>Коэффициент увеличения</t>
        </is>
      </c>
      <c r="C9" s="339" t="inlineStr">
        <is>
          <t>Кув</t>
        </is>
      </c>
      <c r="D9" s="339" t="inlineStr">
        <is>
          <t>-</t>
        </is>
      </c>
      <c r="E9" s="309" t="n">
        <v>1</v>
      </c>
      <c r="F9" s="310" t="n"/>
      <c r="G9" s="312" t="n"/>
    </row>
    <row r="10" ht="15.75" customHeight="1" s="301">
      <c r="A10" s="305" t="inlineStr">
        <is>
          <t>1.4</t>
        </is>
      </c>
      <c r="B10" s="310" t="inlineStr">
        <is>
          <t>Средний разряд работ</t>
        </is>
      </c>
      <c r="C10" s="339" t="n"/>
      <c r="D10" s="339" t="n"/>
      <c r="E10" s="447" t="n">
        <v>3.9</v>
      </c>
      <c r="F10" s="310" t="inlineStr">
        <is>
          <t>РТМ</t>
        </is>
      </c>
      <c r="G10" s="312" t="n"/>
    </row>
    <row r="11" ht="78.75" customHeight="1" s="301">
      <c r="A11" s="305" t="inlineStr">
        <is>
          <t>1.5</t>
        </is>
      </c>
      <c r="B11" s="310" t="inlineStr">
        <is>
          <t>Тарифный коэффициент среднего разряда работ</t>
        </is>
      </c>
      <c r="C11" s="339" t="inlineStr">
        <is>
          <t>КТ</t>
        </is>
      </c>
      <c r="D11" s="339" t="inlineStr">
        <is>
          <t>-</t>
        </is>
      </c>
      <c r="E11" s="448" t="n">
        <v>1.324</v>
      </c>
      <c r="F11" s="3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3" t="n"/>
    </row>
    <row r="12" ht="78.75" customHeight="1" s="301">
      <c r="A12" s="315" t="inlineStr">
        <is>
          <t>1.6</t>
        </is>
      </c>
      <c r="B12" s="421" t="inlineStr">
        <is>
          <t>Коэффициент инфляции, определяемый поквартально</t>
        </is>
      </c>
      <c r="C12" s="340" t="inlineStr">
        <is>
          <t>Кинф</t>
        </is>
      </c>
      <c r="D12" s="340" t="inlineStr">
        <is>
          <t>-</t>
        </is>
      </c>
      <c r="E12" s="449" t="n">
        <v>1.139</v>
      </c>
      <c r="F12" s="4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1">
      <c r="A13" s="424" t="inlineStr">
        <is>
          <t>1.7</t>
        </is>
      </c>
      <c r="B13" s="425" t="inlineStr">
        <is>
          <t>Размер средств на оплату труда рабочих-строителей в текущем уровне цен (ФОТр.тек.), руб/чел.-ч</t>
        </is>
      </c>
      <c r="C13" s="426" t="inlineStr">
        <is>
          <t>ФОТр.тек.</t>
        </is>
      </c>
      <c r="D13" s="426" t="inlineStr">
        <is>
          <t>(С1ср/tср*КТ*Т*Кув)*Кинф</t>
        </is>
      </c>
      <c r="E13" s="427">
        <f>((E7*E9/E8)*E11)*E12</f>
        <v/>
      </c>
      <c r="F13" s="4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2025-01-24T11:52:00Z</dcterms:modified>
  <cp:lastModifiedBy>Николай Трофименко</cp:lastModifiedBy>
  <cp:lastPrinted>2023-12-01T10:03:04Z</cp:lastPrinted>
</cp:coreProperties>
</file>