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'ФОТр.тек.'!$A$1:$F$38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_-* #,##0.000\ _₽_-;\-* #,##0.000\ _₽_-;_-* &quot;-&quot;?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4" fontId="4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10" min="1" max="2"/>
    <col width="51.7109375" customWidth="1" style="310" min="3" max="3"/>
    <col width="47" customWidth="1" style="310" min="4" max="4"/>
    <col width="37.42578125" customWidth="1" style="310" min="5" max="5"/>
    <col width="9.140625" customWidth="1" style="310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08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8">
      <c r="B6" s="199" t="n"/>
      <c r="C6" s="199" t="n"/>
      <c r="D6" s="199" t="n"/>
    </row>
    <row r="7" ht="64.5" customHeight="1" s="308">
      <c r="B7" s="353" t="inlineStr">
        <is>
          <t>Наименование разрабатываемого показателя УНЦ - Установка 3-ф ПУ трансформаторного включения в шкафу учета с ТТ и ТН (с догрузочными резисторами)</t>
        </is>
      </c>
    </row>
    <row r="8" ht="31.5" customHeight="1" s="308">
      <c r="B8" s="353" t="inlineStr">
        <is>
          <t>Сопоставимый уровень цен: 3 кв. 2019 г.</t>
        </is>
      </c>
    </row>
    <row r="9" ht="15.75" customHeight="1" s="308">
      <c r="B9" s="353" t="inlineStr">
        <is>
          <t>Единица измерения  — 1 ед.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00" t="n"/>
    </row>
    <row r="12" ht="96.75" customHeight="1" s="308">
      <c r="B12" s="357" t="n">
        <v>1</v>
      </c>
      <c r="C12" s="322" t="inlineStr">
        <is>
          <t>Наименование объекта-представителя</t>
        </is>
      </c>
      <c r="D12" s="357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7" t="n">
        <v>2</v>
      </c>
      <c r="C13" s="322" t="inlineStr">
        <is>
          <t>Наименование субъекта Российской Федерации</t>
        </is>
      </c>
      <c r="D13" s="357" t="inlineStr">
        <is>
          <t>Республика Калмыкия</t>
        </is>
      </c>
    </row>
    <row r="14">
      <c r="B14" s="357" t="n">
        <v>3</v>
      </c>
      <c r="C14" s="322" t="inlineStr">
        <is>
          <t>Климатический район и подрайон</t>
        </is>
      </c>
      <c r="D14" s="357" t="inlineStr">
        <is>
          <t>IVГ</t>
        </is>
      </c>
    </row>
    <row r="15">
      <c r="B15" s="357" t="n">
        <v>4</v>
      </c>
      <c r="C15" s="322" t="inlineStr">
        <is>
          <t>Мощность объекта</t>
        </is>
      </c>
      <c r="D15" s="357" t="n">
        <v>1</v>
      </c>
    </row>
    <row r="16" ht="63" customHeight="1" s="308">
      <c r="B16" s="357" t="n">
        <v>5</v>
      </c>
      <c r="C16" s="2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8">
      <c r="B17" s="357" t="n">
        <v>6</v>
      </c>
      <c r="C17" s="2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322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8">
      <c r="B19" s="205" t="inlineStr">
        <is>
          <t>6.2</t>
        </is>
      </c>
      <c r="C19" s="322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8">
      <c r="B20" s="205" t="inlineStr">
        <is>
          <t>6.3</t>
        </is>
      </c>
      <c r="C20" s="322" t="inlineStr">
        <is>
          <t>пусконаладочные работы</t>
        </is>
      </c>
      <c r="D20" s="203" t="n"/>
    </row>
    <row r="21" ht="35.25" customHeight="1" s="308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D18*0.039+(D18*0.039+D18)*0.021</f>
        <v/>
      </c>
    </row>
    <row r="22">
      <c r="B22" s="357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8">
      <c r="B23" s="357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8">
      <c r="B24" s="357" t="n">
        <v>9</v>
      </c>
      <c r="C24" s="282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8">
      <c r="B25" s="357" t="n">
        <v>10</v>
      </c>
      <c r="C25" s="322" t="inlineStr">
        <is>
          <t>Примечание</t>
        </is>
      </c>
      <c r="D25" s="357" t="n"/>
    </row>
    <row r="26">
      <c r="B26" s="210" t="n"/>
      <c r="C26" s="211" t="n"/>
      <c r="D26" s="211" t="n"/>
    </row>
    <row r="27" ht="37.5" customHeight="1" s="308">
      <c r="B27" s="163" t="n"/>
    </row>
    <row r="28">
      <c r="B28" s="310" t="inlineStr">
        <is>
          <t>Составил ______________________    Д.Ю. Нефедова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0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0" min="1" max="1"/>
    <col width="9.140625" customWidth="1" style="310" min="2" max="2"/>
    <col width="35.28515625" customWidth="1" style="310" min="3" max="3"/>
    <col width="13.85546875" customWidth="1" style="310" min="4" max="4"/>
    <col width="24.85546875" customWidth="1" style="310" min="5" max="5"/>
    <col width="15.5703125" customWidth="1" style="310" min="6" max="6"/>
    <col width="14.85546875" customWidth="1" style="310" min="7" max="7"/>
    <col width="16.7109375" customWidth="1" style="310" min="8" max="8"/>
    <col width="13" customWidth="1" style="310" min="9" max="10"/>
    <col width="9.140625" customWidth="1" style="310" min="11" max="11"/>
  </cols>
  <sheetData>
    <row r="3">
      <c r="B3" s="351" t="inlineStr">
        <is>
          <t>Приложение № 2</t>
        </is>
      </c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8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08">
      <c r="B8" s="161" t="n"/>
    </row>
    <row r="9" ht="15.75" customHeight="1" s="308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08">
      <c r="B10" s="450" t="n"/>
      <c r="C10" s="450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3 кв. 2019г., тыс. руб.</t>
        </is>
      </c>
      <c r="G10" s="448" t="n"/>
      <c r="H10" s="448" t="n"/>
      <c r="I10" s="448" t="n"/>
      <c r="J10" s="449" t="n"/>
    </row>
    <row r="11" ht="31.5" customHeight="1" s="308">
      <c r="B11" s="451" t="n"/>
      <c r="C11" s="451" t="n"/>
      <c r="D11" s="451" t="n"/>
      <c r="E11" s="451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50.25" customHeight="1" s="308">
      <c r="B12" s="337" t="n">
        <v>1</v>
      </c>
      <c r="C12" s="338" t="inlineStr">
        <is>
          <t>Счётчик трёхфазный прямого включения в шкафном исполнении с передачей данных в ИВК</t>
        </is>
      </c>
      <c r="D12" s="339" t="inlineStr">
        <is>
          <t>02-01-01</t>
        </is>
      </c>
      <c r="E12" s="338" t="inlineStr">
        <is>
          <t>Установка ПКУ 10 кВ</t>
        </is>
      </c>
      <c r="F12" s="338" t="n">
        <v>0</v>
      </c>
      <c r="G12" s="340" t="n">
        <v>11.27</v>
      </c>
      <c r="H12" s="340" t="n">
        <v>202.61</v>
      </c>
      <c r="I12" s="338" t="n">
        <v>0</v>
      </c>
      <c r="J12" s="338">
        <f>SUM(F12:I12)</f>
        <v/>
      </c>
    </row>
    <row r="13" ht="15.75" customHeight="1" s="308">
      <c r="B13" s="355" t="inlineStr">
        <is>
          <t>Всего по объекту:</t>
        </is>
      </c>
      <c r="C13" s="452" t="n"/>
      <c r="D13" s="452" t="n"/>
      <c r="E13" s="453" t="n"/>
      <c r="F13" s="341">
        <f>F12</f>
        <v/>
      </c>
      <c r="G13" s="341">
        <f>G12</f>
        <v/>
      </c>
      <c r="H13" s="341">
        <f>H12</f>
        <v/>
      </c>
      <c r="I13" s="341">
        <f>I12</f>
        <v/>
      </c>
      <c r="J13" s="341">
        <f>SUM(F13:I13)</f>
        <v/>
      </c>
    </row>
    <row r="14" ht="15.75" customHeight="1" s="308">
      <c r="B14" s="356" t="inlineStr">
        <is>
          <t>Всего по объекту в сопоставимом уровне цен 3 кв. 2019г:</t>
        </is>
      </c>
      <c r="C14" s="448" t="n"/>
      <c r="D14" s="448" t="n"/>
      <c r="E14" s="449" t="n"/>
      <c r="F14" s="341">
        <f>F13</f>
        <v/>
      </c>
      <c r="G14" s="341">
        <f>G13</f>
        <v/>
      </c>
      <c r="H14" s="341">
        <f>H13</f>
        <v/>
      </c>
      <c r="I14" s="342">
        <f>'Прил.1 Сравнит табл'!D21</f>
        <v/>
      </c>
      <c r="J14" s="343">
        <f>SUM(F14:I14)</f>
        <v/>
      </c>
    </row>
    <row r="15" ht="15" customHeight="1" s="308"/>
    <row r="16" ht="15" customHeight="1" s="308"/>
    <row r="17" ht="15" customHeight="1" s="308"/>
    <row r="18" ht="15" customHeight="1" s="308">
      <c r="C18" s="296" t="inlineStr">
        <is>
          <t>Составил ______________________     Д.Ю. Нефедова</t>
        </is>
      </c>
      <c r="D18" s="306" t="n"/>
      <c r="E18" s="306" t="n"/>
    </row>
    <row r="19" ht="15" customHeight="1" s="308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08">
      <c r="C20" s="296" t="n"/>
      <c r="D20" s="306" t="n"/>
      <c r="E20" s="306" t="n"/>
    </row>
    <row r="21" ht="15" customHeight="1" s="308">
      <c r="C21" s="296" t="inlineStr">
        <is>
          <t>Проверил ______________________        А.В. Костянецкая</t>
        </is>
      </c>
      <c r="D21" s="306" t="n"/>
      <c r="E21" s="306" t="n"/>
    </row>
    <row r="22" ht="15" customHeight="1" s="308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08"/>
    <row r="24" ht="15" customHeight="1" s="308"/>
    <row r="25" ht="15" customHeight="1" s="308"/>
    <row r="26" ht="15" customHeight="1" s="308"/>
    <row r="27" ht="15" customHeight="1" s="308"/>
    <row r="28" ht="15" customHeight="1" s="308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9"/>
  <sheetViews>
    <sheetView view="pageBreakPreview" topLeftCell="A43" zoomScale="70" workbookViewId="0">
      <selection activeCell="D66" sqref="D66"/>
    </sheetView>
  </sheetViews>
  <sheetFormatPr baseColWidth="8" defaultColWidth="9.140625" defaultRowHeight="15.75"/>
  <cols>
    <col width="9.140625" customWidth="1" style="310" min="1" max="1"/>
    <col width="12.5703125" customWidth="1" style="310" min="2" max="2"/>
    <col width="22.42578125" customWidth="1" style="310" min="3" max="3"/>
    <col width="49.7109375" customWidth="1" style="310" min="4" max="4"/>
    <col width="10.140625" customWidth="1" style="310" min="5" max="5"/>
    <col width="20.7109375" customWidth="1" style="310" min="6" max="6"/>
    <col width="20" customWidth="1" style="310" min="7" max="7"/>
    <col width="16.7109375" customWidth="1" style="310" min="8" max="8"/>
    <col width="3.5703125" customWidth="1" style="310" min="9" max="9"/>
    <col width="7.5703125" customWidth="1" style="310" min="10" max="10"/>
    <col width="15" customWidth="1" style="310" min="11" max="11"/>
    <col width="9.140625" customWidth="1" style="310" min="12" max="12"/>
    <col width="11.28515625" customWidth="1" style="310" min="13" max="13"/>
    <col width="9.140625" customWidth="1" style="310" min="14" max="14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08">
      <c r="A4" s="212" t="n"/>
      <c r="B4" s="212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 ht="33.75" customHeight="1" s="308">
      <c r="A6" s="363" t="inlineStr">
        <is>
          <t>Наименование разрабатываемого показателя УНЦ - Установка 3-ф ПУ трансформаторного включения в шкафу учета с ТТ и ТН (с догрузочными резисторами)</t>
        </is>
      </c>
    </row>
    <row r="7" ht="33.75" customHeight="1" s="308">
      <c r="A7" s="363" t="n"/>
      <c r="B7" s="363" t="n"/>
      <c r="C7" s="363" t="n"/>
      <c r="D7" s="363" t="n"/>
      <c r="E7" s="363" t="n"/>
      <c r="F7" s="363" t="n"/>
      <c r="G7" s="363" t="n"/>
      <c r="H7" s="363" t="n"/>
      <c r="I7" s="310" t="n"/>
      <c r="J7" s="310" t="n"/>
      <c r="K7" s="310" t="n"/>
      <c r="L7" s="310" t="n"/>
      <c r="M7" s="310" t="n"/>
      <c r="N7" s="310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49" t="n"/>
    </row>
    <row r="10" ht="40.5" customHeight="1" s="308">
      <c r="A10" s="451" t="n"/>
      <c r="B10" s="451" t="n"/>
      <c r="C10" s="451" t="n"/>
      <c r="D10" s="451" t="n"/>
      <c r="E10" s="451" t="n"/>
      <c r="F10" s="451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15">
      <c r="A12" s="360" t="inlineStr">
        <is>
          <t>Затраты труда рабочих</t>
        </is>
      </c>
      <c r="B12" s="448" t="n"/>
      <c r="C12" s="448" t="n"/>
      <c r="D12" s="448" t="n"/>
      <c r="E12" s="449" t="n"/>
      <c r="F12" s="454" t="n">
        <v>44.53</v>
      </c>
      <c r="G12" s="175" t="n"/>
      <c r="H12" s="454">
        <f>SUM(H13:H18)</f>
        <v/>
      </c>
      <c r="J12" s="310" t="n"/>
    </row>
    <row r="13">
      <c r="A13" s="391" t="n">
        <v>1</v>
      </c>
      <c r="B13" s="176" t="n"/>
      <c r="C13" s="286" t="inlineStr">
        <is>
          <t>10-3-1</t>
        </is>
      </c>
      <c r="D13" s="287" t="inlineStr">
        <is>
          <t>Инженер I категории</t>
        </is>
      </c>
      <c r="E13" s="391" t="inlineStr">
        <is>
          <t>чел.-ч</t>
        </is>
      </c>
      <c r="F13" s="455" t="n">
        <v>10</v>
      </c>
      <c r="G13" s="220" t="n">
        <v>15.49</v>
      </c>
      <c r="H13" s="220">
        <f>ROUND(F13*G13,2)</f>
        <v/>
      </c>
      <c r="M13" s="456" t="n"/>
    </row>
    <row r="14">
      <c r="A14" s="391" t="n">
        <v>2</v>
      </c>
      <c r="B14" s="176" t="n"/>
      <c r="C14" s="286" t="inlineStr">
        <is>
          <t>1-4-0</t>
        </is>
      </c>
      <c r="D14" s="287" t="inlineStr">
        <is>
          <t>Затраты труда рабочих (средний разряд работы 4,0)</t>
        </is>
      </c>
      <c r="E14" s="391" t="inlineStr">
        <is>
          <t>чел.-ч</t>
        </is>
      </c>
      <c r="F14" s="455" t="n">
        <v>15.38</v>
      </c>
      <c r="G14" s="220" t="n">
        <v>9.619999999999999</v>
      </c>
      <c r="H14" s="220">
        <f>ROUND(F14*G14,2)</f>
        <v/>
      </c>
      <c r="M14" s="456" t="n"/>
    </row>
    <row r="15">
      <c r="A15" s="391" t="n">
        <v>3</v>
      </c>
      <c r="B15" s="176" t="n"/>
      <c r="C15" s="286" t="inlineStr">
        <is>
          <t>10-3-2</t>
        </is>
      </c>
      <c r="D15" s="287" t="inlineStr">
        <is>
          <t>Инженер II категории</t>
        </is>
      </c>
      <c r="E15" s="391" t="inlineStr">
        <is>
          <t>чел.-ч</t>
        </is>
      </c>
      <c r="F15" s="455" t="n">
        <v>10</v>
      </c>
      <c r="G15" s="220" t="n">
        <v>14.09</v>
      </c>
      <c r="H15" s="220">
        <f>ROUND(F15*G15,2)</f>
        <v/>
      </c>
      <c r="M15" s="456" t="n"/>
    </row>
    <row r="16">
      <c r="A16" s="391" t="n">
        <v>4</v>
      </c>
      <c r="B16" s="176" t="n"/>
      <c r="C16" s="286" t="inlineStr">
        <is>
          <t>1-4-2</t>
        </is>
      </c>
      <c r="D16" s="287" t="inlineStr">
        <is>
          <t>Затраты труда рабочих (средний разряд работы 4,2)</t>
        </is>
      </c>
      <c r="E16" s="391" t="inlineStr">
        <is>
          <t>чел.-ч</t>
        </is>
      </c>
      <c r="F16" s="455" t="n">
        <v>3.59</v>
      </c>
      <c r="G16" s="220" t="n">
        <v>9.92</v>
      </c>
      <c r="H16" s="220">
        <f>ROUND(F16*G16,2)</f>
        <v/>
      </c>
      <c r="M16" s="456" t="n"/>
    </row>
    <row r="17">
      <c r="A17" s="391" t="n">
        <v>5</v>
      </c>
      <c r="B17" s="176" t="n"/>
      <c r="C17" s="286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391" t="inlineStr">
        <is>
          <t>чел.-ч</t>
        </is>
      </c>
      <c r="F17" s="455" t="n">
        <v>4</v>
      </c>
      <c r="G17" s="220" t="n">
        <v>8.529999999999999</v>
      </c>
      <c r="H17" s="220">
        <f>ROUND(F17*G17,2)</f>
        <v/>
      </c>
      <c r="M17" s="456" t="n"/>
    </row>
    <row r="18">
      <c r="A18" s="391" t="n">
        <v>6</v>
      </c>
      <c r="B18" s="176" t="n"/>
      <c r="C18" s="286" t="inlineStr">
        <is>
          <t>1-3-9</t>
        </is>
      </c>
      <c r="D18" s="287" t="inlineStr">
        <is>
          <t>Затраты труда рабочих (средний разряд работы 3,9)</t>
        </is>
      </c>
      <c r="E18" s="391" t="inlineStr">
        <is>
          <t>чел.-ч</t>
        </is>
      </c>
      <c r="F18" s="455" t="n">
        <v>1.56</v>
      </c>
      <c r="G18" s="220" t="n">
        <v>9.51</v>
      </c>
      <c r="H18" s="220">
        <f>ROUND(F18*G18,2)</f>
        <v/>
      </c>
      <c r="M18" s="456" t="n"/>
    </row>
    <row r="19">
      <c r="A19" s="359" t="inlineStr">
        <is>
          <t>Затраты труда машинистов</t>
        </is>
      </c>
      <c r="B19" s="448" t="n"/>
      <c r="C19" s="448" t="n"/>
      <c r="D19" s="448" t="n"/>
      <c r="E19" s="449" t="n"/>
      <c r="F19" s="360" t="n"/>
      <c r="G19" s="178" t="n"/>
      <c r="H19" s="454">
        <f>H20</f>
        <v/>
      </c>
    </row>
    <row r="20">
      <c r="A20" s="391" t="n">
        <v>7</v>
      </c>
      <c r="B20" s="361" t="n"/>
      <c r="C20" s="286" t="n">
        <v>2</v>
      </c>
      <c r="D20" s="287" t="inlineStr">
        <is>
          <t>Затраты труда машинистов</t>
        </is>
      </c>
      <c r="E20" s="391" t="inlineStr">
        <is>
          <t>чел.-ч</t>
        </is>
      </c>
      <c r="F20" s="455" t="n">
        <v>0.76</v>
      </c>
      <c r="G20" s="220" t="n"/>
      <c r="H20" s="457" t="n">
        <v>8.67</v>
      </c>
    </row>
    <row r="21" customFormat="1" s="215">
      <c r="A21" s="360" t="inlineStr">
        <is>
          <t>Машины и механизмы</t>
        </is>
      </c>
      <c r="B21" s="448" t="n"/>
      <c r="C21" s="448" t="n"/>
      <c r="D21" s="448" t="n"/>
      <c r="E21" s="449" t="n"/>
      <c r="F21" s="360" t="n"/>
      <c r="G21" s="178" t="n"/>
      <c r="H21" s="454">
        <f>SUM(H22:H29)</f>
        <v/>
      </c>
      <c r="J21" s="310" t="n"/>
      <c r="K21" s="458" t="n"/>
    </row>
    <row r="22" ht="38.25" customHeight="1" s="308">
      <c r="A22" s="391" t="n">
        <v>8</v>
      </c>
      <c r="B22" s="361" t="n"/>
      <c r="C22" s="286" t="inlineStr">
        <is>
          <t>91.18.01-007</t>
        </is>
      </c>
      <c r="D22" s="2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1" t="inlineStr">
        <is>
          <t>маш.-ч</t>
        </is>
      </c>
      <c r="F22" s="391" t="n">
        <v>0.29</v>
      </c>
      <c r="G22" s="289" t="n">
        <v>90</v>
      </c>
      <c r="H22" s="220">
        <f>ROUND(F22*G22,2)</f>
        <v/>
      </c>
      <c r="I22" s="225" t="n"/>
      <c r="J22" s="225" t="n"/>
      <c r="L22" s="225" t="n"/>
    </row>
    <row r="23" ht="25.5" customHeight="1" s="308">
      <c r="A23" s="391" t="n">
        <v>9</v>
      </c>
      <c r="B23" s="361" t="n"/>
      <c r="C23" s="286" t="inlineStr">
        <is>
          <t>91.05.05-014</t>
        </is>
      </c>
      <c r="D23" s="287" t="inlineStr">
        <is>
          <t>Краны на автомобильном ходу, грузоподъемность 10 т</t>
        </is>
      </c>
      <c r="E23" s="391" t="inlineStr">
        <is>
          <t>маш.-ч</t>
        </is>
      </c>
      <c r="F23" s="391" t="n">
        <v>0.22</v>
      </c>
      <c r="G23" s="289" t="n">
        <v>111.99</v>
      </c>
      <c r="H23" s="220">
        <f>ROUND(F23*G23,2)</f>
        <v/>
      </c>
      <c r="I23" s="225" t="n"/>
      <c r="J23" s="225" t="n"/>
      <c r="K23" s="225" t="n"/>
      <c r="L23" s="225" t="n"/>
    </row>
    <row r="24">
      <c r="A24" s="391" t="n">
        <v>10</v>
      </c>
      <c r="B24" s="361" t="n"/>
      <c r="C24" s="286" t="inlineStr">
        <is>
          <t>91.14.02-001</t>
        </is>
      </c>
      <c r="D24" s="287" t="inlineStr">
        <is>
          <t>Автомобили бортовые, грузоподъемность до 5 т</t>
        </is>
      </c>
      <c r="E24" s="391" t="inlineStr">
        <is>
          <t>маш.-ч</t>
        </is>
      </c>
      <c r="F24" s="391" t="n">
        <v>0.22</v>
      </c>
      <c r="G24" s="289" t="n">
        <v>65.70999999999999</v>
      </c>
      <c r="H24" s="220">
        <f>ROUND(F24*G24,2)</f>
        <v/>
      </c>
      <c r="I24" s="225" t="n"/>
      <c r="J24" s="225" t="n"/>
      <c r="K24" s="225" t="n"/>
      <c r="L24" s="225" t="n"/>
    </row>
    <row r="25" ht="25.5" customHeight="1" s="308">
      <c r="A25" s="391" t="n">
        <v>11</v>
      </c>
      <c r="B25" s="361" t="n"/>
      <c r="C25" s="286" t="inlineStr">
        <is>
          <t>91.17.04-233</t>
        </is>
      </c>
      <c r="D25" s="287" t="inlineStr">
        <is>
          <t>Установки для сварки ручной дуговой (постоянного тока)</t>
        </is>
      </c>
      <c r="E25" s="391" t="inlineStr">
        <is>
          <t>маш.-ч</t>
        </is>
      </c>
      <c r="F25" s="391" t="n">
        <v>0.97</v>
      </c>
      <c r="G25" s="289" t="n">
        <v>8.1</v>
      </c>
      <c r="H25" s="220">
        <f>ROUND(F25*G25,2)</f>
        <v/>
      </c>
      <c r="I25" s="225" t="n"/>
      <c r="J25" s="225" t="n"/>
      <c r="K25" s="225" t="n"/>
      <c r="L25" s="225" t="n"/>
    </row>
    <row r="26" ht="25.5" customHeight="1" s="308">
      <c r="A26" s="391" t="n">
        <v>12</v>
      </c>
      <c r="B26" s="361" t="n"/>
      <c r="C26" s="286" t="inlineStr">
        <is>
          <t>91.06.03-058</t>
        </is>
      </c>
      <c r="D26" s="287" t="inlineStr">
        <is>
          <t>Лебедки электрические тяговым усилием 156,96 кН (16 т)</t>
        </is>
      </c>
      <c r="E26" s="391" t="inlineStr">
        <is>
          <t>маш.-ч</t>
        </is>
      </c>
      <c r="F26" s="391" t="n">
        <v>0.02</v>
      </c>
      <c r="G26" s="289" t="n">
        <v>131.44</v>
      </c>
      <c r="H26" s="220">
        <f>ROUND(F26*G26,2)</f>
        <v/>
      </c>
      <c r="I26" s="225" t="n"/>
      <c r="J26" s="225" t="n"/>
      <c r="K26" s="225" t="n"/>
      <c r="L26" s="225" t="n"/>
    </row>
    <row r="27" ht="25.5" customHeight="1" s="308">
      <c r="A27" s="391" t="n">
        <v>13</v>
      </c>
      <c r="B27" s="361" t="n"/>
      <c r="C27" s="286" t="inlineStr">
        <is>
          <t>91.04.01-041</t>
        </is>
      </c>
      <c r="D27" s="287" t="inlineStr">
        <is>
          <t>Молотки бурильные легкие при работе от передвижных компрессорных станций</t>
        </is>
      </c>
      <c r="E27" s="391" t="inlineStr">
        <is>
          <t>маш.-ч</t>
        </is>
      </c>
      <c r="F27" s="391" t="n">
        <v>0.29</v>
      </c>
      <c r="G27" s="289" t="n">
        <v>2.99</v>
      </c>
      <c r="H27" s="220">
        <f>ROUND(F27*G27,2)</f>
        <v/>
      </c>
      <c r="I27" s="225" t="n"/>
      <c r="J27" s="225" t="n"/>
      <c r="K27" s="225" t="n"/>
      <c r="L27" s="225" t="n"/>
    </row>
    <row r="28" ht="25.5" customHeight="1" s="308">
      <c r="A28" s="391" t="n">
        <v>14</v>
      </c>
      <c r="B28" s="361" t="n"/>
      <c r="C28" s="286" t="inlineStr">
        <is>
          <t>91.06.03-061</t>
        </is>
      </c>
      <c r="D28" s="287" t="inlineStr">
        <is>
          <t>Лебедки электрические тяговым усилием до 12,26 кН (1,25 т)</t>
        </is>
      </c>
      <c r="E28" s="391" t="inlineStr">
        <is>
          <t>маш.-ч</t>
        </is>
      </c>
      <c r="F28" s="391" t="n">
        <v>0.11</v>
      </c>
      <c r="G28" s="289" t="n">
        <v>3.28</v>
      </c>
      <c r="H28" s="220">
        <f>ROUND(F28*G28,2)</f>
        <v/>
      </c>
      <c r="I28" s="225" t="n"/>
      <c r="J28" s="225" t="n"/>
      <c r="K28" s="225" t="n"/>
      <c r="L28" s="225" t="n"/>
    </row>
    <row r="29" ht="25.5" customHeight="1" s="308">
      <c r="A29" s="391" t="n">
        <v>15</v>
      </c>
      <c r="B29" s="361" t="n"/>
      <c r="C29" s="286" t="inlineStr">
        <is>
          <t>91.06.01-003</t>
        </is>
      </c>
      <c r="D29" s="287" t="inlineStr">
        <is>
          <t>Домкраты гидравлические, грузоподъемность 63-100 т</t>
        </is>
      </c>
      <c r="E29" s="391" t="inlineStr">
        <is>
          <t>маш.-ч</t>
        </is>
      </c>
      <c r="F29" s="391" t="n">
        <v>0.11</v>
      </c>
      <c r="G29" s="289" t="n">
        <v>0.9</v>
      </c>
      <c r="H29" s="220">
        <f>ROUND(F29*G29,2)</f>
        <v/>
      </c>
      <c r="I29" s="225" t="n"/>
      <c r="J29" s="225" t="n"/>
      <c r="K29" s="225" t="n"/>
      <c r="L29" s="225" t="n"/>
    </row>
    <row r="30" ht="15" customHeight="1" s="308">
      <c r="A30" s="360" t="inlineStr">
        <is>
          <t>Оборудование</t>
        </is>
      </c>
      <c r="B30" s="448" t="n"/>
      <c r="C30" s="448" t="n"/>
      <c r="D30" s="448" t="n"/>
      <c r="E30" s="449" t="n"/>
      <c r="F30" s="175" t="n"/>
      <c r="G30" s="175" t="n"/>
      <c r="H30" s="454">
        <f>SUM(H31:H32)</f>
        <v/>
      </c>
    </row>
    <row r="31">
      <c r="A31" s="226" t="n">
        <v>16</v>
      </c>
      <c r="B31" s="361" t="n"/>
      <c r="C31" s="286" t="inlineStr">
        <is>
          <t>Прайс из СД ОП</t>
        </is>
      </c>
      <c r="D31" s="287" t="inlineStr">
        <is>
          <t>ПКУ 10 кВ с ТТ и ТН с передачей в ИВК</t>
        </is>
      </c>
      <c r="E31" s="391" t="inlineStr">
        <is>
          <t>шт</t>
        </is>
      </c>
      <c r="F31" s="391" t="n">
        <v>1</v>
      </c>
      <c r="G31" s="289" t="n">
        <v>31531.53</v>
      </c>
      <c r="H31" s="220">
        <f>ROUND(F31*G31,2)</f>
        <v/>
      </c>
      <c r="I31" s="225" t="n"/>
      <c r="J31" s="225" t="n"/>
      <c r="K31" s="225" t="n"/>
      <c r="L31" s="225" t="n"/>
    </row>
    <row r="32" ht="25.5" customHeight="1" s="308">
      <c r="A32" s="226" t="n">
        <v>17</v>
      </c>
      <c r="B32" s="361" t="n"/>
      <c r="C32" s="286" t="inlineStr">
        <is>
          <t>Прайс из СД ОП</t>
        </is>
      </c>
      <c r="D32" s="287" t="inlineStr">
        <is>
          <t>Шкаф ВВ (850 х 755 х 705) 
и НВ (300 х 700 х 195) модуля</t>
        </is>
      </c>
      <c r="E32" s="391" t="inlineStr">
        <is>
          <t>шт</t>
        </is>
      </c>
      <c r="F32" s="391" t="n">
        <v>1</v>
      </c>
      <c r="G32" s="289" t="n">
        <v>11486.49</v>
      </c>
      <c r="H32" s="220">
        <f>ROUND(F32*G32,2)</f>
        <v/>
      </c>
      <c r="I32" s="225" t="n"/>
      <c r="J32" s="225" t="n"/>
      <c r="K32" s="225" t="n"/>
      <c r="L32" s="225" t="n"/>
    </row>
    <row r="33">
      <c r="A33" s="360" t="inlineStr">
        <is>
          <t>Материалы</t>
        </is>
      </c>
      <c r="B33" s="448" t="n"/>
      <c r="C33" s="448" t="n"/>
      <c r="D33" s="448" t="n"/>
      <c r="E33" s="449" t="n"/>
      <c r="F33" s="360" t="n"/>
      <c r="G33" s="178" t="n"/>
      <c r="H33" s="454">
        <f>SUM(H34:H62)</f>
        <v/>
      </c>
    </row>
    <row r="34">
      <c r="A34" s="226" t="n">
        <v>18</v>
      </c>
      <c r="B34" s="361" t="n"/>
      <c r="C34" s="286" t="inlineStr">
        <is>
          <t>21.1.08.03-0364</t>
        </is>
      </c>
      <c r="D34" s="287" t="inlineStr">
        <is>
          <t>Кабель контрольный КВВГ 10х2,5</t>
        </is>
      </c>
      <c r="E34" s="391" t="inlineStr">
        <is>
          <t>1000 м</t>
        </is>
      </c>
      <c r="F34" s="286" t="n">
        <v>0.005</v>
      </c>
      <c r="G34" s="289" t="n">
        <v>25699.92</v>
      </c>
      <c r="H34" s="220">
        <f>ROUND(F34*G34,2)</f>
        <v/>
      </c>
      <c r="I34" s="236" t="n"/>
      <c r="J34" s="225" t="n"/>
      <c r="K34" s="225" t="n"/>
    </row>
    <row r="35" ht="25.5" customHeight="1" s="308">
      <c r="A35" s="226" t="n">
        <v>19</v>
      </c>
      <c r="B35" s="361" t="n"/>
      <c r="C35" s="286" t="inlineStr">
        <is>
          <t>21.1.04.01-0007</t>
        </is>
      </c>
      <c r="D35" s="287" t="inlineStr">
        <is>
          <t>Кабель компьютерный (витая пара) FTP25-C3-SOLID-INDOOR EuroLine (FTP4-C5E-SOLID-OUTDOOR-40)</t>
        </is>
      </c>
      <c r="E35" s="391" t="inlineStr">
        <is>
          <t>1000 м</t>
        </is>
      </c>
      <c r="F35" s="286" t="n">
        <v>0.002</v>
      </c>
      <c r="G35" s="289" t="n">
        <v>22187.69</v>
      </c>
      <c r="H35" s="220">
        <f>ROUND(F35*G35,2)</f>
        <v/>
      </c>
      <c r="I35" s="236" t="n"/>
      <c r="J35" s="225" t="n"/>
    </row>
    <row r="36" ht="25.5" customHeight="1" s="308">
      <c r="A36" s="226" t="n">
        <v>20</v>
      </c>
      <c r="B36" s="361" t="n"/>
      <c r="C36" s="286" t="inlineStr">
        <is>
          <t>21.2.03.05-0047</t>
        </is>
      </c>
      <c r="D36" s="287" t="inlineStr">
        <is>
          <t>Провод силовой установочный с медными жилами ПВ1 2,5-450</t>
        </is>
      </c>
      <c r="E36" s="391" t="inlineStr">
        <is>
          <t>1000 м</t>
        </is>
      </c>
      <c r="F36" s="286" t="n">
        <v>0.008</v>
      </c>
      <c r="G36" s="289" t="n">
        <v>2079.72</v>
      </c>
      <c r="H36" s="220">
        <f>ROUND(F36*G36,2)</f>
        <v/>
      </c>
      <c r="I36" s="236" t="n"/>
      <c r="J36" s="225" t="n"/>
    </row>
    <row r="37" ht="25.5" customHeight="1" s="308">
      <c r="A37" s="226" t="n">
        <v>21</v>
      </c>
      <c r="B37" s="361" t="n"/>
      <c r="C37" s="286" t="inlineStr">
        <is>
          <t>07.2.07.04-0007</t>
        </is>
      </c>
      <c r="D37" s="287" t="inlineStr">
        <is>
          <t>Конструкции стальные индивидуальные решетчатые сварные, масса до 0,1 т</t>
        </is>
      </c>
      <c r="E37" s="391" t="inlineStr">
        <is>
          <t>т</t>
        </is>
      </c>
      <c r="F37" s="286" t="n">
        <v>0.001</v>
      </c>
      <c r="G37" s="289" t="n">
        <v>11500</v>
      </c>
      <c r="H37" s="220">
        <f>ROUND(F37*G37,2)</f>
        <v/>
      </c>
      <c r="I37" s="236" t="n"/>
      <c r="J37" s="225" t="n"/>
    </row>
    <row r="38" ht="25.5" customHeight="1" s="308">
      <c r="A38" s="226" t="n">
        <v>22</v>
      </c>
      <c r="B38" s="361" t="n"/>
      <c r="C38" s="286" t="inlineStr">
        <is>
          <t>999-9950</t>
        </is>
      </c>
      <c r="D38" s="287" t="inlineStr">
        <is>
          <t>Вспомогательные ненормируемые ресурсы (2% от Оплаты труда рабочих)</t>
        </is>
      </c>
      <c r="E38" s="391" t="inlineStr">
        <is>
          <t>руб.</t>
        </is>
      </c>
      <c r="F38" s="286" t="n">
        <v>10.5765</v>
      </c>
      <c r="G38" s="289" t="n">
        <v>1</v>
      </c>
      <c r="H38" s="220">
        <f>ROUND(F38*G38,2)</f>
        <v/>
      </c>
      <c r="I38" s="236" t="n"/>
      <c r="J38" s="225" t="n"/>
    </row>
    <row r="39" ht="25.5" customHeight="1" s="308">
      <c r="A39" s="226" t="n">
        <v>23</v>
      </c>
      <c r="B39" s="361" t="n"/>
      <c r="C39" s="286" t="inlineStr">
        <is>
          <t>21.2.03.05-0049</t>
        </is>
      </c>
      <c r="D39" s="287" t="inlineStr">
        <is>
          <t>Провод силовой установочный с медными жилами ПВ1 4-450</t>
        </is>
      </c>
      <c r="E39" s="391" t="inlineStr">
        <is>
          <t>1000 м</t>
        </is>
      </c>
      <c r="F39" s="286" t="n">
        <v>0.003</v>
      </c>
      <c r="G39" s="289" t="n">
        <v>3220.71</v>
      </c>
      <c r="H39" s="220">
        <f>ROUND(F39*G39,2)</f>
        <v/>
      </c>
      <c r="I39" s="236" t="n"/>
      <c r="J39" s="225" t="n"/>
    </row>
    <row r="40">
      <c r="A40" s="226" t="n">
        <v>24</v>
      </c>
      <c r="B40" s="361" t="n"/>
      <c r="C40" s="286" t="inlineStr">
        <is>
          <t>20.1.02.23-0082</t>
        </is>
      </c>
      <c r="D40" s="287" t="inlineStr">
        <is>
          <t>Перемычки гибкие, тип ПГС-50</t>
        </is>
      </c>
      <c r="E40" s="391" t="inlineStr">
        <is>
          <t>10 шт</t>
        </is>
      </c>
      <c r="F40" s="286" t="n">
        <v>0.2</v>
      </c>
      <c r="G40" s="289" t="n">
        <v>39</v>
      </c>
      <c r="H40" s="220">
        <f>ROUND(F40*G40,2)</f>
        <v/>
      </c>
      <c r="I40" s="236" t="n"/>
      <c r="J40" s="225" t="n"/>
      <c r="K40" s="225" t="n"/>
    </row>
    <row r="41">
      <c r="A41" s="226" t="n">
        <v>25</v>
      </c>
      <c r="B41" s="361" t="n"/>
      <c r="C41" s="286" t="inlineStr">
        <is>
          <t>01.7.15.03-0042</t>
        </is>
      </c>
      <c r="D41" s="287" t="inlineStr">
        <is>
          <t>Болты с гайками и шайбами строительные</t>
        </is>
      </c>
      <c r="E41" s="391" t="inlineStr">
        <is>
          <t>кг</t>
        </is>
      </c>
      <c r="F41" s="286" t="n">
        <v>0.829</v>
      </c>
      <c r="G41" s="289" t="n">
        <v>9.039999999999999</v>
      </c>
      <c r="H41" s="220">
        <f>ROUND(F41*G41,2)</f>
        <v/>
      </c>
      <c r="I41" s="236" t="n"/>
      <c r="J41" s="225" t="n"/>
    </row>
    <row r="42">
      <c r="A42" s="226" t="n">
        <v>26</v>
      </c>
      <c r="B42" s="361" t="n"/>
      <c r="C42" s="286" t="inlineStr">
        <is>
          <t>01.7.02.07-0011</t>
        </is>
      </c>
      <c r="D42" s="287" t="inlineStr">
        <is>
          <t>Прессшпан листовой, марка А</t>
        </is>
      </c>
      <c r="E42" s="391" t="inlineStr">
        <is>
          <t>кг</t>
        </is>
      </c>
      <c r="F42" s="286" t="n">
        <v>0.05</v>
      </c>
      <c r="G42" s="289" t="n">
        <v>47.57</v>
      </c>
      <c r="H42" s="220">
        <f>ROUND(F42*G42,2)</f>
        <v/>
      </c>
      <c r="I42" s="236" t="n"/>
      <c r="J42" s="225" t="n"/>
    </row>
    <row r="43">
      <c r="A43" s="226" t="n">
        <v>27</v>
      </c>
      <c r="B43" s="361" t="n"/>
      <c r="C43" s="286" t="inlineStr">
        <is>
          <t>01.7.11.07-0034</t>
        </is>
      </c>
      <c r="D43" s="287" t="inlineStr">
        <is>
          <t>Электроды сварочные Э42А, диаметр 4 мм</t>
        </is>
      </c>
      <c r="E43" s="391" t="inlineStr">
        <is>
          <t>кг</t>
        </is>
      </c>
      <c r="F43" s="286" t="n">
        <v>0.22</v>
      </c>
      <c r="G43" s="289" t="n">
        <v>10.57</v>
      </c>
      <c r="H43" s="220">
        <f>ROUND(F43*G43,2)</f>
        <v/>
      </c>
      <c r="I43" s="236" t="n"/>
      <c r="J43" s="225" t="n"/>
    </row>
    <row r="44">
      <c r="A44" s="226" t="n">
        <v>28</v>
      </c>
      <c r="B44" s="361" t="n"/>
      <c r="C44" s="286" t="inlineStr">
        <is>
          <t>25.2.01.01-0017</t>
        </is>
      </c>
      <c r="D44" s="287" t="inlineStr">
        <is>
          <t>Бирки маркировочные пластмассовые</t>
        </is>
      </c>
      <c r="E44" s="391" t="inlineStr">
        <is>
          <t>100 шт</t>
        </is>
      </c>
      <c r="F44" s="286" t="n">
        <v>0.06</v>
      </c>
      <c r="G44" s="289" t="n">
        <v>30.74</v>
      </c>
      <c r="H44" s="220">
        <f>ROUND(F44*G44,2)</f>
        <v/>
      </c>
      <c r="I44" s="236" t="n"/>
      <c r="J44" s="225" t="n"/>
    </row>
    <row r="45">
      <c r="A45" s="226" t="n">
        <v>29</v>
      </c>
      <c r="B45" s="361" t="n"/>
      <c r="C45" s="286" t="inlineStr">
        <is>
          <t>14.4.02.09-0001</t>
        </is>
      </c>
      <c r="D45" s="287" t="inlineStr">
        <is>
          <t>Краска</t>
        </is>
      </c>
      <c r="E45" s="391" t="inlineStr">
        <is>
          <t>кг</t>
        </is>
      </c>
      <c r="F45" s="286" t="n">
        <v>0.056</v>
      </c>
      <c r="G45" s="289" t="n">
        <v>28.6</v>
      </c>
      <c r="H45" s="220">
        <f>ROUND(F45*G45,2)</f>
        <v/>
      </c>
      <c r="I45" s="236" t="n"/>
      <c r="J45" s="225" t="n"/>
    </row>
    <row r="46">
      <c r="A46" s="226" t="n">
        <v>30</v>
      </c>
      <c r="B46" s="361" t="n"/>
      <c r="C46" s="286" t="inlineStr">
        <is>
          <t>01.7.20.04-0003</t>
        </is>
      </c>
      <c r="D46" s="287" t="inlineStr">
        <is>
          <t>Нитки суровые</t>
        </is>
      </c>
      <c r="E46" s="391" t="inlineStr">
        <is>
          <t>кг</t>
        </is>
      </c>
      <c r="F46" s="286" t="n">
        <v>0.01</v>
      </c>
      <c r="G46" s="289" t="n">
        <v>155</v>
      </c>
      <c r="H46" s="220">
        <f>ROUND(F46*G46,2)</f>
        <v/>
      </c>
      <c r="I46" s="236" t="n"/>
      <c r="J46" s="225" t="n"/>
    </row>
    <row r="47">
      <c r="A47" s="226" t="n">
        <v>31</v>
      </c>
      <c r="B47" s="361" t="n"/>
      <c r="C47" s="286" t="inlineStr">
        <is>
          <t>01.7.15.07-0014</t>
        </is>
      </c>
      <c r="D47" s="287" t="inlineStr">
        <is>
          <t>Дюбели распорные полипропиленовые</t>
        </is>
      </c>
      <c r="E47" s="391" t="inlineStr">
        <is>
          <t>100 шт</t>
        </is>
      </c>
      <c r="F47" s="286" t="n">
        <v>0.014</v>
      </c>
      <c r="G47" s="289" t="n">
        <v>86</v>
      </c>
      <c r="H47" s="220">
        <f>ROUND(F47*G47,2)</f>
        <v/>
      </c>
      <c r="I47" s="236" t="n"/>
      <c r="J47" s="225" t="n"/>
    </row>
    <row r="48" ht="25.5" customHeight="1" s="308">
      <c r="A48" s="226" t="n">
        <v>32</v>
      </c>
      <c r="B48" s="361" t="n"/>
      <c r="C48" s="286" t="inlineStr">
        <is>
          <t>11.1.03.05-0085</t>
        </is>
      </c>
      <c r="D48" s="287" t="inlineStr">
        <is>
          <t>Доска необрезная, хвойных пород, длина 4-6,5 м, все ширины, толщина 44 мм и более, сорт III</t>
        </is>
      </c>
      <c r="E48" s="391" t="inlineStr">
        <is>
          <t>м3</t>
        </is>
      </c>
      <c r="F48" s="286" t="n">
        <v>0.0015</v>
      </c>
      <c r="G48" s="289" t="n">
        <v>684</v>
      </c>
      <c r="H48" s="220">
        <f>ROUND(F48*G48,2)</f>
        <v/>
      </c>
      <c r="I48" s="236" t="n"/>
      <c r="J48" s="225" t="n"/>
    </row>
    <row r="49" ht="25.5" customHeight="1" s="308">
      <c r="A49" s="226" t="n">
        <v>33</v>
      </c>
      <c r="B49" s="361" t="n"/>
      <c r="C49" s="286" t="inlineStr">
        <is>
          <t>01.7.15.03-0031</t>
        </is>
      </c>
      <c r="D49" s="287" t="inlineStr">
        <is>
          <t>Болты с гайками и шайбами оцинкованные, диаметр 6 мм</t>
        </is>
      </c>
      <c r="E49" s="391" t="inlineStr">
        <is>
          <t>кг</t>
        </is>
      </c>
      <c r="F49" s="286" t="n">
        <v>0.035</v>
      </c>
      <c r="G49" s="289" t="n">
        <v>28.22</v>
      </c>
      <c r="H49" s="220">
        <f>ROUND(F49*G49,2)</f>
        <v/>
      </c>
      <c r="I49" s="236" t="n"/>
      <c r="J49" s="225" t="n"/>
    </row>
    <row r="50" ht="38.25" customHeight="1" s="308">
      <c r="A50" s="226" t="n">
        <v>34</v>
      </c>
      <c r="B50" s="361" t="n"/>
      <c r="C50" s="286" t="inlineStr">
        <is>
          <t>23.3.06.04-0006</t>
        </is>
      </c>
      <c r="D50" s="287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50" s="391" t="inlineStr">
        <is>
          <t>м</t>
        </is>
      </c>
      <c r="F50" s="286" t="n">
        <v>0.08</v>
      </c>
      <c r="G50" s="289" t="n">
        <v>11.5</v>
      </c>
      <c r="H50" s="220">
        <f>ROUND(F50*G50,2)</f>
        <v/>
      </c>
      <c r="I50" s="236" t="n"/>
      <c r="J50" s="225" t="n"/>
    </row>
    <row r="51" ht="25.5" customHeight="1" s="308">
      <c r="A51" s="226" t="n">
        <v>35</v>
      </c>
      <c r="B51" s="361" t="n"/>
      <c r="C51" s="286" t="inlineStr">
        <is>
          <t>10.3.02.03-0011</t>
        </is>
      </c>
      <c r="D51" s="287" t="inlineStr">
        <is>
          <t>Припои оловянно-свинцовые бессурьмянистые, марка ПОС30</t>
        </is>
      </c>
      <c r="E51" s="391" t="inlineStr">
        <is>
          <t>т</t>
        </is>
      </c>
      <c r="F51" s="286" t="n">
        <v>1.3e-05</v>
      </c>
      <c r="G51" s="289" t="n">
        <v>68050</v>
      </c>
      <c r="H51" s="220">
        <f>ROUND(F51*G51,2)</f>
        <v/>
      </c>
      <c r="I51" s="236" t="n"/>
      <c r="J51" s="225" t="n"/>
    </row>
    <row r="52" ht="25.5" customHeight="1" s="308">
      <c r="A52" s="226" t="n">
        <v>36</v>
      </c>
      <c r="B52" s="361" t="n"/>
      <c r="C52" s="286" t="inlineStr">
        <is>
          <t>10.3.02.03-0012</t>
        </is>
      </c>
      <c r="D52" s="287" t="inlineStr">
        <is>
          <t>Припои оловянно-свинцовые бессурьмянистые, марка ПОС40</t>
        </is>
      </c>
      <c r="E52" s="391" t="inlineStr">
        <is>
          <t>т</t>
        </is>
      </c>
      <c r="F52" s="286" t="n">
        <v>1e-05</v>
      </c>
      <c r="G52" s="289" t="n">
        <v>65750</v>
      </c>
      <c r="H52" s="220">
        <f>ROUND(F52*G52,2)</f>
        <v/>
      </c>
      <c r="I52" s="236" t="n"/>
      <c r="J52" s="225" t="n"/>
    </row>
    <row r="53">
      <c r="A53" s="226" t="n">
        <v>37</v>
      </c>
      <c r="B53" s="361" t="n"/>
      <c r="C53" s="286" t="inlineStr">
        <is>
          <t>14.4.03.17-0011</t>
        </is>
      </c>
      <c r="D53" s="287" t="inlineStr">
        <is>
          <t>Лак электроизоляционный 318</t>
        </is>
      </c>
      <c r="E53" s="391" t="inlineStr">
        <is>
          <t>кг</t>
        </is>
      </c>
      <c r="F53" s="286" t="n">
        <v>0.016</v>
      </c>
      <c r="G53" s="289" t="n">
        <v>35.63</v>
      </c>
      <c r="H53" s="220">
        <f>ROUND(F53*G53,2)</f>
        <v/>
      </c>
      <c r="I53" s="236" t="n"/>
      <c r="J53" s="225" t="n"/>
    </row>
    <row r="54" ht="38.25" customHeight="1" s="308">
      <c r="A54" s="226" t="n">
        <v>38</v>
      </c>
      <c r="B54" s="361" t="n"/>
      <c r="C54" s="286" t="inlineStr">
        <is>
          <t>01.7.06.05-0042</t>
        </is>
      </c>
      <c r="D54" s="287" t="inlineStr">
        <is>
          <t>Лента липкая изоляционная на поликасиновом компаунде, ширина 20-30 мм, толщина от 0,14 до 0,19 мм</t>
        </is>
      </c>
      <c r="E54" s="391" t="inlineStr">
        <is>
          <t>кг</t>
        </is>
      </c>
      <c r="F54" s="286" t="n">
        <v>0.005</v>
      </c>
      <c r="G54" s="289" t="n">
        <v>91.29000000000001</v>
      </c>
      <c r="H54" s="220">
        <f>ROUND(F54*G54,2)</f>
        <v/>
      </c>
      <c r="I54" s="236" t="n"/>
      <c r="J54" s="225" t="n"/>
    </row>
    <row r="55" ht="25.5" customHeight="1" s="308">
      <c r="A55" s="226" t="n">
        <v>39</v>
      </c>
      <c r="B55" s="361" t="n"/>
      <c r="C55" s="286" t="inlineStr">
        <is>
          <t>01.7.06.05-0041</t>
        </is>
      </c>
      <c r="D55" s="287" t="inlineStr">
        <is>
          <t>Лента изоляционная прорезиненная односторонняя, ширина 20 мм, толщина 0,25-0,35 мм</t>
        </is>
      </c>
      <c r="E55" s="391" t="inlineStr">
        <is>
          <t>кг</t>
        </is>
      </c>
      <c r="F55" s="286" t="n">
        <v>0.012</v>
      </c>
      <c r="G55" s="289" t="n">
        <v>30.4</v>
      </c>
      <c r="H55" s="220">
        <f>ROUND(F55*G55,2)</f>
        <v/>
      </c>
      <c r="I55" s="236" t="n"/>
      <c r="J55" s="225" t="n"/>
    </row>
    <row r="56">
      <c r="A56" s="226" t="n">
        <v>40</v>
      </c>
      <c r="B56" s="361" t="n"/>
      <c r="C56" s="286" t="inlineStr">
        <is>
          <t>01.3.01.02-0002</t>
        </is>
      </c>
      <c r="D56" s="287" t="inlineStr">
        <is>
          <t>Вазелин технический</t>
        </is>
      </c>
      <c r="E56" s="391" t="inlineStr">
        <is>
          <t>кг</t>
        </is>
      </c>
      <c r="F56" s="286" t="n">
        <v>0.006</v>
      </c>
      <c r="G56" s="289" t="n">
        <v>44.97</v>
      </c>
      <c r="H56" s="220">
        <f>ROUND(F56*G56,2)</f>
        <v/>
      </c>
      <c r="I56" s="236" t="n"/>
      <c r="J56" s="225" t="n"/>
    </row>
    <row r="57">
      <c r="A57" s="226" t="n">
        <v>41</v>
      </c>
      <c r="B57" s="361" t="n"/>
      <c r="C57" s="286" t="inlineStr">
        <is>
          <t>01.7.06.07-0001</t>
        </is>
      </c>
      <c r="D57" s="287" t="inlineStr">
        <is>
          <t>Лента К226</t>
        </is>
      </c>
      <c r="E57" s="391" t="inlineStr">
        <is>
          <t>100 м</t>
        </is>
      </c>
      <c r="F57" s="286" t="n">
        <v>0.0012</v>
      </c>
      <c r="G57" s="289" t="n">
        <v>120</v>
      </c>
      <c r="H57" s="220">
        <f>ROUND(F57*G57,2)</f>
        <v/>
      </c>
      <c r="I57" s="236" t="n"/>
      <c r="J57" s="225" t="n"/>
    </row>
    <row r="58">
      <c r="A58" s="226" t="n">
        <v>42</v>
      </c>
      <c r="B58" s="361" t="n"/>
      <c r="C58" s="286" t="inlineStr">
        <is>
          <t>01.7.20.04-0005</t>
        </is>
      </c>
      <c r="D58" s="287" t="inlineStr">
        <is>
          <t>Нитки швейные</t>
        </is>
      </c>
      <c r="E58" s="391" t="inlineStr">
        <is>
          <t>кг</t>
        </is>
      </c>
      <c r="F58" s="286" t="n">
        <v>0.001</v>
      </c>
      <c r="G58" s="289" t="n">
        <v>133.05</v>
      </c>
      <c r="H58" s="220">
        <f>ROUND(F58*G58,2)</f>
        <v/>
      </c>
      <c r="I58" s="236" t="n"/>
      <c r="J58" s="225" t="n"/>
    </row>
    <row r="59" ht="25.5" customHeight="1" s="308">
      <c r="A59" s="226" t="n">
        <v>43</v>
      </c>
      <c r="B59" s="361" t="n"/>
      <c r="C59" s="286" t="inlineStr">
        <is>
          <t>01.7.19.04-0031</t>
        </is>
      </c>
      <c r="D59" s="287" t="inlineStr">
        <is>
          <t>Прокладки резиновые (пластина техническая прессованная)</t>
        </is>
      </c>
      <c r="E59" s="391" t="inlineStr">
        <is>
          <t>кг</t>
        </is>
      </c>
      <c r="F59" s="286" t="n">
        <v>0.005</v>
      </c>
      <c r="G59" s="289" t="n">
        <v>23.09</v>
      </c>
      <c r="H59" s="220">
        <f>ROUND(F59*G59,2)</f>
        <v/>
      </c>
      <c r="I59" s="236" t="n"/>
      <c r="J59" s="225" t="n"/>
    </row>
    <row r="60">
      <c r="A60" s="226" t="n">
        <v>44</v>
      </c>
      <c r="B60" s="361" t="n"/>
      <c r="C60" s="286" t="inlineStr">
        <is>
          <t>01.7.07.29-0194</t>
        </is>
      </c>
      <c r="D60" s="287" t="inlineStr">
        <is>
          <t>Состав органосиликатный</t>
        </is>
      </c>
      <c r="E60" s="391" t="inlineStr">
        <is>
          <t>кг</t>
        </is>
      </c>
      <c r="F60" s="286" t="n">
        <v>0.001</v>
      </c>
      <c r="G60" s="289" t="n">
        <v>23.17</v>
      </c>
      <c r="H60" s="220">
        <f>ROUND(F60*G60,2)</f>
        <v/>
      </c>
      <c r="I60" s="236" t="n"/>
      <c r="J60" s="225" t="n"/>
    </row>
    <row r="61">
      <c r="A61" s="226" t="n">
        <v>45</v>
      </c>
      <c r="B61" s="361" t="n"/>
      <c r="C61" s="286" t="inlineStr">
        <is>
          <t>01.7.03.04-0001</t>
        </is>
      </c>
      <c r="D61" s="287" t="inlineStr">
        <is>
          <t>Электроэнергия</t>
        </is>
      </c>
      <c r="E61" s="391" t="inlineStr">
        <is>
          <t>кВт-ч</t>
        </is>
      </c>
      <c r="F61" s="286" t="n">
        <v>0.06</v>
      </c>
      <c r="G61" s="289" t="n">
        <v>0.4</v>
      </c>
      <c r="H61" s="220">
        <f>ROUND(F61*G61,2)</f>
        <v/>
      </c>
      <c r="I61" s="236" t="n"/>
      <c r="J61" s="225" t="n"/>
    </row>
    <row r="62">
      <c r="A62" s="226" t="n">
        <v>46</v>
      </c>
      <c r="B62" s="361" t="n"/>
      <c r="C62" s="286" t="inlineStr">
        <is>
          <t>01.7.02.09-0002</t>
        </is>
      </c>
      <c r="D62" s="287" t="inlineStr">
        <is>
          <t>Шпагат бумажный</t>
        </is>
      </c>
      <c r="E62" s="391" t="inlineStr">
        <is>
          <t>кг</t>
        </is>
      </c>
      <c r="F62" s="286" t="n">
        <v>0.001</v>
      </c>
      <c r="G62" s="289" t="n">
        <v>11.5</v>
      </c>
      <c r="H62" s="220">
        <f>ROUND(F62*G62,2)</f>
        <v/>
      </c>
      <c r="I62" s="236" t="n"/>
      <c r="J62" s="225" t="n"/>
    </row>
    <row r="65">
      <c r="B65" s="310" t="inlineStr">
        <is>
          <t>Составил ______________________     Д.Ю. Нефедова</t>
        </is>
      </c>
    </row>
    <row r="66">
      <c r="B66" s="163" t="inlineStr">
        <is>
          <t xml:space="preserve">                         (подпись, инициалы, фамилия)</t>
        </is>
      </c>
    </row>
    <row r="68">
      <c r="B68" s="310" t="inlineStr">
        <is>
          <t>Проверил ______________________        А.В. Костянецкая</t>
        </is>
      </c>
    </row>
    <row r="69">
      <c r="B69" s="163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12:E12"/>
    <mergeCell ref="D9:D10"/>
    <mergeCell ref="E9:E10"/>
    <mergeCell ref="F9:F10"/>
    <mergeCell ref="A30:E30"/>
    <mergeCell ref="A9:A10"/>
    <mergeCell ref="A2:H2"/>
    <mergeCell ref="A19:E19"/>
    <mergeCell ref="A33:E33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8" min="1" max="1"/>
    <col width="36.28515625" customWidth="1" style="308" min="2" max="2"/>
    <col width="18.85546875" customWidth="1" style="308" min="3" max="3"/>
    <col width="18.28515625" customWidth="1" style="308" min="4" max="4"/>
    <col width="18.85546875" customWidth="1" style="308" min="5" max="5"/>
    <col width="11.42578125" customWidth="1" style="308" min="6" max="6"/>
    <col width="14.42578125" customWidth="1" style="308" min="7" max="7"/>
    <col width="9.140625" customWidth="1" style="308" min="8" max="11"/>
    <col width="13.5703125" customWidth="1" style="308" min="12" max="12"/>
    <col width="9.140625" customWidth="1" style="308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6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44" t="inlineStr">
        <is>
          <t>Ресурсная модель</t>
        </is>
      </c>
    </row>
    <row r="6">
      <c r="B6" s="228" t="n"/>
      <c r="C6" s="296" t="n"/>
      <c r="D6" s="296" t="n"/>
      <c r="E6" s="296" t="n"/>
    </row>
    <row r="7" ht="38.25" customHeight="1" s="308">
      <c r="B7" s="365" t="inlineStr">
        <is>
          <t>Наименование разрабатываемого показателя УНЦ — Установка 3-ф ПУ трансформаторного включения в шкафу учета с ТТ и ТН (с догрузочными резисторами)</t>
        </is>
      </c>
    </row>
    <row r="8">
      <c r="B8" s="366" t="inlineStr">
        <is>
          <t>Единица измерения  — 1 ед.</t>
        </is>
      </c>
    </row>
    <row r="9">
      <c r="B9" s="228" t="n"/>
      <c r="C9" s="296" t="n"/>
      <c r="D9" s="296" t="n"/>
      <c r="E9" s="296" t="n"/>
    </row>
    <row r="10" ht="51" customHeight="1" s="308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0" t="inlineStr">
        <is>
          <t>Оплата труда рабочих</t>
        </is>
      </c>
      <c r="C11" s="298">
        <f>'Прил.5 Расчет СМР и ОБ'!J16</f>
        <v/>
      </c>
      <c r="D11" s="232">
        <f>C11/$C$24</f>
        <v/>
      </c>
      <c r="E11" s="232">
        <f>C11/$C$40</f>
        <v/>
      </c>
    </row>
    <row r="12">
      <c r="B12" s="230" t="inlineStr">
        <is>
          <t>Эксплуатация машин основных</t>
        </is>
      </c>
      <c r="C12" s="298">
        <f>'Прил.5 Расчет СМР и ОБ'!J25</f>
        <v/>
      </c>
      <c r="D12" s="232">
        <f>C12/$C$24</f>
        <v/>
      </c>
      <c r="E12" s="232">
        <f>C12/$C$40</f>
        <v/>
      </c>
    </row>
    <row r="13">
      <c r="B13" s="230" t="inlineStr">
        <is>
          <t>Эксплуатация машин прочих</t>
        </is>
      </c>
      <c r="C13" s="298">
        <f>'Прил.5 Расчет СМР и ОБ'!J30</f>
        <v/>
      </c>
      <c r="D13" s="232">
        <f>C13/$C$24</f>
        <v/>
      </c>
      <c r="E13" s="232">
        <f>C13/$C$40</f>
        <v/>
      </c>
    </row>
    <row r="14">
      <c r="B14" s="230" t="inlineStr">
        <is>
          <t>ЭКСПЛУАТАЦИЯ МАШИН, ВСЕГО:</t>
        </is>
      </c>
      <c r="C14" s="298">
        <f>C13+C12</f>
        <v/>
      </c>
      <c r="D14" s="232">
        <f>C14/$C$24</f>
        <v/>
      </c>
      <c r="E14" s="232">
        <f>C14/$C$40</f>
        <v/>
      </c>
    </row>
    <row r="15">
      <c r="B15" s="230" t="inlineStr">
        <is>
          <t>в том числе зарплата машинистов</t>
        </is>
      </c>
      <c r="C15" s="298">
        <f>'Прил.5 Расчет СМР и ОБ'!J18</f>
        <v/>
      </c>
      <c r="D15" s="232">
        <f>C15/$C$24</f>
        <v/>
      </c>
      <c r="E15" s="232">
        <f>C15/$C$40</f>
        <v/>
      </c>
    </row>
    <row r="16">
      <c r="B16" s="230" t="inlineStr">
        <is>
          <t>Материалы основные</t>
        </is>
      </c>
      <c r="C16" s="298">
        <f>'Прил.5 Расчет СМР и ОБ'!J48</f>
        <v/>
      </c>
      <c r="D16" s="232">
        <f>C16/$C$24</f>
        <v/>
      </c>
      <c r="E16" s="232">
        <f>C16/$C$40</f>
        <v/>
      </c>
    </row>
    <row r="17">
      <c r="B17" s="230" t="inlineStr">
        <is>
          <t>Материалы прочие</t>
        </is>
      </c>
      <c r="C17" s="298">
        <f>'Прил.5 Расчет СМР и ОБ'!J72</f>
        <v/>
      </c>
      <c r="D17" s="232">
        <f>C17/$C$24</f>
        <v/>
      </c>
      <c r="E17" s="232">
        <f>C17/$C$40</f>
        <v/>
      </c>
      <c r="G17" s="459" t="n"/>
    </row>
    <row r="18">
      <c r="B18" s="230" t="inlineStr">
        <is>
          <t>МАТЕРИАЛЫ, ВСЕГО:</t>
        </is>
      </c>
      <c r="C18" s="298">
        <f>C17+C16</f>
        <v/>
      </c>
      <c r="D18" s="232">
        <f>C18/$C$24</f>
        <v/>
      </c>
      <c r="E18" s="232">
        <f>C18/$C$40</f>
        <v/>
      </c>
    </row>
    <row r="19">
      <c r="B19" s="230" t="inlineStr">
        <is>
          <t>ИТОГО</t>
        </is>
      </c>
      <c r="C19" s="298">
        <f>C18+C14+C11</f>
        <v/>
      </c>
      <c r="D19" s="232" t="n"/>
      <c r="E19" s="230" t="n"/>
    </row>
    <row r="20">
      <c r="B20" s="230" t="inlineStr">
        <is>
          <t>Сметная прибыль, руб.</t>
        </is>
      </c>
      <c r="C20" s="298">
        <f>ROUND(C21*(C11+C15),2)</f>
        <v/>
      </c>
      <c r="D20" s="232">
        <f>C20/$C$24</f>
        <v/>
      </c>
      <c r="E20" s="232">
        <f>C20/$C$40</f>
        <v/>
      </c>
    </row>
    <row r="21">
      <c r="B21" s="230" t="inlineStr">
        <is>
          <t>Сметная прибыль, %</t>
        </is>
      </c>
      <c r="C21" s="234">
        <f>'Прил.5 Расчет СМР и ОБ'!D76</f>
        <v/>
      </c>
      <c r="D21" s="232" t="n"/>
      <c r="E21" s="230" t="n"/>
    </row>
    <row r="22">
      <c r="B22" s="230" t="inlineStr">
        <is>
          <t>Накладные расходы, руб.</t>
        </is>
      </c>
      <c r="C22" s="298">
        <f>ROUND(C23*(C11+C15),2)</f>
        <v/>
      </c>
      <c r="D22" s="232">
        <f>C22/$C$24</f>
        <v/>
      </c>
      <c r="E22" s="232">
        <f>C22/$C$40</f>
        <v/>
      </c>
    </row>
    <row r="23">
      <c r="B23" s="230" t="inlineStr">
        <is>
          <t>Накладные расходы, %</t>
        </is>
      </c>
      <c r="C23" s="234">
        <f>'Прил.5 Расчет СМР и ОБ'!D75</f>
        <v/>
      </c>
      <c r="D23" s="232" t="n"/>
      <c r="E23" s="230" t="n"/>
    </row>
    <row r="24">
      <c r="B24" s="230" t="inlineStr">
        <is>
          <t>ВСЕГО СМР с НР и СП</t>
        </is>
      </c>
      <c r="C24" s="298">
        <f>C19+C20+C22</f>
        <v/>
      </c>
      <c r="D24" s="232">
        <f>C24/$C$24</f>
        <v/>
      </c>
      <c r="E24" s="232">
        <f>C24/$C$40</f>
        <v/>
      </c>
    </row>
    <row r="25" ht="25.5" customHeight="1" s="308">
      <c r="B25" s="230" t="inlineStr">
        <is>
          <t>ВСЕГО стоимость оборудования, в том числе</t>
        </is>
      </c>
      <c r="C25" s="298">
        <f>'Прил.5 Расчет СМР и ОБ'!J38</f>
        <v/>
      </c>
      <c r="D25" s="232" t="n"/>
      <c r="E25" s="232">
        <f>C25/$C$40</f>
        <v/>
      </c>
    </row>
    <row r="26" ht="25.5" customHeight="1" s="308">
      <c r="B26" s="230" t="inlineStr">
        <is>
          <t>стоимость оборудования технологического</t>
        </is>
      </c>
      <c r="C26" s="298">
        <f>'Прил.5 Расчет СМР и ОБ'!J39</f>
        <v/>
      </c>
      <c r="D26" s="232" t="n"/>
      <c r="E26" s="232">
        <f>C26/$C$40</f>
        <v/>
      </c>
    </row>
    <row r="27">
      <c r="B27" s="230" t="inlineStr">
        <is>
          <t>ИТОГО (СМР + ОБОРУДОВАНИЕ)</t>
        </is>
      </c>
      <c r="C27" s="158">
        <f>C24+C25</f>
        <v/>
      </c>
      <c r="D27" s="232" t="n"/>
      <c r="E27" s="232">
        <f>C27/$C$40</f>
        <v/>
      </c>
    </row>
    <row r="28" ht="33" customHeight="1" s="308">
      <c r="B28" s="230" t="inlineStr">
        <is>
          <t>ПРОЧ. ЗАТР., УЧТЕННЫЕ ПОКАЗАТЕЛЕМ,  в том числе</t>
        </is>
      </c>
      <c r="C28" s="230" t="n"/>
      <c r="D28" s="230" t="n"/>
      <c r="E28" s="230" t="n"/>
      <c r="F28" s="235" t="n"/>
    </row>
    <row r="29" ht="25.5" customHeight="1" s="308">
      <c r="B29" s="230" t="inlineStr">
        <is>
          <t>Временные здания и сооружения - 3,9%</t>
        </is>
      </c>
      <c r="C29" s="158">
        <f>ROUND(C24*3.9%,2)</f>
        <v/>
      </c>
      <c r="D29" s="230" t="n"/>
      <c r="E29" s="232">
        <f>C29/$C$40</f>
        <v/>
      </c>
    </row>
    <row r="30" ht="38.25" customHeight="1" s="308">
      <c r="B30" s="230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0" t="n"/>
      <c r="E30" s="232">
        <f>C30/$C$40</f>
        <v/>
      </c>
      <c r="F30" s="235" t="n"/>
    </row>
    <row r="31">
      <c r="B31" s="230" t="inlineStr">
        <is>
          <t>Пусконаладочные работы</t>
        </is>
      </c>
      <c r="C31" s="158" t="n">
        <v>9896.16</v>
      </c>
      <c r="D31" s="230" t="n"/>
      <c r="E31" s="232">
        <f>C31/$C$40</f>
        <v/>
      </c>
    </row>
    <row r="32" ht="25.5" customHeight="1" s="308">
      <c r="B32" s="230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0" t="n"/>
      <c r="E32" s="232">
        <f>C32/$C$40</f>
        <v/>
      </c>
    </row>
    <row r="33" ht="25.5" customHeight="1" s="308">
      <c r="B33" s="230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0" t="n"/>
      <c r="E33" s="232">
        <f>C33/$C$40</f>
        <v/>
      </c>
    </row>
    <row r="34" ht="51" customHeight="1" s="308">
      <c r="B34" s="23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0" t="n"/>
      <c r="E34" s="232">
        <f>C34/$C$40</f>
        <v/>
      </c>
      <c r="H34" s="236" t="n"/>
    </row>
    <row r="35" ht="76.5" customHeight="1" s="308">
      <c r="B35" s="23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0" t="n"/>
      <c r="E35" s="232">
        <f>C35/$C$40</f>
        <v/>
      </c>
    </row>
    <row r="36" ht="25.5" customHeight="1" s="308">
      <c r="B36" s="230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0" t="n"/>
      <c r="E36" s="232">
        <f>C36/$C$40</f>
        <v/>
      </c>
      <c r="L36" s="235" t="n"/>
    </row>
    <row r="37">
      <c r="B37" s="230" t="inlineStr">
        <is>
          <t>Авторский надзор - 0,2%</t>
        </is>
      </c>
      <c r="C37" s="158">
        <f>ROUND((C27+C32+C33+C34+C35+C29+C31+C30)*0.2%,2)</f>
        <v/>
      </c>
      <c r="D37" s="230" t="n"/>
      <c r="E37" s="232">
        <f>C37/$C$40</f>
        <v/>
      </c>
      <c r="L37" s="235" t="n"/>
    </row>
    <row r="38" ht="38.25" customHeight="1" s="308">
      <c r="B38" s="230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0" t="n"/>
      <c r="E38" s="232">
        <f>C38/$C$40</f>
        <v/>
      </c>
    </row>
    <row r="39" ht="13.5" customHeight="1" s="308">
      <c r="B39" s="230" t="inlineStr">
        <is>
          <t>Непредвиденные расходы</t>
        </is>
      </c>
      <c r="C39" s="298">
        <f>ROUND(C38*3%,2)</f>
        <v/>
      </c>
      <c r="D39" s="230" t="n"/>
      <c r="E39" s="232">
        <f>C39/$C$38</f>
        <v/>
      </c>
    </row>
    <row r="40">
      <c r="B40" s="230" t="inlineStr">
        <is>
          <t>ВСЕГО:</t>
        </is>
      </c>
      <c r="C40" s="298">
        <f>C39+C38</f>
        <v/>
      </c>
      <c r="D40" s="230" t="n"/>
      <c r="E40" s="232">
        <f>C40/$C$40</f>
        <v/>
      </c>
    </row>
    <row r="41">
      <c r="B41" s="230" t="inlineStr">
        <is>
          <t>ИТОГО ПОКАЗАТЕЛЬ НА ЕД. ИЗМ.</t>
        </is>
      </c>
      <c r="C41" s="298">
        <f>C40/'Прил.5 Расчет СМР и ОБ'!E79</f>
        <v/>
      </c>
      <c r="D41" s="230" t="n"/>
      <c r="E41" s="230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Д.Ю. Нефедова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6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33" zoomScale="70" workbookViewId="0">
      <selection activeCell="B74" sqref="B74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08" min="13" max="13"/>
  </cols>
  <sheetData>
    <row r="1" s="308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08">
      <c r="A2" s="306" t="n"/>
      <c r="B2" s="306" t="n"/>
      <c r="C2" s="306" t="n"/>
      <c r="D2" s="306" t="n"/>
      <c r="E2" s="306" t="n"/>
      <c r="F2" s="306" t="n"/>
      <c r="G2" s="306" t="n"/>
      <c r="H2" s="367" t="inlineStr">
        <is>
          <t>Приложение №5</t>
        </is>
      </c>
      <c r="K2" s="306" t="n"/>
      <c r="L2" s="306" t="n"/>
      <c r="M2" s="306" t="n"/>
      <c r="N2" s="306" t="n"/>
    </row>
    <row r="3" s="308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6">
      <c r="A4" s="344" t="inlineStr">
        <is>
          <t>Расчет стоимости СМР и оборудования</t>
        </is>
      </c>
    </row>
    <row r="5" ht="12.75" customFormat="1" customHeight="1" s="296">
      <c r="A5" s="344" t="n"/>
      <c r="B5" s="344" t="n"/>
      <c r="C5" s="393" t="n"/>
      <c r="D5" s="344" t="n"/>
      <c r="E5" s="344" t="n"/>
      <c r="F5" s="344" t="n"/>
      <c r="G5" s="344" t="n"/>
      <c r="H5" s="344" t="n"/>
      <c r="I5" s="344" t="n"/>
      <c r="J5" s="344" t="n"/>
    </row>
    <row r="6" ht="27.75" customFormat="1" customHeight="1" s="296">
      <c r="A6" s="241" t="inlineStr">
        <is>
          <t>Наименование разрабатываемого показателя УНЦ</t>
        </is>
      </c>
      <c r="B6" s="242" t="n"/>
      <c r="C6" s="242" t="n"/>
      <c r="D6" s="373" t="inlineStr">
        <is>
          <t>Установка 3-ф ПУ трансформаторного включения в шкафу учета с ТТ и ТН (с догрузочными резисторами)</t>
        </is>
      </c>
    </row>
    <row r="7" ht="12.75" customFormat="1" customHeight="1" s="296">
      <c r="A7" s="347" t="inlineStr">
        <is>
          <t>Единица измерения  — 1 ед.</t>
        </is>
      </c>
      <c r="I7" s="365" t="n"/>
      <c r="J7" s="365" t="n"/>
    </row>
    <row r="8" ht="13.5" customFormat="1" customHeight="1" s="296">
      <c r="A8" s="347" t="n"/>
    </row>
    <row r="9" ht="27" customHeight="1" s="308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9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9" t="n"/>
      <c r="K9" s="306" t="n"/>
      <c r="L9" s="306" t="n"/>
      <c r="M9" s="306" t="n"/>
      <c r="N9" s="306" t="n"/>
    </row>
    <row r="10" ht="28.5" customHeight="1" s="308">
      <c r="A10" s="451" t="n"/>
      <c r="B10" s="451" t="n"/>
      <c r="C10" s="451" t="n"/>
      <c r="D10" s="451" t="n"/>
      <c r="E10" s="451" t="n"/>
      <c r="F10" s="370" t="inlineStr">
        <is>
          <t>на ед. изм.</t>
        </is>
      </c>
      <c r="G10" s="370" t="inlineStr">
        <is>
          <t>общая</t>
        </is>
      </c>
      <c r="H10" s="451" t="n"/>
      <c r="I10" s="370" t="inlineStr">
        <is>
          <t>на ед. изм.</t>
        </is>
      </c>
      <c r="J10" s="370" t="inlineStr">
        <is>
          <t>общая</t>
        </is>
      </c>
      <c r="K10" s="306" t="n"/>
      <c r="L10" s="306" t="n"/>
      <c r="M10" s="306" t="n"/>
      <c r="N10" s="306" t="n"/>
    </row>
    <row r="11" s="308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306" t="n"/>
      <c r="L11" s="306" t="n"/>
      <c r="M11" s="306" t="n"/>
      <c r="N11" s="306" t="n"/>
    </row>
    <row r="12">
      <c r="A12" s="370" t="n"/>
      <c r="B12" s="359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186" t="n"/>
      <c r="J12" s="186" t="n"/>
    </row>
    <row r="13" ht="25.5" customHeight="1" s="308">
      <c r="A13" s="370" t="n">
        <v>1</v>
      </c>
      <c r="B13" s="243" t="inlineStr">
        <is>
          <t>1-3-9</t>
        </is>
      </c>
      <c r="C13" s="378" t="inlineStr">
        <is>
          <t>Затраты труда рабочих-строителей среднего разряда (3,9)</t>
        </is>
      </c>
      <c r="D13" s="370" t="inlineStr">
        <is>
          <t>чел.-ч.</t>
        </is>
      </c>
      <c r="E13" s="460">
        <f>G13/F13</f>
        <v/>
      </c>
      <c r="F13" s="253" t="n">
        <v>9.51</v>
      </c>
      <c r="G13" s="253">
        <f>'Прил. 3'!H12-'Прил. 3'!H13-'Прил. 3'!H15</f>
        <v/>
      </c>
      <c r="H13" s="252">
        <f>G13/$G$16</f>
        <v/>
      </c>
      <c r="I13" s="253">
        <f>'ФОТр.тек.'!E13</f>
        <v/>
      </c>
      <c r="J13" s="253">
        <f>ROUND(I13*E13,2)</f>
        <v/>
      </c>
    </row>
    <row r="14">
      <c r="A14" s="370" t="n">
        <v>2</v>
      </c>
      <c r="B14" s="286" t="inlineStr">
        <is>
          <t>10-3-1</t>
        </is>
      </c>
      <c r="C14" s="287" t="inlineStr">
        <is>
          <t>Инженер I категории</t>
        </is>
      </c>
      <c r="D14" s="391" t="inlineStr">
        <is>
          <t>чел.-ч</t>
        </is>
      </c>
      <c r="E14" s="460">
        <f>G14/F14</f>
        <v/>
      </c>
      <c r="F14" s="289" t="n">
        <v>15.49</v>
      </c>
      <c r="G14" s="253">
        <f>'Прил. 3'!H13</f>
        <v/>
      </c>
      <c r="H14" s="252">
        <f>G14/$G$16</f>
        <v/>
      </c>
      <c r="I14" s="253">
        <f>'ФОТр.тек.'!E21</f>
        <v/>
      </c>
      <c r="J14" s="253">
        <f>ROUND(I14*E14,2)</f>
        <v/>
      </c>
    </row>
    <row r="15">
      <c r="A15" s="370" t="n">
        <v>3</v>
      </c>
      <c r="B15" s="243" t="inlineStr">
        <is>
          <t>10-3-2</t>
        </is>
      </c>
      <c r="C15" s="378" t="inlineStr">
        <is>
          <t>Инженер II категории</t>
        </is>
      </c>
      <c r="D15" s="370" t="inlineStr">
        <is>
          <t>чел.-ч</t>
        </is>
      </c>
      <c r="E15" s="460">
        <f>G15/F15</f>
        <v/>
      </c>
      <c r="F15" s="253" t="n">
        <v>14.09</v>
      </c>
      <c r="G15" s="253">
        <f>'Прил. 3'!H15</f>
        <v/>
      </c>
      <c r="H15" s="252">
        <f>G15/$G$16</f>
        <v/>
      </c>
      <c r="I15" s="253">
        <f>'ФОТр.тек.'!E29</f>
        <v/>
      </c>
      <c r="J15" s="253">
        <f>ROUND(I15*E15,2)</f>
        <v/>
      </c>
    </row>
    <row r="16" ht="25.5" customFormat="1" customHeight="1" s="306">
      <c r="A16" s="370" t="n"/>
      <c r="B16" s="370" t="n"/>
      <c r="C16" s="359" t="inlineStr">
        <is>
          <t>Итого по разделу "Затраты труда рабочих-строителей"</t>
        </is>
      </c>
      <c r="D16" s="370" t="inlineStr">
        <is>
          <t>чел.-ч.</t>
        </is>
      </c>
      <c r="E16" s="460">
        <f>SUM(E13:E15)</f>
        <v/>
      </c>
      <c r="F16" s="253" t="n"/>
      <c r="G16" s="253">
        <f>SUM(G13:G15)</f>
        <v/>
      </c>
      <c r="H16" s="381">
        <f>SUM(H13:H15)</f>
        <v/>
      </c>
      <c r="I16" s="186" t="n"/>
      <c r="J16" s="253">
        <f>SUM(J13:J15)</f>
        <v/>
      </c>
    </row>
    <row r="17" ht="14.25" customFormat="1" customHeight="1" s="306">
      <c r="A17" s="370" t="n"/>
      <c r="B17" s="378" t="inlineStr">
        <is>
          <t>Затраты труда машинистов</t>
        </is>
      </c>
      <c r="C17" s="448" t="n"/>
      <c r="D17" s="448" t="n"/>
      <c r="E17" s="448" t="n"/>
      <c r="F17" s="448" t="n"/>
      <c r="G17" s="448" t="n"/>
      <c r="H17" s="449" t="n"/>
      <c r="I17" s="186" t="n"/>
      <c r="J17" s="186" t="n"/>
    </row>
    <row r="18" ht="14.25" customFormat="1" customHeight="1" s="306">
      <c r="A18" s="370" t="n">
        <v>4</v>
      </c>
      <c r="B18" s="370" t="n">
        <v>2</v>
      </c>
      <c r="C18" s="378" t="inlineStr">
        <is>
          <t>Затраты труда машинистов</t>
        </is>
      </c>
      <c r="D18" s="370" t="inlineStr">
        <is>
          <t>чел.-ч.</t>
        </is>
      </c>
      <c r="E18" s="460">
        <f>'Прил. 3'!F20</f>
        <v/>
      </c>
      <c r="F18" s="253">
        <f>G18/E18</f>
        <v/>
      </c>
      <c r="G18" s="253">
        <f>'Прил. 3'!H19</f>
        <v/>
      </c>
      <c r="H18" s="381" t="n">
        <v>1</v>
      </c>
      <c r="I18" s="253">
        <f>ROUND(F18*'Прил. 10'!D11,2)</f>
        <v/>
      </c>
      <c r="J18" s="253">
        <f>ROUND(I18*E18,2)</f>
        <v/>
      </c>
    </row>
    <row r="19" ht="14.25" customFormat="1" customHeight="1" s="306">
      <c r="A19" s="370" t="n"/>
      <c r="B19" s="359" t="inlineStr">
        <is>
          <t>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186" t="n"/>
      <c r="J19" s="186" t="n"/>
    </row>
    <row r="20" ht="14.25" customFormat="1" customHeight="1" s="306">
      <c r="A20" s="370" t="n"/>
      <c r="B20" s="378" t="inlineStr">
        <is>
          <t>Основные машины и механизмы</t>
        </is>
      </c>
      <c r="C20" s="448" t="n"/>
      <c r="D20" s="448" t="n"/>
      <c r="E20" s="448" t="n"/>
      <c r="F20" s="448" t="n"/>
      <c r="G20" s="448" t="n"/>
      <c r="H20" s="449" t="n"/>
      <c r="I20" s="186" t="n"/>
      <c r="J20" s="186" t="n"/>
    </row>
    <row r="21" ht="51" customFormat="1" customHeight="1" s="306">
      <c r="A21" s="370" t="n">
        <v>5</v>
      </c>
      <c r="B21" s="243" t="inlineStr">
        <is>
          <t>91.18.01-007</t>
        </is>
      </c>
      <c r="C21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0" t="inlineStr">
        <is>
          <t>маш.-ч</t>
        </is>
      </c>
      <c r="E21" s="460" t="n">
        <v>0.29</v>
      </c>
      <c r="F21" s="380" t="n">
        <v>90</v>
      </c>
      <c r="G21" s="253">
        <f>ROUND(E21*F21,2)</f>
        <v/>
      </c>
      <c r="H21" s="252">
        <f>G21/$G$31</f>
        <v/>
      </c>
      <c r="I21" s="253">
        <f>ROUND(F21*'Прил. 10'!$D$12,2)</f>
        <v/>
      </c>
      <c r="J21" s="253">
        <f>ROUND(I21*E21,2)</f>
        <v/>
      </c>
    </row>
    <row r="22" ht="25.5" customFormat="1" customHeight="1" s="306">
      <c r="A22" s="370" t="n">
        <v>6</v>
      </c>
      <c r="B22" s="243" t="inlineStr">
        <is>
          <t>91.05.05-014</t>
        </is>
      </c>
      <c r="C22" s="378" t="inlineStr">
        <is>
          <t>Краны на автомобильном ходу, грузоподъемность 10 т</t>
        </is>
      </c>
      <c r="D22" s="370" t="inlineStr">
        <is>
          <t>маш.-ч</t>
        </is>
      </c>
      <c r="E22" s="460" t="n">
        <v>0.22</v>
      </c>
      <c r="F22" s="380" t="n">
        <v>111.99</v>
      </c>
      <c r="G22" s="253">
        <f>ROUND(E22*F22,2)</f>
        <v/>
      </c>
      <c r="H22" s="252">
        <f>G22/$G$31</f>
        <v/>
      </c>
      <c r="I22" s="253">
        <f>ROUND(F22*'Прил. 10'!$D$12,2)</f>
        <v/>
      </c>
      <c r="J22" s="253">
        <f>ROUND(I22*E22,2)</f>
        <v/>
      </c>
    </row>
    <row r="23" ht="25.5" customFormat="1" customHeight="1" s="306">
      <c r="A23" s="370" t="n">
        <v>7</v>
      </c>
      <c r="B23" s="243" t="inlineStr">
        <is>
          <t>91.14.02-001</t>
        </is>
      </c>
      <c r="C23" s="378" t="inlineStr">
        <is>
          <t>Автомобили бортовые, грузоподъемность до 5 т</t>
        </is>
      </c>
      <c r="D23" s="370" t="inlineStr">
        <is>
          <t>маш.-ч</t>
        </is>
      </c>
      <c r="E23" s="460" t="n">
        <v>0.22</v>
      </c>
      <c r="F23" s="380" t="n">
        <v>65.70999999999999</v>
      </c>
      <c r="G23" s="253">
        <f>ROUND(E23*F23,2)</f>
        <v/>
      </c>
      <c r="H23" s="252">
        <f>G23/$G$31</f>
        <v/>
      </c>
      <c r="I23" s="253">
        <f>ROUND(F23*'Прил. 10'!$D$12,2)</f>
        <v/>
      </c>
      <c r="J23" s="253">
        <f>ROUND(I23*E23,2)</f>
        <v/>
      </c>
    </row>
    <row r="24" ht="25.5" customFormat="1" customHeight="1" s="306">
      <c r="A24" s="370" t="n">
        <v>8</v>
      </c>
      <c r="B24" s="243" t="inlineStr">
        <is>
          <t>91.17.04-233</t>
        </is>
      </c>
      <c r="C24" s="378" t="inlineStr">
        <is>
          <t>Установки для сварки ручной дуговой (постоянного тока)</t>
        </is>
      </c>
      <c r="D24" s="370" t="inlineStr">
        <is>
          <t>маш.-ч</t>
        </is>
      </c>
      <c r="E24" s="460" t="n">
        <v>0.97</v>
      </c>
      <c r="F24" s="380" t="n">
        <v>8.1</v>
      </c>
      <c r="G24" s="253">
        <f>ROUND(E24*F24,2)</f>
        <v/>
      </c>
      <c r="H24" s="252">
        <f>G24/$G$31</f>
        <v/>
      </c>
      <c r="I24" s="253">
        <f>ROUND(F24*'Прил. 10'!$D$12,2)</f>
        <v/>
      </c>
      <c r="J24" s="253">
        <f>ROUND(I24*E24,2)</f>
        <v/>
      </c>
    </row>
    <row r="25" ht="14.25" customFormat="1" customHeight="1" s="306">
      <c r="A25" s="370" t="n"/>
      <c r="B25" s="370" t="n"/>
      <c r="C25" s="378" t="inlineStr">
        <is>
          <t>Итого основные машины и механизмы</t>
        </is>
      </c>
      <c r="D25" s="370" t="n"/>
      <c r="E25" s="460" t="n"/>
      <c r="F25" s="253" t="n"/>
      <c r="G25" s="253">
        <f>SUM(G21:G24)</f>
        <v/>
      </c>
      <c r="H25" s="381">
        <f>G25/G31</f>
        <v/>
      </c>
      <c r="I25" s="251" t="n"/>
      <c r="J25" s="253">
        <f>SUM(J21:J24)</f>
        <v/>
      </c>
    </row>
    <row r="26" hidden="1" outlineLevel="1" ht="25.5" customFormat="1" customHeight="1" s="306">
      <c r="A26" s="370" t="n">
        <v>9</v>
      </c>
      <c r="B26" s="243" t="inlineStr">
        <is>
          <t>91.06.03-058</t>
        </is>
      </c>
      <c r="C26" s="378" t="inlineStr">
        <is>
          <t>Лебедки электрические тяговым усилием 156,96 кН (16 т)</t>
        </is>
      </c>
      <c r="D26" s="370" t="inlineStr">
        <is>
          <t>маш.-ч</t>
        </is>
      </c>
      <c r="E26" s="460" t="n">
        <v>0.02</v>
      </c>
      <c r="F26" s="380" t="n">
        <v>131.44</v>
      </c>
      <c r="G26" s="253">
        <f>ROUND(E26*F26,2)</f>
        <v/>
      </c>
      <c r="H26" s="252">
        <f>G26/$G$31</f>
        <v/>
      </c>
      <c r="I26" s="253">
        <f>ROUND(F26*'Прил. 10'!$D$12,2)</f>
        <v/>
      </c>
      <c r="J26" s="253">
        <f>ROUND(I26*E26,2)</f>
        <v/>
      </c>
    </row>
    <row r="27" hidden="1" outlineLevel="1" ht="25.5" customFormat="1" customHeight="1" s="306">
      <c r="A27" s="370" t="n">
        <v>10</v>
      </c>
      <c r="B27" s="243" t="inlineStr">
        <is>
          <t>91.04.01-041</t>
        </is>
      </c>
      <c r="C27" s="378" t="inlineStr">
        <is>
          <t>Молотки бурильные легкие при работе от передвижных компрессорных станций</t>
        </is>
      </c>
      <c r="D27" s="370" t="inlineStr">
        <is>
          <t>маш.-ч</t>
        </is>
      </c>
      <c r="E27" s="460" t="n">
        <v>0.29</v>
      </c>
      <c r="F27" s="380" t="n">
        <v>2.99</v>
      </c>
      <c r="G27" s="253">
        <f>ROUND(E27*F27,2)</f>
        <v/>
      </c>
      <c r="H27" s="252">
        <f>G27/$G$31</f>
        <v/>
      </c>
      <c r="I27" s="253">
        <f>ROUND(F27*'Прил. 10'!$D$12,2)</f>
        <v/>
      </c>
      <c r="J27" s="253">
        <f>ROUND(I27*E27,2)</f>
        <v/>
      </c>
    </row>
    <row r="28" hidden="1" outlineLevel="1" ht="25.5" customFormat="1" customHeight="1" s="306">
      <c r="A28" s="370" t="n">
        <v>11</v>
      </c>
      <c r="B28" s="243" t="inlineStr">
        <is>
          <t>91.06.03-061</t>
        </is>
      </c>
      <c r="C28" s="378" t="inlineStr">
        <is>
          <t>Лебедки электрические тяговым усилием до 12,26 кН (1,25 т)</t>
        </is>
      </c>
      <c r="D28" s="370" t="inlineStr">
        <is>
          <t>маш.-ч</t>
        </is>
      </c>
      <c r="E28" s="460" t="n">
        <v>0.11</v>
      </c>
      <c r="F28" s="380" t="n">
        <v>3.28</v>
      </c>
      <c r="G28" s="253">
        <f>ROUND(E28*F28,2)</f>
        <v/>
      </c>
      <c r="H28" s="252">
        <f>G28/$G$31</f>
        <v/>
      </c>
      <c r="I28" s="253">
        <f>ROUND(F28*'Прил. 10'!$D$12,2)</f>
        <v/>
      </c>
      <c r="J28" s="253">
        <f>ROUND(I28*E28,2)</f>
        <v/>
      </c>
    </row>
    <row r="29" hidden="1" outlineLevel="1" ht="25.5" customFormat="1" customHeight="1" s="306">
      <c r="A29" s="370" t="n">
        <v>12</v>
      </c>
      <c r="B29" s="243" t="inlineStr">
        <is>
          <t>91.06.01-003</t>
        </is>
      </c>
      <c r="C29" s="378" t="inlineStr">
        <is>
          <t>Домкраты гидравлические, грузоподъемность 63-100 т</t>
        </is>
      </c>
      <c r="D29" s="370" t="inlineStr">
        <is>
          <t>маш.-ч</t>
        </is>
      </c>
      <c r="E29" s="460" t="n">
        <v>0.11</v>
      </c>
      <c r="F29" s="380" t="n">
        <v>0.9</v>
      </c>
      <c r="G29" s="253">
        <f>ROUND(E29*F29,2)</f>
        <v/>
      </c>
      <c r="H29" s="252">
        <f>G29/$G$31</f>
        <v/>
      </c>
      <c r="I29" s="253">
        <f>ROUND(F29*'Прил. 10'!$D$12,2)</f>
        <v/>
      </c>
      <c r="J29" s="253">
        <f>ROUND(I29*E29,2)</f>
        <v/>
      </c>
    </row>
    <row r="30" collapsed="1" ht="14.25" customFormat="1" customHeight="1" s="306">
      <c r="A30" s="370" t="n"/>
      <c r="B30" s="370" t="n"/>
      <c r="C30" s="378" t="inlineStr">
        <is>
          <t>Итого прочие машины и механизмы</t>
        </is>
      </c>
      <c r="D30" s="370" t="n"/>
      <c r="E30" s="379" t="n"/>
      <c r="F30" s="253" t="n"/>
      <c r="G30" s="251">
        <f>SUM(G26:G29)</f>
        <v/>
      </c>
      <c r="H30" s="252">
        <f>G30/G31</f>
        <v/>
      </c>
      <c r="I30" s="253" t="n"/>
      <c r="J30" s="251">
        <f>SUM(J26:J29)</f>
        <v/>
      </c>
    </row>
    <row r="31" ht="25.5" customFormat="1" customHeight="1" s="306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9" t="n"/>
      <c r="F31" s="253" t="n"/>
      <c r="G31" s="253">
        <f>G25+G30</f>
        <v/>
      </c>
      <c r="H31" s="381">
        <f>H25+H30</f>
        <v/>
      </c>
      <c r="I31" s="184" t="n"/>
      <c r="J31" s="253">
        <f>J25+J30</f>
        <v/>
      </c>
    </row>
    <row r="32" ht="14.25" customFormat="1" customHeight="1" s="306">
      <c r="A32" s="370" t="n"/>
      <c r="B32" s="359" t="inlineStr">
        <is>
          <t>Оборудование</t>
        </is>
      </c>
      <c r="C32" s="448" t="n"/>
      <c r="D32" s="448" t="n"/>
      <c r="E32" s="448" t="n"/>
      <c r="F32" s="448" t="n"/>
      <c r="G32" s="448" t="n"/>
      <c r="H32" s="449" t="n"/>
      <c r="I32" s="186" t="n"/>
      <c r="J32" s="186" t="n"/>
    </row>
    <row r="33">
      <c r="A33" s="370" t="n"/>
      <c r="B33" s="378" t="inlineStr">
        <is>
          <t>Основное оборудование</t>
        </is>
      </c>
      <c r="C33" s="448" t="n"/>
      <c r="D33" s="448" t="n"/>
      <c r="E33" s="448" t="n"/>
      <c r="F33" s="448" t="n"/>
      <c r="G33" s="448" t="n"/>
      <c r="H33" s="449" t="n"/>
      <c r="I33" s="186" t="n"/>
      <c r="J33" s="186" t="n"/>
      <c r="K33" s="306" t="n"/>
      <c r="L33" s="306" t="n"/>
    </row>
    <row r="34" ht="14.25" customFormat="1" customHeight="1" s="306">
      <c r="A34" s="370" t="n">
        <v>13</v>
      </c>
      <c r="B34" s="370" t="inlineStr">
        <is>
          <t>БЦ.50.10</t>
        </is>
      </c>
      <c r="C34" s="378" t="inlineStr">
        <is>
          <t>ПКУ 10 кВ с ТТ и ТН с передачей в ИВК</t>
        </is>
      </c>
      <c r="D34" s="370" t="inlineStr">
        <is>
          <t>шт</t>
        </is>
      </c>
      <c r="E34" s="461" t="n">
        <v>1</v>
      </c>
      <c r="F34" s="380">
        <f>ROUND(I34/'Прил. 10'!$D$14,2)</f>
        <v/>
      </c>
      <c r="G34" s="253">
        <f>ROUND(E34*F34,2)</f>
        <v/>
      </c>
      <c r="H34" s="252">
        <f>G34/$G$38</f>
        <v/>
      </c>
      <c r="I34" s="253" t="n">
        <v>434775</v>
      </c>
      <c r="J34" s="253">
        <f>ROUND(I34*E34,2)</f>
        <v/>
      </c>
    </row>
    <row r="35" ht="25.5" customFormat="1" customHeight="1" s="306">
      <c r="A35" s="370" t="n">
        <v>14</v>
      </c>
      <c r="B35" s="370" t="inlineStr">
        <is>
          <t>БЦ.47.16</t>
        </is>
      </c>
      <c r="C35" s="378" t="inlineStr">
        <is>
          <t>Шкаф ВВ (850 х 755 х 705) 
и НВ (300 х 700 х 195) модуля</t>
        </is>
      </c>
      <c r="D35" s="370" t="inlineStr">
        <is>
          <t>шт</t>
        </is>
      </c>
      <c r="E35" s="461" t="n">
        <v>1</v>
      </c>
      <c r="F35" s="380">
        <f>ROUND(I35/'Прил. 10'!$D$14,2)</f>
        <v/>
      </c>
      <c r="G35" s="253">
        <f>ROUND(E35*F35,2)</f>
        <v/>
      </c>
      <c r="H35" s="252">
        <f>G35/$G$38</f>
        <v/>
      </c>
      <c r="I35" s="253" t="n">
        <v>19838.57</v>
      </c>
      <c r="J35" s="253">
        <f>ROUND(I35*E35,2)</f>
        <v/>
      </c>
    </row>
    <row r="36">
      <c r="A36" s="370" t="n"/>
      <c r="B36" s="370" t="n"/>
      <c r="C36" s="378" t="inlineStr">
        <is>
          <t>Итого основное оборудование</t>
        </is>
      </c>
      <c r="D36" s="370" t="n"/>
      <c r="E36" s="461" t="n"/>
      <c r="F36" s="380" t="n"/>
      <c r="G36" s="253">
        <f>SUM(G34:G35)</f>
        <v/>
      </c>
      <c r="H36" s="252">
        <f>SUM(H34:H35)</f>
        <v/>
      </c>
      <c r="I36" s="251" t="n"/>
      <c r="J36" s="253">
        <f>SUM(J34:J35)</f>
        <v/>
      </c>
      <c r="K36" s="306" t="n"/>
      <c r="L36" s="306" t="n"/>
    </row>
    <row r="37">
      <c r="A37" s="370" t="n"/>
      <c r="B37" s="370" t="n"/>
      <c r="C37" s="378" t="inlineStr">
        <is>
          <t>Итого прочее оборудование</t>
        </is>
      </c>
      <c r="D37" s="370" t="n"/>
      <c r="E37" s="460" t="n"/>
      <c r="F37" s="380" t="n"/>
      <c r="G37" s="253" t="n">
        <v>0</v>
      </c>
      <c r="H37" s="252" t="n">
        <v>0</v>
      </c>
      <c r="I37" s="251" t="n"/>
      <c r="J37" s="253" t="n">
        <v>0</v>
      </c>
      <c r="K37" s="306" t="n"/>
      <c r="L37" s="306" t="n"/>
    </row>
    <row r="38">
      <c r="A38" s="370" t="n"/>
      <c r="B38" s="370" t="n"/>
      <c r="C38" s="359" t="inlineStr">
        <is>
          <t>Итого по разделу «Оборудование»</t>
        </is>
      </c>
      <c r="D38" s="370" t="n"/>
      <c r="E38" s="379" t="n"/>
      <c r="F38" s="380" t="n"/>
      <c r="G38" s="253">
        <f>G36+G37</f>
        <v/>
      </c>
      <c r="H38" s="252">
        <f>H36+H37</f>
        <v/>
      </c>
      <c r="I38" s="251" t="n"/>
      <c r="J38" s="253">
        <f>J37+J36</f>
        <v/>
      </c>
      <c r="K38" s="306" t="n"/>
      <c r="L38" s="306" t="n"/>
    </row>
    <row r="39" ht="25.5" customHeight="1" s="308">
      <c r="A39" s="370" t="n"/>
      <c r="B39" s="370" t="n"/>
      <c r="C39" s="378" t="inlineStr">
        <is>
          <t>в том числе технологическое оборудование</t>
        </is>
      </c>
      <c r="D39" s="370" t="n"/>
      <c r="E39" s="461" t="n"/>
      <c r="F39" s="380" t="n"/>
      <c r="G39" s="253">
        <f>'Прил.6 Расчет ОБ'!G14</f>
        <v/>
      </c>
      <c r="H39" s="381" t="n"/>
      <c r="I39" s="251" t="n"/>
      <c r="J39" s="253">
        <f>J38</f>
        <v/>
      </c>
      <c r="K39" s="306" t="n"/>
      <c r="L39" s="306" t="n"/>
    </row>
    <row r="40" ht="14.25" customFormat="1" customHeight="1" s="306">
      <c r="A40" s="370" t="n"/>
      <c r="B40" s="359" t="inlineStr">
        <is>
          <t>Материалы</t>
        </is>
      </c>
      <c r="C40" s="448" t="n"/>
      <c r="D40" s="448" t="n"/>
      <c r="E40" s="448" t="n"/>
      <c r="F40" s="448" t="n"/>
      <c r="G40" s="448" t="n"/>
      <c r="H40" s="449" t="n"/>
      <c r="I40" s="186" t="n"/>
      <c r="J40" s="186" t="n"/>
    </row>
    <row r="41" ht="14.25" customFormat="1" customHeight="1" s="306">
      <c r="A41" s="371" t="n"/>
      <c r="B41" s="374" t="inlineStr">
        <is>
          <t>Основные материалы</t>
        </is>
      </c>
      <c r="C41" s="462" t="n"/>
      <c r="D41" s="462" t="n"/>
      <c r="E41" s="462" t="n"/>
      <c r="F41" s="462" t="n"/>
      <c r="G41" s="462" t="n"/>
      <c r="H41" s="463" t="n"/>
      <c r="I41" s="257" t="n"/>
      <c r="J41" s="257" t="n"/>
    </row>
    <row r="42" ht="14.25" customFormat="1" customHeight="1" s="306">
      <c r="A42" s="370" t="n">
        <v>15</v>
      </c>
      <c r="B42" s="370" t="inlineStr">
        <is>
          <t>21.1.08.03-0364</t>
        </is>
      </c>
      <c r="C42" s="378" t="inlineStr">
        <is>
          <t>Кабель контрольный КВВГ 10х2,5</t>
        </is>
      </c>
      <c r="D42" s="370" t="inlineStr">
        <is>
          <t>1000 м</t>
        </is>
      </c>
      <c r="E42" s="461" t="n">
        <v>0.005</v>
      </c>
      <c r="F42" s="380" t="n">
        <v>25699.92</v>
      </c>
      <c r="G42" s="253">
        <f>ROUND(E42*F42,2)</f>
        <v/>
      </c>
      <c r="H42" s="252">
        <f>G42/$G$73</f>
        <v/>
      </c>
      <c r="I42" s="253">
        <f>ROUND(F42*'Прил. 10'!$D$13,2)</f>
        <v/>
      </c>
      <c r="J42" s="253">
        <f>ROUND(I42*E42,2)</f>
        <v/>
      </c>
    </row>
    <row r="43" ht="38.25" customFormat="1" customHeight="1" s="306">
      <c r="A43" s="370" t="n">
        <v>16</v>
      </c>
      <c r="B43" s="370" t="inlineStr">
        <is>
          <t>21.1.04.01-0007</t>
        </is>
      </c>
      <c r="C43" s="378" t="inlineStr">
        <is>
          <t>Кабель компьютерный (витая пара) FTP25-C3-SOLID-INDOOR EuroLine (FTP4-C5E-SOLID-OUTDOOR-40)</t>
        </is>
      </c>
      <c r="D43" s="370" t="inlineStr">
        <is>
          <t>1000 м</t>
        </is>
      </c>
      <c r="E43" s="461" t="n">
        <v>0.002</v>
      </c>
      <c r="F43" s="380" t="n">
        <v>22187.69</v>
      </c>
      <c r="G43" s="253">
        <f>ROUND(E43*F43,2)</f>
        <v/>
      </c>
      <c r="H43" s="252">
        <f>G43/$G$73</f>
        <v/>
      </c>
      <c r="I43" s="253">
        <f>ROUND(F43*'Прил. 10'!$D$13,2)</f>
        <v/>
      </c>
      <c r="J43" s="253">
        <f>ROUND(I43*E43,2)</f>
        <v/>
      </c>
    </row>
    <row r="44" ht="25.5" customFormat="1" customHeight="1" s="306">
      <c r="A44" s="370" t="n">
        <v>17</v>
      </c>
      <c r="B44" s="370" t="inlineStr">
        <is>
          <t>21.2.03.05-0047</t>
        </is>
      </c>
      <c r="C44" s="378" t="inlineStr">
        <is>
          <t>Провод силовой установочный с медными жилами ПВ1 2,5-450</t>
        </is>
      </c>
      <c r="D44" s="370" t="inlineStr">
        <is>
          <t>1000 м</t>
        </is>
      </c>
      <c r="E44" s="461" t="n">
        <v>0.008</v>
      </c>
      <c r="F44" s="380" t="n">
        <v>2079.72</v>
      </c>
      <c r="G44" s="253">
        <f>ROUND(E44*F44,2)</f>
        <v/>
      </c>
      <c r="H44" s="252">
        <f>G44/$G$73</f>
        <v/>
      </c>
      <c r="I44" s="253">
        <f>ROUND(F44*'Прил. 10'!$D$13,2)</f>
        <v/>
      </c>
      <c r="J44" s="253">
        <f>ROUND(I44*E44,2)</f>
        <v/>
      </c>
    </row>
    <row r="45" ht="25.5" customFormat="1" customHeight="1" s="306">
      <c r="A45" s="370" t="n">
        <v>18</v>
      </c>
      <c r="B45" s="370" t="inlineStr">
        <is>
          <t>07.2.07.04-0007</t>
        </is>
      </c>
      <c r="C45" s="378" t="inlineStr">
        <is>
          <t>Конструкции стальные индивидуальные решетчатые сварные, масса до 0,1 т</t>
        </is>
      </c>
      <c r="D45" s="370" t="inlineStr">
        <is>
          <t>т</t>
        </is>
      </c>
      <c r="E45" s="461" t="n">
        <v>0.001</v>
      </c>
      <c r="F45" s="380" t="n">
        <v>11500</v>
      </c>
      <c r="G45" s="253">
        <f>ROUND(E45*F45,2)</f>
        <v/>
      </c>
      <c r="H45" s="252">
        <f>G45/$G$73</f>
        <v/>
      </c>
      <c r="I45" s="253">
        <f>ROUND(F45*'Прил. 10'!$D$13,2)</f>
        <v/>
      </c>
      <c r="J45" s="253">
        <f>ROUND(I45*E45,2)</f>
        <v/>
      </c>
    </row>
    <row r="46" ht="25.5" customFormat="1" customHeight="1" s="306">
      <c r="A46" s="370" t="n">
        <v>19</v>
      </c>
      <c r="B46" s="370" t="inlineStr">
        <is>
          <t>999-9950</t>
        </is>
      </c>
      <c r="C46" s="378" t="inlineStr">
        <is>
          <t>Вспомогательные ненормируемые ресурсы (2% от Оплаты труда рабочих)</t>
        </is>
      </c>
      <c r="D46" s="370" t="inlineStr">
        <is>
          <t>руб.</t>
        </is>
      </c>
      <c r="E46" s="461" t="n">
        <v>10.5765</v>
      </c>
      <c r="F46" s="380" t="n">
        <v>1</v>
      </c>
      <c r="G46" s="253">
        <f>ROUND(E46*F46,2)</f>
        <v/>
      </c>
      <c r="H46" s="252">
        <f>G46/$G$73</f>
        <v/>
      </c>
      <c r="I46" s="253">
        <f>ROUND(F46*'Прил. 10'!$D$13,2)</f>
        <v/>
      </c>
      <c r="J46" s="253">
        <f>ROUND(I46*E46,2)</f>
        <v/>
      </c>
    </row>
    <row r="47" ht="25.5" customFormat="1" customHeight="1" s="306">
      <c r="A47" s="370" t="n">
        <v>20</v>
      </c>
      <c r="B47" s="370" t="inlineStr">
        <is>
          <t>21.2.03.05-0049</t>
        </is>
      </c>
      <c r="C47" s="378" t="inlineStr">
        <is>
          <t>Провод силовой установочный с медными жилами ПВ1 4-450</t>
        </is>
      </c>
      <c r="D47" s="370" t="inlineStr">
        <is>
          <t>1000 м</t>
        </is>
      </c>
      <c r="E47" s="461" t="n">
        <v>0.003</v>
      </c>
      <c r="F47" s="380" t="n">
        <v>3220.71</v>
      </c>
      <c r="G47" s="253">
        <f>ROUND(E47*F47,2)</f>
        <v/>
      </c>
      <c r="H47" s="252">
        <f>G47/$G$73</f>
        <v/>
      </c>
      <c r="I47" s="253">
        <f>ROUND(F47*'Прил. 10'!$D$13,2)</f>
        <v/>
      </c>
      <c r="J47" s="253">
        <f>ROUND(I47*E47,2)</f>
        <v/>
      </c>
    </row>
    <row r="48" ht="14.25" customFormat="1" customHeight="1" s="306">
      <c r="A48" s="372" t="n"/>
      <c r="B48" s="259" t="n"/>
      <c r="C48" s="260" t="inlineStr">
        <is>
          <t>Итого основные материалы</t>
        </is>
      </c>
      <c r="D48" s="372" t="n"/>
      <c r="E48" s="464" t="n"/>
      <c r="F48" s="264" t="n"/>
      <c r="G48" s="264">
        <f>SUM(G42:G47)</f>
        <v/>
      </c>
      <c r="H48" s="252">
        <f>G48/$G$73</f>
        <v/>
      </c>
      <c r="I48" s="253" t="n"/>
      <c r="J48" s="264">
        <f>SUM(J42:J47)</f>
        <v/>
      </c>
    </row>
    <row r="49" hidden="1" outlineLevel="1" ht="14.25" customFormat="1" customHeight="1" s="306">
      <c r="A49" s="370" t="n">
        <v>21</v>
      </c>
      <c r="B49" s="370" t="inlineStr">
        <is>
          <t>20.1.02.23-0082</t>
        </is>
      </c>
      <c r="C49" s="378" t="inlineStr">
        <is>
          <t>Перемычки гибкие, тип ПГС-50</t>
        </is>
      </c>
      <c r="D49" s="370" t="inlineStr">
        <is>
          <t>10 шт</t>
        </is>
      </c>
      <c r="E49" s="461" t="n">
        <v>0.2</v>
      </c>
      <c r="F49" s="380" t="n">
        <v>39</v>
      </c>
      <c r="G49" s="253">
        <f>ROUND(E49*F49,2)</f>
        <v/>
      </c>
      <c r="H49" s="252">
        <f>G49/$G$73</f>
        <v/>
      </c>
      <c r="I49" s="253">
        <f>ROUND(F49*'Прил. 10'!$D$13,2)</f>
        <v/>
      </c>
      <c r="J49" s="253">
        <f>ROUND(I49*E49,2)</f>
        <v/>
      </c>
    </row>
    <row r="50" hidden="1" outlineLevel="1" ht="14.25" customFormat="1" customHeight="1" s="306">
      <c r="A50" s="370" t="n">
        <v>22</v>
      </c>
      <c r="B50" s="370" t="inlineStr">
        <is>
          <t>01.7.15.03-0042</t>
        </is>
      </c>
      <c r="C50" s="378" t="inlineStr">
        <is>
          <t>Болты с гайками и шайбами строительные</t>
        </is>
      </c>
      <c r="D50" s="370" t="inlineStr">
        <is>
          <t>кг</t>
        </is>
      </c>
      <c r="E50" s="461" t="n">
        <v>0.829</v>
      </c>
      <c r="F50" s="380" t="n">
        <v>9.039999999999999</v>
      </c>
      <c r="G50" s="253">
        <f>ROUND(E50*F50,2)</f>
        <v/>
      </c>
      <c r="H50" s="252">
        <f>G50/$G$73</f>
        <v/>
      </c>
      <c r="I50" s="253">
        <f>ROUND(F50*'Прил. 10'!$D$13,2)</f>
        <v/>
      </c>
      <c r="J50" s="253">
        <f>ROUND(I50*E50,2)</f>
        <v/>
      </c>
    </row>
    <row r="51" hidden="1" outlineLevel="1" ht="14.25" customFormat="1" customHeight="1" s="306">
      <c r="A51" s="370" t="n">
        <v>23</v>
      </c>
      <c r="B51" s="370" t="inlineStr">
        <is>
          <t>01.7.02.07-0011</t>
        </is>
      </c>
      <c r="C51" s="378" t="inlineStr">
        <is>
          <t>Прессшпан листовой, марка А</t>
        </is>
      </c>
      <c r="D51" s="370" t="inlineStr">
        <is>
          <t>кг</t>
        </is>
      </c>
      <c r="E51" s="461" t="n">
        <v>0.05</v>
      </c>
      <c r="F51" s="380" t="n">
        <v>47.57</v>
      </c>
      <c r="G51" s="253">
        <f>ROUND(E51*F51,2)</f>
        <v/>
      </c>
      <c r="H51" s="252">
        <f>G51/$G$73</f>
        <v/>
      </c>
      <c r="I51" s="253">
        <f>ROUND(F51*'Прил. 10'!$D$13,2)</f>
        <v/>
      </c>
      <c r="J51" s="253">
        <f>ROUND(I51*E51,2)</f>
        <v/>
      </c>
    </row>
    <row r="52" hidden="1" outlineLevel="1" ht="25.5" customFormat="1" customHeight="1" s="306">
      <c r="A52" s="370" t="n">
        <v>24</v>
      </c>
      <c r="B52" s="370" t="inlineStr">
        <is>
          <t>01.7.11.07-0034</t>
        </is>
      </c>
      <c r="C52" s="378" t="inlineStr">
        <is>
          <t>Электроды сварочные Э42А, диаметр 4 мм</t>
        </is>
      </c>
      <c r="D52" s="370" t="inlineStr">
        <is>
          <t>кг</t>
        </is>
      </c>
      <c r="E52" s="461" t="n">
        <v>0.22</v>
      </c>
      <c r="F52" s="380" t="n">
        <v>10.57</v>
      </c>
      <c r="G52" s="253">
        <f>ROUND(E52*F52,2)</f>
        <v/>
      </c>
      <c r="H52" s="252">
        <f>G52/$G$73</f>
        <v/>
      </c>
      <c r="I52" s="253">
        <f>ROUND(F52*'Прил. 10'!$D$13,2)</f>
        <v/>
      </c>
      <c r="J52" s="253">
        <f>ROUND(I52*E52,2)</f>
        <v/>
      </c>
    </row>
    <row r="53" hidden="1" outlineLevel="1" ht="14.25" customFormat="1" customHeight="1" s="306">
      <c r="A53" s="370" t="n">
        <v>25</v>
      </c>
      <c r="B53" s="370" t="inlineStr">
        <is>
          <t>25.2.01.01-0017</t>
        </is>
      </c>
      <c r="C53" s="378" t="inlineStr">
        <is>
          <t>Бирки маркировочные пластмассовые</t>
        </is>
      </c>
      <c r="D53" s="370" t="inlineStr">
        <is>
          <t>100 шт</t>
        </is>
      </c>
      <c r="E53" s="461" t="n">
        <v>0.06</v>
      </c>
      <c r="F53" s="380" t="n">
        <v>30.74</v>
      </c>
      <c r="G53" s="253">
        <f>ROUND(E53*F53,2)</f>
        <v/>
      </c>
      <c r="H53" s="252">
        <f>G53/$G$73</f>
        <v/>
      </c>
      <c r="I53" s="253">
        <f>ROUND(F53*'Прил. 10'!$D$13,2)</f>
        <v/>
      </c>
      <c r="J53" s="253">
        <f>ROUND(I53*E53,2)</f>
        <v/>
      </c>
    </row>
    <row r="54" hidden="1" outlineLevel="1" ht="14.25" customFormat="1" customHeight="1" s="306">
      <c r="A54" s="370" t="n">
        <v>26</v>
      </c>
      <c r="B54" s="370" t="inlineStr">
        <is>
          <t>14.4.02.09-0001</t>
        </is>
      </c>
      <c r="C54" s="378" t="inlineStr">
        <is>
          <t>Краска</t>
        </is>
      </c>
      <c r="D54" s="370" t="inlineStr">
        <is>
          <t>кг</t>
        </is>
      </c>
      <c r="E54" s="461" t="n">
        <v>0.056</v>
      </c>
      <c r="F54" s="380" t="n">
        <v>28.6</v>
      </c>
      <c r="G54" s="253">
        <f>ROUND(E54*F54,2)</f>
        <v/>
      </c>
      <c r="H54" s="252">
        <f>G54/$G$73</f>
        <v/>
      </c>
      <c r="I54" s="253">
        <f>ROUND(F54*'Прил. 10'!$D$13,2)</f>
        <v/>
      </c>
      <c r="J54" s="253">
        <f>ROUND(I54*E54,2)</f>
        <v/>
      </c>
    </row>
    <row r="55" hidden="1" outlineLevel="1" ht="14.25" customFormat="1" customHeight="1" s="306">
      <c r="A55" s="370" t="n">
        <v>27</v>
      </c>
      <c r="B55" s="370" t="inlineStr">
        <is>
          <t>01.7.20.04-0003</t>
        </is>
      </c>
      <c r="C55" s="378" t="inlineStr">
        <is>
          <t>Нитки суровые</t>
        </is>
      </c>
      <c r="D55" s="370" t="inlineStr">
        <is>
          <t>кг</t>
        </is>
      </c>
      <c r="E55" s="461" t="n">
        <v>0.01</v>
      </c>
      <c r="F55" s="380" t="n">
        <v>155</v>
      </c>
      <c r="G55" s="253">
        <f>ROUND(E55*F55,2)</f>
        <v/>
      </c>
      <c r="H55" s="252">
        <f>G55/$G$73</f>
        <v/>
      </c>
      <c r="I55" s="253">
        <f>ROUND(F55*'Прил. 10'!$D$13,2)</f>
        <v/>
      </c>
      <c r="J55" s="253">
        <f>ROUND(I55*E55,2)</f>
        <v/>
      </c>
    </row>
    <row r="56" hidden="1" outlineLevel="1" ht="14.25" customFormat="1" customHeight="1" s="306">
      <c r="A56" s="370" t="n">
        <v>28</v>
      </c>
      <c r="B56" s="370" t="inlineStr">
        <is>
          <t>01.7.15.07-0014</t>
        </is>
      </c>
      <c r="C56" s="378" t="inlineStr">
        <is>
          <t>Дюбели распорные полипропиленовые</t>
        </is>
      </c>
      <c r="D56" s="370" t="inlineStr">
        <is>
          <t>100 шт</t>
        </is>
      </c>
      <c r="E56" s="461" t="n">
        <v>0.014</v>
      </c>
      <c r="F56" s="380" t="n">
        <v>86</v>
      </c>
      <c r="G56" s="253">
        <f>ROUND(E56*F56,2)</f>
        <v/>
      </c>
      <c r="H56" s="252">
        <f>G56/$G$73</f>
        <v/>
      </c>
      <c r="I56" s="253">
        <f>ROUND(F56*'Прил. 10'!$D$13,2)</f>
        <v/>
      </c>
      <c r="J56" s="253">
        <f>ROUND(I56*E56,2)</f>
        <v/>
      </c>
    </row>
    <row r="57" hidden="1" outlineLevel="1" ht="38.25" customFormat="1" customHeight="1" s="306">
      <c r="A57" s="370" t="n">
        <v>29</v>
      </c>
      <c r="B57" s="370" t="inlineStr">
        <is>
          <t>11.1.03.05-0085</t>
        </is>
      </c>
      <c r="C57" s="378" t="inlineStr">
        <is>
          <t>Доска необрезная, хвойных пород, длина 4-6,5 м, все ширины, толщина 44 мм и более, сорт III</t>
        </is>
      </c>
      <c r="D57" s="370" t="inlineStr">
        <is>
          <t>м3</t>
        </is>
      </c>
      <c r="E57" s="461" t="n">
        <v>0.0015</v>
      </c>
      <c r="F57" s="380" t="n">
        <v>684</v>
      </c>
      <c r="G57" s="253">
        <f>ROUND(E57*F57,2)</f>
        <v/>
      </c>
      <c r="H57" s="252">
        <f>G57/$G$73</f>
        <v/>
      </c>
      <c r="I57" s="253">
        <f>ROUND(F57*'Прил. 10'!$D$13,2)</f>
        <v/>
      </c>
      <c r="J57" s="253">
        <f>ROUND(I57*E57,2)</f>
        <v/>
      </c>
    </row>
    <row r="58" hidden="1" outlineLevel="1" ht="25.5" customFormat="1" customHeight="1" s="306">
      <c r="A58" s="370" t="n">
        <v>30</v>
      </c>
      <c r="B58" s="370" t="inlineStr">
        <is>
          <t>01.7.15.03-0031</t>
        </is>
      </c>
      <c r="C58" s="378" t="inlineStr">
        <is>
          <t>Болты с гайками и шайбами оцинкованные, диаметр 6 мм</t>
        </is>
      </c>
      <c r="D58" s="370" t="inlineStr">
        <is>
          <t>кг</t>
        </is>
      </c>
      <c r="E58" s="461" t="n">
        <v>0.035</v>
      </c>
      <c r="F58" s="380" t="n">
        <v>28.22</v>
      </c>
      <c r="G58" s="253">
        <f>ROUND(E58*F58,2)</f>
        <v/>
      </c>
      <c r="H58" s="252">
        <f>G58/$G$73</f>
        <v/>
      </c>
      <c r="I58" s="253">
        <f>ROUND(F58*'Прил. 10'!$D$13,2)</f>
        <v/>
      </c>
      <c r="J58" s="253">
        <f>ROUND(I58*E58,2)</f>
        <v/>
      </c>
    </row>
    <row r="59" hidden="1" outlineLevel="1" ht="51" customFormat="1" customHeight="1" s="306">
      <c r="A59" s="370" t="n">
        <v>31</v>
      </c>
      <c r="B59" s="370" t="inlineStr">
        <is>
          <t>23.3.06.04-0006</t>
        </is>
      </c>
      <c r="C59" s="37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59" s="370" t="inlineStr">
        <is>
          <t>м</t>
        </is>
      </c>
      <c r="E59" s="461" t="n">
        <v>0.08</v>
      </c>
      <c r="F59" s="380" t="n">
        <v>11.5</v>
      </c>
      <c r="G59" s="253">
        <f>ROUND(E59*F59,2)</f>
        <v/>
      </c>
      <c r="H59" s="252">
        <f>G59/$G$73</f>
        <v/>
      </c>
      <c r="I59" s="253">
        <f>ROUND(F59*'Прил. 10'!$D$13,2)</f>
        <v/>
      </c>
      <c r="J59" s="253">
        <f>ROUND(I59*E59,2)</f>
        <v/>
      </c>
    </row>
    <row r="60" hidden="1" outlineLevel="1" ht="25.5" customFormat="1" customHeight="1" s="306">
      <c r="A60" s="370" t="n">
        <v>32</v>
      </c>
      <c r="B60" s="370" t="inlineStr">
        <is>
          <t>10.3.02.03-0011</t>
        </is>
      </c>
      <c r="C60" s="378" t="inlineStr">
        <is>
          <t>Припои оловянно-свинцовые бессурьмянистые, марка ПОС30</t>
        </is>
      </c>
      <c r="D60" s="370" t="inlineStr">
        <is>
          <t>т</t>
        </is>
      </c>
      <c r="E60" s="461" t="n">
        <v>1.3e-05</v>
      </c>
      <c r="F60" s="380" t="n">
        <v>68050</v>
      </c>
      <c r="G60" s="253">
        <f>ROUND(E60*F60,2)</f>
        <v/>
      </c>
      <c r="H60" s="252">
        <f>G60/$G$73</f>
        <v/>
      </c>
      <c r="I60" s="253">
        <f>ROUND(F60*'Прил. 10'!$D$13,2)</f>
        <v/>
      </c>
      <c r="J60" s="253">
        <f>ROUND(I60*E60,2)</f>
        <v/>
      </c>
    </row>
    <row r="61" hidden="1" outlineLevel="1" ht="25.5" customFormat="1" customHeight="1" s="306">
      <c r="A61" s="370" t="n">
        <v>33</v>
      </c>
      <c r="B61" s="370" t="inlineStr">
        <is>
          <t>10.3.02.03-0012</t>
        </is>
      </c>
      <c r="C61" s="378" t="inlineStr">
        <is>
          <t>Припои оловянно-свинцовые бессурьмянистые, марка ПОС40</t>
        </is>
      </c>
      <c r="D61" s="370" t="inlineStr">
        <is>
          <t>т</t>
        </is>
      </c>
      <c r="E61" s="461" t="n">
        <v>1e-05</v>
      </c>
      <c r="F61" s="380" t="n">
        <v>65750</v>
      </c>
      <c r="G61" s="253">
        <f>ROUND(E61*F61,2)</f>
        <v/>
      </c>
      <c r="H61" s="252">
        <f>G61/$G$73</f>
        <v/>
      </c>
      <c r="I61" s="253">
        <f>ROUND(F61*'Прил. 10'!$D$13,2)</f>
        <v/>
      </c>
      <c r="J61" s="253">
        <f>ROUND(I61*E61,2)</f>
        <v/>
      </c>
    </row>
    <row r="62" hidden="1" outlineLevel="1" ht="14.25" customFormat="1" customHeight="1" s="306">
      <c r="A62" s="370" t="n">
        <v>34</v>
      </c>
      <c r="B62" s="370" t="inlineStr">
        <is>
          <t>14.4.03.17-0011</t>
        </is>
      </c>
      <c r="C62" s="378" t="inlineStr">
        <is>
          <t>Лак электроизоляционный 318</t>
        </is>
      </c>
      <c r="D62" s="370" t="inlineStr">
        <is>
          <t>кг</t>
        </is>
      </c>
      <c r="E62" s="461" t="n">
        <v>0.016</v>
      </c>
      <c r="F62" s="380" t="n">
        <v>35.63</v>
      </c>
      <c r="G62" s="253">
        <f>ROUND(E62*F62,2)</f>
        <v/>
      </c>
      <c r="H62" s="252">
        <f>G62/$G$73</f>
        <v/>
      </c>
      <c r="I62" s="253">
        <f>ROUND(F62*'Прил. 10'!$D$13,2)</f>
        <v/>
      </c>
      <c r="J62" s="253">
        <f>ROUND(I62*E62,2)</f>
        <v/>
      </c>
    </row>
    <row r="63" hidden="1" outlineLevel="1" ht="38.25" customFormat="1" customHeight="1" s="306">
      <c r="A63" s="370" t="n">
        <v>35</v>
      </c>
      <c r="B63" s="370" t="inlineStr">
        <is>
          <t>01.7.06.05-0042</t>
        </is>
      </c>
      <c r="C63" s="378" t="inlineStr">
        <is>
          <t>Лента липкая изоляционная на поликасиновом компаунде, ширина 20-30 мм, толщина от 0,14 до 0,19 мм</t>
        </is>
      </c>
      <c r="D63" s="370" t="inlineStr">
        <is>
          <t>кг</t>
        </is>
      </c>
      <c r="E63" s="461" t="n">
        <v>0.005</v>
      </c>
      <c r="F63" s="380" t="n">
        <v>91.29000000000001</v>
      </c>
      <c r="G63" s="253">
        <f>ROUND(E63*F63,2)</f>
        <v/>
      </c>
      <c r="H63" s="252">
        <f>G63/$G$73</f>
        <v/>
      </c>
      <c r="I63" s="253">
        <f>ROUND(F63*'Прил. 10'!$D$13,2)</f>
        <v/>
      </c>
      <c r="J63" s="253">
        <f>ROUND(I63*E63,2)</f>
        <v/>
      </c>
    </row>
    <row r="64" hidden="1" outlineLevel="1" ht="38.25" customFormat="1" customHeight="1" s="306">
      <c r="A64" s="370" t="n">
        <v>36</v>
      </c>
      <c r="B64" s="370" t="inlineStr">
        <is>
          <t>01.7.06.05-0041</t>
        </is>
      </c>
      <c r="C64" s="378" t="inlineStr">
        <is>
          <t>Лента изоляционная прорезиненная односторонняя, ширина 20 мм, толщина 0,25-0,35 мм</t>
        </is>
      </c>
      <c r="D64" s="370" t="inlineStr">
        <is>
          <t>кг</t>
        </is>
      </c>
      <c r="E64" s="461" t="n">
        <v>0.012</v>
      </c>
      <c r="F64" s="380" t="n">
        <v>30.4</v>
      </c>
      <c r="G64" s="253">
        <f>ROUND(E64*F64,2)</f>
        <v/>
      </c>
      <c r="H64" s="252">
        <f>G64/$G$73</f>
        <v/>
      </c>
      <c r="I64" s="253">
        <f>ROUND(F64*'Прил. 10'!$D$13,2)</f>
        <v/>
      </c>
      <c r="J64" s="253">
        <f>ROUND(I64*E64,2)</f>
        <v/>
      </c>
    </row>
    <row r="65" hidden="1" outlineLevel="1" ht="14.25" customFormat="1" customHeight="1" s="306">
      <c r="A65" s="370" t="n">
        <v>37</v>
      </c>
      <c r="B65" s="370" t="inlineStr">
        <is>
          <t>01.3.01.02-0002</t>
        </is>
      </c>
      <c r="C65" s="378" t="inlineStr">
        <is>
          <t>Вазелин технический</t>
        </is>
      </c>
      <c r="D65" s="370" t="inlineStr">
        <is>
          <t>кг</t>
        </is>
      </c>
      <c r="E65" s="461" t="n">
        <v>0.006</v>
      </c>
      <c r="F65" s="380" t="n">
        <v>44.97</v>
      </c>
      <c r="G65" s="253">
        <f>ROUND(E65*F65,2)</f>
        <v/>
      </c>
      <c r="H65" s="252">
        <f>G65/$G$73</f>
        <v/>
      </c>
      <c r="I65" s="253">
        <f>ROUND(F65*'Прил. 10'!$D$13,2)</f>
        <v/>
      </c>
      <c r="J65" s="253">
        <f>ROUND(I65*E65,2)</f>
        <v/>
      </c>
    </row>
    <row r="66" hidden="1" outlineLevel="1" ht="14.25" customFormat="1" customHeight="1" s="306">
      <c r="A66" s="370" t="n">
        <v>38</v>
      </c>
      <c r="B66" s="370" t="inlineStr">
        <is>
          <t>01.7.06.07-0001</t>
        </is>
      </c>
      <c r="C66" s="378" t="inlineStr">
        <is>
          <t>Лента К226</t>
        </is>
      </c>
      <c r="D66" s="370" t="inlineStr">
        <is>
          <t>100 м</t>
        </is>
      </c>
      <c r="E66" s="461" t="n">
        <v>0.0012</v>
      </c>
      <c r="F66" s="380" t="n">
        <v>120</v>
      </c>
      <c r="G66" s="253">
        <f>ROUND(E66*F66,2)</f>
        <v/>
      </c>
      <c r="H66" s="252">
        <f>G66/$G$73</f>
        <v/>
      </c>
      <c r="I66" s="253">
        <f>ROUND(F66*'Прил. 10'!$D$13,2)</f>
        <v/>
      </c>
      <c r="J66" s="253">
        <f>ROUND(I66*E66,2)</f>
        <v/>
      </c>
    </row>
    <row r="67" hidden="1" outlineLevel="1" ht="14.25" customFormat="1" customHeight="1" s="306">
      <c r="A67" s="370" t="n">
        <v>39</v>
      </c>
      <c r="B67" s="370" t="inlineStr">
        <is>
          <t>01.7.20.04-0005</t>
        </is>
      </c>
      <c r="C67" s="378" t="inlineStr">
        <is>
          <t>Нитки швейные</t>
        </is>
      </c>
      <c r="D67" s="370" t="inlineStr">
        <is>
          <t>кг</t>
        </is>
      </c>
      <c r="E67" s="461" t="n">
        <v>0.001</v>
      </c>
      <c r="F67" s="380" t="n">
        <v>133.05</v>
      </c>
      <c r="G67" s="253">
        <f>ROUND(E67*F67,2)</f>
        <v/>
      </c>
      <c r="H67" s="252">
        <f>G67/$G$73</f>
        <v/>
      </c>
      <c r="I67" s="253">
        <f>ROUND(F67*'Прил. 10'!$D$13,2)</f>
        <v/>
      </c>
      <c r="J67" s="253">
        <f>ROUND(I67*E67,2)</f>
        <v/>
      </c>
    </row>
    <row r="68" hidden="1" outlineLevel="1" ht="25.5" customFormat="1" customHeight="1" s="306">
      <c r="A68" s="370" t="n">
        <v>40</v>
      </c>
      <c r="B68" s="370" t="inlineStr">
        <is>
          <t>01.7.19.04-0031</t>
        </is>
      </c>
      <c r="C68" s="378" t="inlineStr">
        <is>
          <t>Прокладки резиновые (пластина техническая прессованная)</t>
        </is>
      </c>
      <c r="D68" s="370" t="inlineStr">
        <is>
          <t>кг</t>
        </is>
      </c>
      <c r="E68" s="461" t="n">
        <v>0.005</v>
      </c>
      <c r="F68" s="380" t="n">
        <v>23.09</v>
      </c>
      <c r="G68" s="253">
        <f>ROUND(E68*F68,2)</f>
        <v/>
      </c>
      <c r="H68" s="252">
        <f>G68/$G$73</f>
        <v/>
      </c>
      <c r="I68" s="253">
        <f>ROUND(F68*'Прил. 10'!$D$13,2)</f>
        <v/>
      </c>
      <c r="J68" s="253">
        <f>ROUND(I68*E68,2)</f>
        <v/>
      </c>
    </row>
    <row r="69" hidden="1" outlineLevel="1" ht="14.25" customFormat="1" customHeight="1" s="306">
      <c r="A69" s="370" t="n">
        <v>41</v>
      </c>
      <c r="B69" s="370" t="inlineStr">
        <is>
          <t>01.7.07.29-0194</t>
        </is>
      </c>
      <c r="C69" s="378" t="inlineStr">
        <is>
          <t>Состав органосиликатный</t>
        </is>
      </c>
      <c r="D69" s="370" t="inlineStr">
        <is>
          <t>кг</t>
        </is>
      </c>
      <c r="E69" s="461" t="n">
        <v>0.001</v>
      </c>
      <c r="F69" s="380" t="n">
        <v>23.17</v>
      </c>
      <c r="G69" s="253">
        <f>ROUND(E69*F69,2)</f>
        <v/>
      </c>
      <c r="H69" s="252">
        <f>G69/$G$73</f>
        <v/>
      </c>
      <c r="I69" s="253">
        <f>ROUND(F69*'Прил. 10'!$D$13,2)</f>
        <v/>
      </c>
      <c r="J69" s="253">
        <f>ROUND(I69*E69,2)</f>
        <v/>
      </c>
    </row>
    <row r="70" hidden="1" outlineLevel="1" ht="14.25" customFormat="1" customHeight="1" s="306">
      <c r="A70" s="370" t="n">
        <v>42</v>
      </c>
      <c r="B70" s="370" t="inlineStr">
        <is>
          <t>01.7.03.04-0001</t>
        </is>
      </c>
      <c r="C70" s="378" t="inlineStr">
        <is>
          <t>Электроэнергия</t>
        </is>
      </c>
      <c r="D70" s="370" t="inlineStr">
        <is>
          <t>кВт-ч</t>
        </is>
      </c>
      <c r="E70" s="461" t="n">
        <v>0.06</v>
      </c>
      <c r="F70" s="380" t="n">
        <v>0.4</v>
      </c>
      <c r="G70" s="253">
        <f>ROUND(E70*F70,2)</f>
        <v/>
      </c>
      <c r="H70" s="252">
        <f>G70/$G$73</f>
        <v/>
      </c>
      <c r="I70" s="253">
        <f>ROUND(F70*'Прил. 10'!$D$13,2)</f>
        <v/>
      </c>
      <c r="J70" s="253">
        <f>ROUND(I70*E70,2)</f>
        <v/>
      </c>
    </row>
    <row r="71" hidden="1" outlineLevel="1" ht="14.25" customFormat="1" customHeight="1" s="306">
      <c r="A71" s="370" t="n">
        <v>43</v>
      </c>
      <c r="B71" s="370" t="inlineStr">
        <is>
          <t>01.7.02.09-0002</t>
        </is>
      </c>
      <c r="C71" s="378" t="inlineStr">
        <is>
          <t>Шпагат бумажный</t>
        </is>
      </c>
      <c r="D71" s="370" t="inlineStr">
        <is>
          <t>кг</t>
        </is>
      </c>
      <c r="E71" s="461" t="n">
        <v>0.001</v>
      </c>
      <c r="F71" s="380" t="n">
        <v>11.5</v>
      </c>
      <c r="G71" s="253">
        <f>ROUND(E71*F71,2)</f>
        <v/>
      </c>
      <c r="H71" s="252">
        <f>G71/$G$73</f>
        <v/>
      </c>
      <c r="I71" s="253">
        <f>ROUND(F71*'Прил. 10'!$D$13,2)</f>
        <v/>
      </c>
      <c r="J71" s="253">
        <f>ROUND(I71*E71,2)</f>
        <v/>
      </c>
    </row>
    <row r="72" collapsed="1" ht="14.25" customFormat="1" customHeight="1" s="306">
      <c r="A72" s="370" t="n"/>
      <c r="B72" s="370" t="n"/>
      <c r="C72" s="378" t="inlineStr">
        <is>
          <t>Итого прочие материалы</t>
        </is>
      </c>
      <c r="D72" s="370" t="n"/>
      <c r="E72" s="379" t="n"/>
      <c r="F72" s="380" t="n"/>
      <c r="G72" s="253">
        <f>SUM(G49:G71)</f>
        <v/>
      </c>
      <c r="H72" s="252">
        <f>G72/$G$73</f>
        <v/>
      </c>
      <c r="I72" s="253" t="n"/>
      <c r="J72" s="253">
        <f>SUM(J49:J71)</f>
        <v/>
      </c>
    </row>
    <row r="73" ht="14.25" customFormat="1" customHeight="1" s="306">
      <c r="A73" s="370" t="n"/>
      <c r="B73" s="370" t="n"/>
      <c r="C73" s="359" t="inlineStr">
        <is>
          <t>Итого по разделу «Материалы»</t>
        </is>
      </c>
      <c r="D73" s="370" t="n"/>
      <c r="E73" s="379" t="n"/>
      <c r="F73" s="380" t="n"/>
      <c r="G73" s="253">
        <f>G48+G72</f>
        <v/>
      </c>
      <c r="H73" s="381">
        <f>G73/$G$73</f>
        <v/>
      </c>
      <c r="I73" s="253" t="n"/>
      <c r="J73" s="253">
        <f>J48+J72</f>
        <v/>
      </c>
    </row>
    <row r="74" ht="14.25" customFormat="1" customHeight="1" s="306">
      <c r="A74" s="370" t="n"/>
      <c r="B74" s="370" t="n"/>
      <c r="C74" s="378" t="inlineStr">
        <is>
          <t>ИТОГО ПО РМ</t>
        </is>
      </c>
      <c r="D74" s="370" t="n"/>
      <c r="E74" s="379" t="n"/>
      <c r="F74" s="380" t="n"/>
      <c r="G74" s="253">
        <f>G16+G31+G73</f>
        <v/>
      </c>
      <c r="H74" s="381" t="n"/>
      <c r="I74" s="253" t="n"/>
      <c r="J74" s="253">
        <f>J16+J31+J73</f>
        <v/>
      </c>
    </row>
    <row r="75" ht="14.25" customFormat="1" customHeight="1" s="306">
      <c r="A75" s="370" t="n"/>
      <c r="B75" s="370" t="n"/>
      <c r="C75" s="378" t="inlineStr">
        <is>
          <t>Накладные расходы</t>
        </is>
      </c>
      <c r="D75" s="173">
        <f>ROUND(G75/(G$18+$G$16),2)</f>
        <v/>
      </c>
      <c r="E75" s="379" t="n"/>
      <c r="F75" s="380" t="n"/>
      <c r="G75" s="253" t="n">
        <v>464</v>
      </c>
      <c r="H75" s="381" t="n"/>
      <c r="I75" s="253" t="n"/>
      <c r="J75" s="253">
        <f>ROUND(D75*(J16+J18),2)</f>
        <v/>
      </c>
    </row>
    <row r="76" ht="14.25" customFormat="1" customHeight="1" s="306">
      <c r="A76" s="370" t="n"/>
      <c r="B76" s="370" t="n"/>
      <c r="C76" s="378" t="inlineStr">
        <is>
          <t>Сметная прибыль</t>
        </is>
      </c>
      <c r="D76" s="173">
        <f>ROUND(G76/(G$16+G$18),2)</f>
        <v/>
      </c>
      <c r="E76" s="379" t="n"/>
      <c r="F76" s="380" t="n"/>
      <c r="G76" s="253" t="n">
        <v>334.02</v>
      </c>
      <c r="H76" s="381" t="n"/>
      <c r="I76" s="253" t="n"/>
      <c r="J76" s="253">
        <f>ROUND(D76*(J16+J18),2)</f>
        <v/>
      </c>
    </row>
    <row r="77" ht="14.25" customFormat="1" customHeight="1" s="306">
      <c r="A77" s="370" t="n"/>
      <c r="B77" s="370" t="n"/>
      <c r="C77" s="378" t="inlineStr">
        <is>
          <t>Итого СМР (с НР и СП)</t>
        </is>
      </c>
      <c r="D77" s="370" t="n"/>
      <c r="E77" s="379" t="n"/>
      <c r="F77" s="380" t="n"/>
      <c r="G77" s="253">
        <f>G16+G31+G73+G75+G76</f>
        <v/>
      </c>
      <c r="H77" s="381" t="n"/>
      <c r="I77" s="253" t="n"/>
      <c r="J77" s="253">
        <f>J16+J31+J73+J75+J76</f>
        <v/>
      </c>
    </row>
    <row r="78" ht="14.25" customFormat="1" customHeight="1" s="306">
      <c r="A78" s="370" t="n"/>
      <c r="B78" s="370" t="n"/>
      <c r="C78" s="378" t="inlineStr">
        <is>
          <t>ВСЕГО СМР + ОБОРУДОВАНИЕ</t>
        </is>
      </c>
      <c r="D78" s="370" t="n"/>
      <c r="E78" s="379" t="n"/>
      <c r="F78" s="380" t="n"/>
      <c r="G78" s="253">
        <f>G77+G38</f>
        <v/>
      </c>
      <c r="H78" s="381" t="n"/>
      <c r="I78" s="253" t="n"/>
      <c r="J78" s="253">
        <f>J77+J38</f>
        <v/>
      </c>
    </row>
    <row r="79" ht="34.5" customFormat="1" customHeight="1" s="306">
      <c r="A79" s="370" t="n"/>
      <c r="B79" s="370" t="n"/>
      <c r="C79" s="378" t="inlineStr">
        <is>
          <t>ИТОГО ПОКАЗАТЕЛЬ НА ЕД. ИЗМ.</t>
        </is>
      </c>
      <c r="D79" s="370" t="inlineStr">
        <is>
          <t>ед.</t>
        </is>
      </c>
      <c r="E79" s="465" t="n">
        <v>1</v>
      </c>
      <c r="F79" s="380" t="n"/>
      <c r="G79" s="253">
        <f>G78/E79</f>
        <v/>
      </c>
      <c r="H79" s="381" t="n"/>
      <c r="I79" s="253" t="n"/>
      <c r="J79" s="253">
        <f>J78/E79</f>
        <v/>
      </c>
    </row>
    <row r="81" ht="14.25" customFormat="1" customHeight="1" s="306">
      <c r="A81" s="296" t="inlineStr">
        <is>
          <t>Составил ______________________    Д.Ю. Нефедова</t>
        </is>
      </c>
    </row>
    <row r="82" ht="14.25" customFormat="1" customHeight="1" s="306">
      <c r="A82" s="305" t="inlineStr">
        <is>
          <t xml:space="preserve">                         (подпись, инициалы, фамилия)</t>
        </is>
      </c>
      <c r="G82" s="284" t="n"/>
    </row>
    <row r="83" ht="14.25" customFormat="1" customHeight="1" s="306">
      <c r="A83" s="296" t="n"/>
    </row>
    <row r="84" ht="14.25" customFormat="1" customHeight="1" s="306">
      <c r="A84" s="296" t="inlineStr">
        <is>
          <t>Проверил ______________________        А.В. Костянецкая</t>
        </is>
      </c>
    </row>
    <row r="85" ht="14.25" customFormat="1" customHeight="1" s="306">
      <c r="A85" s="30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9:B10"/>
    <mergeCell ref="D9:D10"/>
    <mergeCell ref="B12:H12"/>
    <mergeCell ref="D6:J6"/>
    <mergeCell ref="A8:H8"/>
    <mergeCell ref="F9:G9"/>
    <mergeCell ref="B17:H17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B17" sqref="B17"/>
    </sheetView>
  </sheetViews>
  <sheetFormatPr baseColWidth="8" defaultRowHeight="15"/>
  <cols>
    <col width="5.7109375" customWidth="1" style="308" min="1" max="1"/>
    <col width="17.5703125" customWidth="1" style="308" min="2" max="2"/>
    <col width="39.140625" customWidth="1" style="308" min="3" max="3"/>
    <col width="10.7109375" customWidth="1" style="308" min="4" max="4"/>
    <col width="13.85546875" customWidth="1" style="308" min="5" max="5"/>
    <col width="13.28515625" customWidth="1" style="308" min="6" max="6"/>
    <col width="14.140625" customWidth="1" style="308" min="7" max="7"/>
  </cols>
  <sheetData>
    <row r="1">
      <c r="A1" s="386" t="inlineStr">
        <is>
          <t>Приложение №6</t>
        </is>
      </c>
    </row>
    <row r="2" ht="21.75" customHeight="1" s="308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7" customHeight="1" s="308">
      <c r="A4" s="347" t="inlineStr">
        <is>
          <t>Наименование разрабатываемого показателя УНЦ — Установка 3-ф ПУ трансформаторного включения в шкафу учета с ТТ и ТН (с догрузочными резисторами)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8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8">
      <c r="A9" s="230" t="n"/>
      <c r="B9" s="378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08">
      <c r="A10" s="370" t="n"/>
      <c r="B10" s="359" t="n"/>
      <c r="C10" s="378" t="inlineStr">
        <is>
          <t>ИТОГО ИНЖЕНЕРНОЕ ОБОРУДОВАНИЕ</t>
        </is>
      </c>
      <c r="D10" s="359" t="n"/>
      <c r="E10" s="169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>
      <c r="A12" s="370" t="n">
        <v>1</v>
      </c>
      <c r="B12" s="378">
        <f>'Прил.5 Расчет СМР и ОБ'!B34</f>
        <v/>
      </c>
      <c r="C12" s="378">
        <f>'Прил.5 Расчет СМР и ОБ'!C34</f>
        <v/>
      </c>
      <c r="D12" s="378">
        <f>'Прил.5 Расчет СМР и ОБ'!D34</f>
        <v/>
      </c>
      <c r="E12" s="378">
        <f>'Прил.5 Расчет СМР и ОБ'!E34</f>
        <v/>
      </c>
      <c r="F12" s="378">
        <f>'Прил.5 Расчет СМР и ОБ'!F34</f>
        <v/>
      </c>
      <c r="G12" s="380">
        <f>ROUND(E12*F12,2)</f>
        <v/>
      </c>
    </row>
    <row r="13" ht="25.5" customHeight="1" s="308">
      <c r="A13" s="370" t="n">
        <v>2</v>
      </c>
      <c r="B13" s="378">
        <f>'Прил.5 Расчет СМР и ОБ'!B35</f>
        <v/>
      </c>
      <c r="C13" s="378">
        <f>'Прил.5 Расчет СМР и ОБ'!C35</f>
        <v/>
      </c>
      <c r="D13" s="378">
        <f>'Прил.5 Расчет СМР и ОБ'!D35</f>
        <v/>
      </c>
      <c r="E13" s="378">
        <f>'Прил.5 Расчет СМР и ОБ'!E35</f>
        <v/>
      </c>
      <c r="F13" s="378">
        <f>'Прил.5 Расчет СМР и ОБ'!F35</f>
        <v/>
      </c>
      <c r="G13" s="380">
        <f>ROUND(E13*F13,2)</f>
        <v/>
      </c>
    </row>
    <row r="14" ht="25.5" customHeight="1" s="308">
      <c r="A14" s="370" t="n"/>
      <c r="B14" s="378" t="n"/>
      <c r="C14" s="378" t="inlineStr">
        <is>
          <t>ИТОГО ТЕХНОЛОГИЧЕСКОЕ ОБОРУДОВАНИЕ</t>
        </is>
      </c>
      <c r="D14" s="378" t="n"/>
      <c r="E14" s="390" t="n"/>
      <c r="F14" s="380" t="n"/>
      <c r="G14" s="253">
        <f>SUM(G12:G13)</f>
        <v/>
      </c>
    </row>
    <row r="15" ht="19.5" customHeight="1" s="308">
      <c r="A15" s="370" t="n"/>
      <c r="B15" s="378" t="n"/>
      <c r="C15" s="378" t="inlineStr">
        <is>
          <t>Всего по разделу «Оборудование»</t>
        </is>
      </c>
      <c r="D15" s="378" t="n"/>
      <c r="E15" s="390" t="n"/>
      <c r="F15" s="380" t="n"/>
      <c r="G15" s="253">
        <f>G10+G14</f>
        <v/>
      </c>
    </row>
    <row r="16">
      <c r="A16" s="307" t="n"/>
      <c r="B16" s="302" t="n"/>
      <c r="C16" s="307" t="n"/>
      <c r="D16" s="307" t="n"/>
      <c r="E16" s="307" t="n"/>
      <c r="F16" s="307" t="n"/>
      <c r="G16" s="307" t="n"/>
    </row>
    <row r="17">
      <c r="A17" s="296" t="inlineStr">
        <is>
          <t>Составил ______________________    Д.Ю. Нефедова</t>
        </is>
      </c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 xml:space="preserve">                         (подпись, инициалы, фамилия)</t>
        </is>
      </c>
      <c r="B18" s="306" t="n"/>
      <c r="C18" s="306" t="n"/>
      <c r="D18" s="307" t="n"/>
      <c r="E18" s="307" t="n"/>
      <c r="F18" s="307" t="n"/>
      <c r="G18" s="307" t="n"/>
    </row>
    <row r="19">
      <c r="A19" s="296" t="n"/>
      <c r="B19" s="306" t="n"/>
      <c r="C19" s="306" t="n"/>
      <c r="D19" s="307" t="n"/>
      <c r="E19" s="307" t="n"/>
      <c r="F19" s="307" t="n"/>
      <c r="G19" s="307" t="n"/>
    </row>
    <row r="20">
      <c r="A20" s="296" t="inlineStr">
        <is>
          <t>Проверил ______________________        А.В. Костянецкая</t>
        </is>
      </c>
      <c r="B20" s="306" t="n"/>
      <c r="C20" s="306" t="n"/>
      <c r="D20" s="307" t="n"/>
      <c r="E20" s="307" t="n"/>
      <c r="F20" s="307" t="n"/>
      <c r="G20" s="307" t="n"/>
    </row>
    <row r="21">
      <c r="A21" s="305" t="inlineStr">
        <is>
          <t xml:space="preserve">                        (подпись, инициалы, фамилия)</t>
        </is>
      </c>
      <c r="B21" s="306" t="n"/>
      <c r="C21" s="306" t="n"/>
      <c r="D21" s="307" t="n"/>
      <c r="E21" s="307" t="n"/>
      <c r="F21" s="307" t="n"/>
      <c r="G21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8" min="1" max="1"/>
    <col width="29.7109375" customWidth="1" style="308" min="2" max="2"/>
    <col width="39.140625" customWidth="1" style="308" min="3" max="3"/>
    <col width="24.5703125" customWidth="1" style="308" min="4" max="4"/>
    <col width="8.85546875" customWidth="1" style="308" min="5" max="5"/>
  </cols>
  <sheetData>
    <row r="1">
      <c r="B1" s="296" t="n"/>
      <c r="C1" s="296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08">
      <c r="A3" s="344" t="inlineStr">
        <is>
          <t>Расчет показателя УНЦ</t>
        </is>
      </c>
    </row>
    <row r="4" ht="24.75" customHeight="1" s="308">
      <c r="A4" s="344" t="n"/>
      <c r="B4" s="344" t="n"/>
      <c r="C4" s="344" t="n"/>
      <c r="D4" s="344" t="n"/>
    </row>
    <row r="5" ht="24.6" customHeight="1" s="308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" customHeight="1" s="308">
      <c r="A6" s="347" t="inlineStr">
        <is>
          <t>Единица измерения  — 1 ед</t>
        </is>
      </c>
      <c r="D6" s="347" t="n"/>
    </row>
    <row r="7">
      <c r="A7" s="296" t="n"/>
      <c r="B7" s="296" t="n"/>
      <c r="C7" s="296" t="n"/>
      <c r="D7" s="296" t="n"/>
    </row>
    <row r="8" ht="14.45" customHeight="1" s="30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08">
      <c r="A9" s="451" t="n"/>
      <c r="B9" s="451" t="n"/>
      <c r="C9" s="451" t="n"/>
      <c r="D9" s="451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08">
      <c r="A11" s="370" t="inlineStr">
        <is>
          <t>А1-47</t>
        </is>
      </c>
      <c r="B11" s="370" t="inlineStr">
        <is>
          <t>УНЦ ИИК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Д.Ю. Нефедова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8" min="1" max="1"/>
    <col width="40.7109375" customWidth="1" style="308" min="2" max="2"/>
    <col width="37.5703125" customWidth="1" style="308" min="3" max="3"/>
    <col width="32" customWidth="1" style="308" min="4" max="4"/>
    <col width="9.140625" customWidth="1" style="308" min="5" max="5"/>
  </cols>
  <sheetData>
    <row r="4" ht="15.75" customHeight="1" s="308">
      <c r="B4" s="351" t="inlineStr">
        <is>
          <t>Приложение № 10</t>
        </is>
      </c>
    </row>
    <row r="5" ht="18.75" customHeight="1" s="308">
      <c r="B5" s="153" t="n"/>
    </row>
    <row r="6" ht="15.75" customHeight="1" s="308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0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08">
      <c r="B10" s="357" t="n">
        <v>1</v>
      </c>
      <c r="C10" s="357" t="n">
        <v>2</v>
      </c>
      <c r="D10" s="357" t="n">
        <v>3</v>
      </c>
    </row>
    <row r="11" ht="45" customHeight="1" s="30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0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0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08">
      <c r="B14" s="357" t="inlineStr">
        <is>
          <t>Индекс изменения сметной стоимости на 1 квартал 2023 года. ОБ</t>
        </is>
      </c>
      <c r="C14" s="282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0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5" customHeight="1" s="30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56" t="n">
        <v>0.002</v>
      </c>
    </row>
    <row r="19" ht="24" customHeight="1" s="30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56" t="n">
        <v>0.03</v>
      </c>
    </row>
    <row r="20" ht="18.75" customHeight="1" s="308">
      <c r="B20" s="161" t="n"/>
    </row>
    <row r="21" ht="18.75" customHeight="1" s="308">
      <c r="B21" s="161" t="n"/>
    </row>
    <row r="22" ht="18.75" customHeight="1" s="308">
      <c r="B22" s="161" t="n"/>
    </row>
    <row r="23" ht="18.75" customHeight="1" s="308">
      <c r="B23" s="161" t="n"/>
    </row>
    <row r="26">
      <c r="B26" s="296" t="inlineStr">
        <is>
          <t>Составил ______________________        Д.Ю. Нефедова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tabSelected="1" view="pageBreakPreview" topLeftCell="A2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8" min="2" max="2"/>
    <col width="13" customWidth="1" style="308" min="3" max="3"/>
    <col width="22.85546875" customWidth="1" style="308" min="4" max="4"/>
    <col width="21.5703125" customWidth="1" style="308" min="5" max="5"/>
    <col width="53.7109375" bestFit="1" customWidth="1" style="308" min="6" max="6"/>
  </cols>
  <sheetData>
    <row r="1" s="308"/>
    <row r="2" ht="17.25" customHeight="1" s="308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08"/>
    <row r="4" ht="18" customHeight="1" s="308">
      <c r="A4" s="309" t="inlineStr">
        <is>
          <t>Составлен в уровне цен на 01.01.2023 г.</t>
        </is>
      </c>
      <c r="B4" s="310" t="n"/>
      <c r="C4" s="310" t="n"/>
      <c r="D4" s="310" t="n"/>
      <c r="E4" s="310" t="n"/>
      <c r="F4" s="310" t="n"/>
      <c r="G4" s="310" t="n"/>
    </row>
    <row r="5" ht="15.75" customHeight="1" s="308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310" t="n"/>
    </row>
    <row r="6" ht="15.75" customHeight="1" s="308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310" t="n"/>
    </row>
    <row r="7" ht="110.25" customHeight="1" s="308">
      <c r="A7" s="312" t="inlineStr">
        <is>
          <t>1.1</t>
        </is>
      </c>
      <c r="B7" s="3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15" t="n">
        <v>47872.94</v>
      </c>
      <c r="F7" s="3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0" t="n"/>
    </row>
    <row r="8" ht="31.5" customHeight="1" s="308">
      <c r="A8" s="312" t="inlineStr">
        <is>
          <t>1.2</t>
        </is>
      </c>
      <c r="B8" s="31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16">
        <f>1973/12</f>
        <v/>
      </c>
      <c r="F8" s="317" t="inlineStr">
        <is>
          <t>Производственный календарь 2023 год
(40-часов.неделя)</t>
        </is>
      </c>
      <c r="G8" s="319" t="n"/>
    </row>
    <row r="9" ht="15.75" customHeight="1" s="308">
      <c r="A9" s="312" t="inlineStr">
        <is>
          <t>1.3</t>
        </is>
      </c>
      <c r="B9" s="31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16" t="n">
        <v>1</v>
      </c>
      <c r="F9" s="317" t="n"/>
      <c r="G9" s="319" t="n"/>
    </row>
    <row r="10" ht="15.75" customHeight="1" s="308">
      <c r="A10" s="312" t="inlineStr">
        <is>
          <t>1.4</t>
        </is>
      </c>
      <c r="B10" s="317" t="inlineStr">
        <is>
          <t>Средний разряд работ</t>
        </is>
      </c>
      <c r="C10" s="357" t="n"/>
      <c r="D10" s="357" t="n"/>
      <c r="E10" s="466" t="n">
        <v>3.9</v>
      </c>
      <c r="F10" s="317" t="inlineStr">
        <is>
          <t>РТМ</t>
        </is>
      </c>
      <c r="G10" s="319" t="n"/>
    </row>
    <row r="11" ht="78.75" customHeight="1" s="308">
      <c r="A11" s="312" t="inlineStr">
        <is>
          <t>1.5</t>
        </is>
      </c>
      <c r="B11" s="31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7" t="n">
        <v>1.324</v>
      </c>
      <c r="F11" s="3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0" t="n"/>
    </row>
    <row r="12" ht="78.75" customHeight="1" s="308">
      <c r="A12" s="325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68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8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0" t="n"/>
    </row>
    <row r="14" ht="15.75" customHeight="1" s="308">
      <c r="A14" s="440" t="n"/>
      <c r="B14" s="441" t="inlineStr">
        <is>
          <t>Инженер I категории</t>
        </is>
      </c>
      <c r="C14" s="441" t="n"/>
      <c r="D14" s="441" t="n"/>
      <c r="E14" s="441" t="n"/>
      <c r="F14" s="442" t="n"/>
    </row>
    <row r="15" ht="110.25" customHeight="1" s="308">
      <c r="A15" s="312" t="inlineStr">
        <is>
          <t>1.1</t>
        </is>
      </c>
      <c r="B15" s="3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7" t="inlineStr">
        <is>
          <t>С1ср</t>
        </is>
      </c>
      <c r="D15" s="357" t="inlineStr">
        <is>
          <t>-</t>
        </is>
      </c>
      <c r="E15" s="315" t="n">
        <v>47872.94</v>
      </c>
      <c r="F15" s="3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0" t="n"/>
    </row>
    <row r="16" ht="31.5" customHeight="1" s="308">
      <c r="A16" s="312" t="inlineStr">
        <is>
          <t>1.2</t>
        </is>
      </c>
      <c r="B16" s="317" t="inlineStr">
        <is>
          <t>Среднегодовое нормативное число часов работы одного рабочего в месяц, часы (ч.)</t>
        </is>
      </c>
      <c r="C16" s="357" t="inlineStr">
        <is>
          <t>tср</t>
        </is>
      </c>
      <c r="D16" s="357" t="inlineStr">
        <is>
          <t>1973ч/12мес.</t>
        </is>
      </c>
      <c r="E16" s="316">
        <f>1973/12</f>
        <v/>
      </c>
      <c r="F16" s="317" t="inlineStr">
        <is>
          <t>Производственный календарь 2023 год
(40-часов.неделя)</t>
        </is>
      </c>
      <c r="G16" s="319" t="n"/>
    </row>
    <row r="17" ht="15.75" customHeight="1" s="308">
      <c r="A17" s="312" t="inlineStr">
        <is>
          <t>1.3</t>
        </is>
      </c>
      <c r="B17" s="317" t="inlineStr">
        <is>
          <t>Коэффициент увеличения</t>
        </is>
      </c>
      <c r="C17" s="357" t="inlineStr">
        <is>
          <t>Кув</t>
        </is>
      </c>
      <c r="D17" s="357" t="inlineStr">
        <is>
          <t>-</t>
        </is>
      </c>
      <c r="E17" s="316" t="n">
        <v>1</v>
      </c>
      <c r="F17" s="317" t="n"/>
      <c r="G17" s="319" t="n"/>
    </row>
    <row r="18" ht="15.75" customHeight="1" s="308">
      <c r="A18" s="312" t="inlineStr">
        <is>
          <t>1.4</t>
        </is>
      </c>
      <c r="B18" s="317" t="inlineStr">
        <is>
          <t>Средний разряд работ</t>
        </is>
      </c>
      <c r="C18" s="357" t="n"/>
      <c r="D18" s="357" t="n"/>
      <c r="E18" s="466" t="inlineStr">
        <is>
          <t>Инженер I категории</t>
        </is>
      </c>
      <c r="F18" s="317" t="inlineStr">
        <is>
          <t>РТМ</t>
        </is>
      </c>
      <c r="G18" s="319" t="n"/>
    </row>
    <row r="19" ht="78.75" customHeight="1" s="308">
      <c r="A19" s="325" t="inlineStr">
        <is>
          <t>1.5</t>
        </is>
      </c>
      <c r="B19" s="327" t="inlineStr">
        <is>
          <t>Тарифный коэффициент среднего разряда работ</t>
        </is>
      </c>
      <c r="C19" s="358" t="inlineStr">
        <is>
          <t>КТ</t>
        </is>
      </c>
      <c r="D19" s="358" t="inlineStr">
        <is>
          <t>-</t>
        </is>
      </c>
      <c r="E19" s="469" t="n">
        <v>2.15</v>
      </c>
      <c r="F19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0" t="n"/>
    </row>
    <row r="20" ht="78.75" customHeight="1" s="308">
      <c r="A20" s="312" t="inlineStr">
        <is>
          <t>1.6</t>
        </is>
      </c>
      <c r="B20" s="322" t="inlineStr">
        <is>
          <t>Коэффициент инфляции, определяемый поквартально</t>
        </is>
      </c>
      <c r="C20" s="357" t="inlineStr">
        <is>
          <t>Кинф</t>
        </is>
      </c>
      <c r="D20" s="357" t="inlineStr">
        <is>
          <t>-</t>
        </is>
      </c>
      <c r="E20" s="470" t="n">
        <v>1.139</v>
      </c>
      <c r="F20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9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8">
      <c r="A21" s="312" t="inlineStr">
        <is>
          <t>1.7</t>
        </is>
      </c>
      <c r="B21" s="332" t="inlineStr">
        <is>
          <t>Размер средств на оплату труда рабочих-строителей в текущем уровне цен (ФОТр.тек.), руб/чел.-ч</t>
        </is>
      </c>
      <c r="C21" s="357" t="inlineStr">
        <is>
          <t>ФОТр.тек.</t>
        </is>
      </c>
      <c r="D21" s="357" t="inlineStr">
        <is>
          <t>(С1ср/tср*КТ*Т*Кув)*Кинф</t>
        </is>
      </c>
      <c r="E21" s="333">
        <f>((E15*E17/E16)*E19)*E20</f>
        <v/>
      </c>
      <c r="F21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0" t="n"/>
    </row>
    <row r="22" ht="15.75" customHeight="1" s="308">
      <c r="A22" s="328" t="n"/>
      <c r="B22" s="329" t="inlineStr">
        <is>
          <t>Инженер II категории</t>
        </is>
      </c>
      <c r="C22" s="329" t="n"/>
      <c r="D22" s="329" t="n"/>
      <c r="E22" s="329" t="n"/>
      <c r="F22" s="330" t="n"/>
    </row>
    <row r="23" ht="110.25" customHeight="1" s="308">
      <c r="A23" s="312" t="inlineStr">
        <is>
          <t>1.1</t>
        </is>
      </c>
      <c r="B23" s="3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7" t="inlineStr">
        <is>
          <t>С1ср</t>
        </is>
      </c>
      <c r="D23" s="357" t="inlineStr">
        <is>
          <t>-</t>
        </is>
      </c>
      <c r="E23" s="315" t="n">
        <v>47872.94</v>
      </c>
      <c r="F23" s="3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10" t="n"/>
    </row>
    <row r="24" ht="31.5" customHeight="1" s="308">
      <c r="A24" s="312" t="inlineStr">
        <is>
          <t>1.2</t>
        </is>
      </c>
      <c r="B24" s="317" t="inlineStr">
        <is>
          <t>Среднегодовое нормативное число часов работы одного рабочего в месяц, часы (ч.)</t>
        </is>
      </c>
      <c r="C24" s="357" t="inlineStr">
        <is>
          <t>tср</t>
        </is>
      </c>
      <c r="D24" s="357" t="inlineStr">
        <is>
          <t>1973ч/12мес.</t>
        </is>
      </c>
      <c r="E24" s="316">
        <f>1973/12</f>
        <v/>
      </c>
      <c r="F24" s="317" t="inlineStr">
        <is>
          <t>Производственный календарь 2023 год
(40-часов.неделя)</t>
        </is>
      </c>
      <c r="G24" s="319" t="n"/>
    </row>
    <row r="25" ht="15.75" customHeight="1" s="308">
      <c r="A25" s="312" t="inlineStr">
        <is>
          <t>1.3</t>
        </is>
      </c>
      <c r="B25" s="317" t="inlineStr">
        <is>
          <t>Коэффициент увеличения</t>
        </is>
      </c>
      <c r="C25" s="357" t="inlineStr">
        <is>
          <t>Кув</t>
        </is>
      </c>
      <c r="D25" s="357" t="inlineStr">
        <is>
          <t>-</t>
        </is>
      </c>
      <c r="E25" s="316" t="n">
        <v>1</v>
      </c>
      <c r="F25" s="317" t="n"/>
      <c r="G25" s="319" t="n"/>
    </row>
    <row r="26" ht="15.75" customHeight="1" s="308">
      <c r="A26" s="312" t="inlineStr">
        <is>
          <t>1.4</t>
        </is>
      </c>
      <c r="B26" s="317" t="inlineStr">
        <is>
          <t>Средний разряд работ</t>
        </is>
      </c>
      <c r="C26" s="357" t="n"/>
      <c r="D26" s="357" t="n"/>
      <c r="E26" s="466" t="inlineStr">
        <is>
          <t>Инженер II категории</t>
        </is>
      </c>
      <c r="F26" s="317" t="inlineStr">
        <is>
          <t>РТМ</t>
        </is>
      </c>
      <c r="G26" s="319" t="n"/>
    </row>
    <row r="27" ht="78.75" customHeight="1" s="308">
      <c r="A27" s="325" t="inlineStr">
        <is>
          <t>1.5</t>
        </is>
      </c>
      <c r="B27" s="327" t="inlineStr">
        <is>
          <t>Тарифный коэффициент среднего разряда работ</t>
        </is>
      </c>
      <c r="C27" s="358" t="inlineStr">
        <is>
          <t>КТ</t>
        </is>
      </c>
      <c r="D27" s="358" t="inlineStr">
        <is>
          <t>-</t>
        </is>
      </c>
      <c r="E27" s="469" t="n">
        <v>1.96</v>
      </c>
      <c r="F27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10" t="n"/>
    </row>
    <row r="28" ht="78.75" customHeight="1" s="308">
      <c r="A28" s="312" t="inlineStr">
        <is>
          <t>1.6</t>
        </is>
      </c>
      <c r="B28" s="322" t="inlineStr">
        <is>
          <t>Коэффициент инфляции, определяемый поквартально</t>
        </is>
      </c>
      <c r="C28" s="357" t="inlineStr">
        <is>
          <t>Кинф</t>
        </is>
      </c>
      <c r="D28" s="357" t="inlineStr">
        <is>
          <t>-</t>
        </is>
      </c>
      <c r="E28" s="470" t="n">
        <v>1.139</v>
      </c>
      <c r="F28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9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8">
      <c r="A29" s="312" t="inlineStr">
        <is>
          <t>1.7</t>
        </is>
      </c>
      <c r="B29" s="332" t="inlineStr">
        <is>
          <t>Размер средств на оплату труда рабочих-строителей в текущем уровне цен (ФОТр.тек.), руб/чел.-ч</t>
        </is>
      </c>
      <c r="C29" s="357" t="inlineStr">
        <is>
          <t>ФОТр.тек.</t>
        </is>
      </c>
      <c r="D29" s="357" t="inlineStr">
        <is>
          <t>(С1ср/tср*КТ*Т*Кув)*Кинф</t>
        </is>
      </c>
      <c r="E29" s="333">
        <f>((E23*E25/E24)*E27)*E28</f>
        <v/>
      </c>
      <c r="F29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10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2025-01-24T11:52:02Z</dcterms:modified>
  <cp:lastModifiedBy>Николай Трофименко</cp:lastModifiedBy>
  <cp:lastPrinted>2023-12-01T10:36:32Z</cp:lastPrinted>
</cp:coreProperties>
</file>