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на классе напряжения 6-35 кВ (ячейки закрытого исполнения) для ПС 35-750 кВ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4.52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367.46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4.5208</f>
        <v/>
      </c>
      <c r="H12" s="335">
        <f>367.46237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0"/>
  <sheetViews>
    <sheetView view="pageBreakPreview" workbookViewId="0">
      <selection activeCell="C58" sqref="C5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9" t="inlineStr">
        <is>
          <t>Наименование разрабатываемого показателя УНЦ - Установка 3-ф ПУ на классе напряжения 6-35 кВ (ячейки закрытого исполнения) для ПС 35-750 кВ</t>
        </is>
      </c>
    </row>
    <row r="7" ht="33.75" customHeight="1" s="303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42.65</v>
      </c>
      <c r="G12" s="176" t="n"/>
      <c r="H12" s="450">
        <f>SUM(H13:H18)</f>
        <v/>
      </c>
      <c r="J12" s="305" t="n"/>
    </row>
    <row r="13">
      <c r="A13" s="38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87" t="inlineStr">
        <is>
          <t>чел.-ч</t>
        </is>
      </c>
      <c r="F13" s="451" t="n">
        <v>19.86</v>
      </c>
      <c r="G13" s="221" t="n">
        <v>14.09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10-3-1</t>
        </is>
      </c>
      <c r="D14" s="219" t="inlineStr">
        <is>
          <t>Инженер I категории</t>
        </is>
      </c>
      <c r="E14" s="387" t="inlineStr">
        <is>
          <t>чел.-ч</t>
        </is>
      </c>
      <c r="F14" s="451" t="n">
        <v>17.72</v>
      </c>
      <c r="G14" s="221" t="n">
        <v>15.49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10-3-3</t>
        </is>
      </c>
      <c r="D15" s="219" t="inlineStr">
        <is>
          <t>Инженер III категории</t>
        </is>
      </c>
      <c r="E15" s="387" t="inlineStr">
        <is>
          <t>чел.-ч</t>
        </is>
      </c>
      <c r="F15" s="451" t="n">
        <v>1.72</v>
      </c>
      <c r="G15" s="221" t="n">
        <v>12.69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7" t="inlineStr">
        <is>
          <t>чел.-ч</t>
        </is>
      </c>
      <c r="F16" s="451" t="n">
        <v>2.06</v>
      </c>
      <c r="G16" s="221" t="n">
        <v>9.92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87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87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55" t="inlineStr">
        <is>
          <t>Затраты труда машинистов</t>
        </is>
      </c>
      <c r="B19" s="444" t="n"/>
      <c r="C19" s="444" t="n"/>
      <c r="D19" s="444" t="n"/>
      <c r="E19" s="445" t="n"/>
      <c r="F19" s="356" t="n"/>
      <c r="G19" s="179" t="n"/>
      <c r="H19" s="450">
        <f>H20</f>
        <v/>
      </c>
    </row>
    <row r="20">
      <c r="A20" s="387" t="n">
        <v>7</v>
      </c>
      <c r="B20" s="357" t="n"/>
      <c r="C20" s="218" t="n">
        <v>2</v>
      </c>
      <c r="D20" s="219" t="inlineStr">
        <is>
          <t>Затраты труда машинистов</t>
        </is>
      </c>
      <c r="E20" s="387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56" t="inlineStr">
        <is>
          <t>Машины и механизмы</t>
        </is>
      </c>
      <c r="B21" s="444" t="n"/>
      <c r="C21" s="444" t="n"/>
      <c r="D21" s="444" t="n"/>
      <c r="E21" s="445" t="n"/>
      <c r="F21" s="356" t="n"/>
      <c r="G21" s="179" t="n"/>
      <c r="H21" s="450">
        <f>SUM(H22:H26)</f>
        <v/>
      </c>
      <c r="J21" s="305" t="n"/>
    </row>
    <row r="22" ht="38.25" customHeight="1" s="303">
      <c r="A22" s="387" t="n">
        <v>8</v>
      </c>
      <c r="B22" s="357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87" t="inlineStr">
        <is>
          <t>маш.час</t>
        </is>
      </c>
      <c r="F22" s="387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>
      <c r="A23" s="387" t="n">
        <v>9</v>
      </c>
      <c r="B23" s="357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87" t="inlineStr">
        <is>
          <t>маш.час</t>
        </is>
      </c>
      <c r="F23" s="387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87" t="n">
        <v>10</v>
      </c>
      <c r="B24" s="357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87" t="inlineStr">
        <is>
          <t>маш.час</t>
        </is>
      </c>
      <c r="F24" s="387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7" t="n">
        <v>11</v>
      </c>
      <c r="B25" s="357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7" t="inlineStr">
        <is>
          <t>маш.час</t>
        </is>
      </c>
      <c r="F25" s="387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Height="1" s="303">
      <c r="A26" s="387" t="n">
        <v>12</v>
      </c>
      <c r="B26" s="357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87" t="inlineStr">
        <is>
          <t>маш.час</t>
        </is>
      </c>
      <c r="F26" s="387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56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43.9" customHeight="1" s="303">
      <c r="A28" s="227" t="n">
        <v>13</v>
      </c>
      <c r="B28" s="357" t="n"/>
      <c r="C28" s="366" t="inlineStr">
        <is>
          <t>Прайс из СД ОП</t>
        </is>
      </c>
      <c r="D28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28" s="387" t="inlineStr">
        <is>
          <t>компл.</t>
        </is>
      </c>
      <c r="F28" s="387" t="n">
        <v>1</v>
      </c>
      <c r="G28" s="225" t="n">
        <v>78017.49000000001</v>
      </c>
      <c r="H28" s="221">
        <f>ROUND(F28*G28,2)</f>
        <v/>
      </c>
      <c r="I28" s="226" t="n"/>
      <c r="J28" s="226" t="n"/>
      <c r="K28" s="226" t="n"/>
      <c r="L28" s="226" t="n"/>
    </row>
    <row r="29">
      <c r="A29" s="356" t="inlineStr">
        <is>
          <t>Материалы</t>
        </is>
      </c>
      <c r="B29" s="444" t="n"/>
      <c r="C29" s="444" t="n"/>
      <c r="D29" s="444" t="n"/>
      <c r="E29" s="445" t="n"/>
      <c r="F29" s="356" t="n"/>
      <c r="G29" s="179" t="n"/>
      <c r="H29" s="450">
        <f>SUM(H30:H33)</f>
        <v/>
      </c>
    </row>
    <row r="30" ht="25.5" customHeight="1" s="303">
      <c r="A30" s="227" t="n">
        <v>14</v>
      </c>
      <c r="B30" s="357" t="n"/>
      <c r="C30" s="218" t="inlineStr">
        <is>
          <t>999-9950</t>
        </is>
      </c>
      <c r="D30" s="219" t="inlineStr">
        <is>
          <t>Вспомогательные ненормируемые ресурсы (2% от Оплаты труда рабочих)</t>
        </is>
      </c>
      <c r="E30" s="387" t="inlineStr">
        <is>
          <t>руб</t>
        </is>
      </c>
      <c r="F30" s="387" t="n">
        <v>9.880000000000001</v>
      </c>
      <c r="G30" s="221" t="n">
        <v>1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57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87" t="inlineStr">
        <is>
          <t>кг</t>
        </is>
      </c>
      <c r="F31" s="387" t="n">
        <v>0.1</v>
      </c>
      <c r="G31" s="221" t="n">
        <v>10.57</v>
      </c>
      <c r="H31" s="221">
        <f>ROUND(F31*G31,2)</f>
        <v/>
      </c>
      <c r="I31" s="237" t="n"/>
      <c r="J31" s="226" t="n"/>
      <c r="K31" s="226" t="n"/>
    </row>
    <row r="32">
      <c r="A32" s="227" t="n">
        <v>16</v>
      </c>
      <c r="B32" s="357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87" t="inlineStr">
        <is>
          <t>кг</t>
        </is>
      </c>
      <c r="F32" s="387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>
      <c r="A33" s="227" t="n">
        <v>17</v>
      </c>
      <c r="B33" s="357" t="n"/>
      <c r="C33" s="218" t="inlineStr">
        <is>
          <t>14.4.02.09-0001</t>
        </is>
      </c>
      <c r="D33" s="219" t="inlineStr">
        <is>
          <t>Краска</t>
        </is>
      </c>
      <c r="E33" s="387" t="inlineStr">
        <is>
          <t>кг</t>
        </is>
      </c>
      <c r="F33" s="387" t="n">
        <v>0.02</v>
      </c>
      <c r="G33" s="221" t="n">
        <v>28.6</v>
      </c>
      <c r="H33" s="221">
        <f>ROUND(F33*G33,2)</f>
        <v/>
      </c>
      <c r="I33" s="237" t="n"/>
      <c r="J33" s="226" t="n"/>
    </row>
    <row r="36">
      <c r="B36" s="305" t="inlineStr">
        <is>
          <t>Составил ______________________     Д.Ю. Нефедова</t>
        </is>
      </c>
    </row>
    <row r="37">
      <c r="B37" s="164" t="inlineStr">
        <is>
          <t xml:space="preserve">                         (подпись, инициалы, фамилия)</t>
        </is>
      </c>
    </row>
    <row r="39">
      <c r="B39" s="305" t="inlineStr">
        <is>
          <t>Проверил ______________________        А.В. Костянецкая</t>
        </is>
      </c>
    </row>
    <row r="40">
      <c r="B40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29:E29"/>
    <mergeCell ref="A12:E12"/>
    <mergeCell ref="D9:D10"/>
    <mergeCell ref="F9:F10"/>
    <mergeCell ref="E9:E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на классе напряжения 6-35 кВ (ячейки закрытого исполнения) для ПС 35-750 кВ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ОБ'!J43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ОБ'!J46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ОБ'!D50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ОБ'!D49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ОБ'!E53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6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3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69" t="inlineStr">
        <is>
          <t>Установка 3-ф ПУ на классе напряжения 6-35 кВ (ячейки закрытого исполнения) для ПС 35-750 кВ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301" t="n"/>
      <c r="L10" s="301" t="n"/>
      <c r="M10" s="301" t="n"/>
      <c r="N10" s="301" t="n"/>
    </row>
    <row r="11" s="30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66" t="n"/>
      <c r="B12" s="35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6" t="n">
        <v>1</v>
      </c>
      <c r="B13" s="244" t="inlineStr">
        <is>
          <t>1-4-2</t>
        </is>
      </c>
      <c r="C13" s="374" t="inlineStr">
        <is>
          <t>Затраты труда рабочих-строителей среднего разряда (4,2)</t>
        </is>
      </c>
      <c r="D13" s="366" t="inlineStr">
        <is>
          <t>чел.-ч.</t>
        </is>
      </c>
      <c r="E13" s="455">
        <f>G13/F13</f>
        <v/>
      </c>
      <c r="F13" s="254" t="n">
        <v>9.92</v>
      </c>
      <c r="G13" s="254">
        <f>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6" t="n">
        <v>2</v>
      </c>
      <c r="B14" s="244" t="inlineStr">
        <is>
          <t>10-2-1</t>
        </is>
      </c>
      <c r="C14" s="374" t="inlineStr">
        <is>
          <t>Ведущий инженер</t>
        </is>
      </c>
      <c r="D14" s="366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6" t="n">
        <v>3</v>
      </c>
      <c r="B15" s="244" t="inlineStr">
        <is>
          <t>10-3-1</t>
        </is>
      </c>
      <c r="C15" s="374" t="inlineStr">
        <is>
          <t>Инженер I категории</t>
        </is>
      </c>
      <c r="D15" s="366" t="inlineStr">
        <is>
          <t>чел.-ч</t>
        </is>
      </c>
      <c r="E15" s="455">
        <f>G15/F15</f>
        <v/>
      </c>
      <c r="F15" s="254" t="n">
        <v>15.49</v>
      </c>
      <c r="G15" s="254">
        <f>'Прил. 3'!H14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6" t="n">
        <v>4</v>
      </c>
      <c r="B16" s="244" t="inlineStr">
        <is>
          <t>10-3-2</t>
        </is>
      </c>
      <c r="C16" s="374" t="inlineStr">
        <is>
          <t>Инженер II категории</t>
        </is>
      </c>
      <c r="D16" s="366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6" t="n">
        <v>5</v>
      </c>
      <c r="B17" s="244" t="inlineStr">
        <is>
          <t>10-3-3</t>
        </is>
      </c>
      <c r="C17" s="374" t="inlineStr">
        <is>
          <t>Инженер III категории</t>
        </is>
      </c>
      <c r="D17" s="366" t="inlineStr">
        <is>
          <t>чел.-ч</t>
        </is>
      </c>
      <c r="E17" s="455">
        <f>G17/F17</f>
        <v/>
      </c>
      <c r="F17" s="254" t="n">
        <v>12.69</v>
      </c>
      <c r="G17" s="254">
        <f>'Прил. 3'!H15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6" t="n">
        <v>6</v>
      </c>
      <c r="B18" s="244" t="inlineStr">
        <is>
          <t>10-4-1</t>
        </is>
      </c>
      <c r="C18" s="374" t="inlineStr">
        <is>
          <t>Техник I категории</t>
        </is>
      </c>
      <c r="D18" s="366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6" t="n"/>
      <c r="B19" s="366" t="n"/>
      <c r="C19" s="355" t="inlineStr">
        <is>
          <t>Итого по разделу "Затраты труда рабочих-строителей"</t>
        </is>
      </c>
      <c r="D19" s="366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7">
        <f>SUM(H13:H18)</f>
        <v/>
      </c>
      <c r="I19" s="187" t="n"/>
      <c r="J19" s="254">
        <f>SUM(J13:J18)</f>
        <v/>
      </c>
    </row>
    <row r="20" ht="14.25" customFormat="1" customHeight="1" s="301">
      <c r="A20" s="366" t="n"/>
      <c r="B20" s="374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6" t="n">
        <v>7</v>
      </c>
      <c r="B21" s="366" t="n">
        <v>2</v>
      </c>
      <c r="C21" s="374" t="inlineStr">
        <is>
          <t>Затраты труда машинистов</t>
        </is>
      </c>
      <c r="D21" s="366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7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6" t="n"/>
      <c r="B22" s="355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6" t="n"/>
      <c r="B23" s="374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66" t="n">
        <v>8</v>
      </c>
      <c r="B24" s="244" t="inlineStr">
        <is>
          <t>91.18.01-007</t>
        </is>
      </c>
      <c r="C24" s="37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66" t="inlineStr">
        <is>
          <t>маш.час</t>
        </is>
      </c>
      <c r="E24" s="455" t="n">
        <v>0.19</v>
      </c>
      <c r="F24" s="376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6" t="n">
        <v>9</v>
      </c>
      <c r="B25" s="244" t="inlineStr">
        <is>
          <t>91.05.05-015</t>
        </is>
      </c>
      <c r="C25" s="374" t="inlineStr">
        <is>
          <t>Краны на автомобильном ходу, грузоподъемность 16 т</t>
        </is>
      </c>
      <c r="D25" s="366" t="inlineStr">
        <is>
          <t>маш.час</t>
        </is>
      </c>
      <c r="E25" s="455" t="n">
        <v>0.06</v>
      </c>
      <c r="F25" s="376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6" t="n">
        <v>10</v>
      </c>
      <c r="B26" s="244" t="inlineStr">
        <is>
          <t>91.17.04-233</t>
        </is>
      </c>
      <c r="C26" s="374" t="inlineStr">
        <is>
          <t>Установки для сварки ручной дуговой (постоянного тока)</t>
        </is>
      </c>
      <c r="D26" s="366" t="inlineStr">
        <is>
          <t>маш.час</t>
        </is>
      </c>
      <c r="E26" s="455" t="n">
        <v>0.61</v>
      </c>
      <c r="F26" s="376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6" t="n"/>
      <c r="B27" s="366" t="n"/>
      <c r="C27" s="374" t="inlineStr">
        <is>
          <t>Итого основные машины и механизмы</t>
        </is>
      </c>
      <c r="D27" s="366" t="n"/>
      <c r="E27" s="455" t="n"/>
      <c r="F27" s="254" t="n"/>
      <c r="G27" s="254">
        <f>SUM(G24:G26)</f>
        <v/>
      </c>
      <c r="H27" s="377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66" t="n">
        <v>11</v>
      </c>
      <c r="B28" s="244" t="inlineStr">
        <is>
          <t>91.14.02-001</t>
        </is>
      </c>
      <c r="C28" s="374" t="inlineStr">
        <is>
          <t>Автомобили бортовые, грузоподъемность до 5 т</t>
        </is>
      </c>
      <c r="D28" s="366" t="inlineStr">
        <is>
          <t>маш.час</t>
        </is>
      </c>
      <c r="E28" s="455" t="n">
        <v>0.06</v>
      </c>
      <c r="F28" s="376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6" t="n">
        <v>12</v>
      </c>
      <c r="B29" s="244" t="inlineStr">
        <is>
          <t>91.04.01-041</t>
        </is>
      </c>
      <c r="C29" s="374" t="inlineStr">
        <is>
          <t>Молотки бурильные легкие при работе от передвижных компрессорных станций</t>
        </is>
      </c>
      <c r="D29" s="366" t="inlineStr">
        <is>
          <t>маш.час</t>
        </is>
      </c>
      <c r="E29" s="455" t="n">
        <v>0.19</v>
      </c>
      <c r="F29" s="376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66" t="n"/>
      <c r="B30" s="366" t="n"/>
      <c r="C30" s="374" t="inlineStr">
        <is>
          <t>Итого прочие машины и механизмы</t>
        </is>
      </c>
      <c r="D30" s="366" t="n"/>
      <c r="E30" s="375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66" t="n"/>
      <c r="B31" s="366" t="n"/>
      <c r="C31" s="355" t="inlineStr">
        <is>
          <t>Итого по разделу «Машины и механизмы»</t>
        </is>
      </c>
      <c r="D31" s="366" t="n"/>
      <c r="E31" s="375" t="n"/>
      <c r="F31" s="254" t="n"/>
      <c r="G31" s="254">
        <f>G27+G30</f>
        <v/>
      </c>
      <c r="H31" s="377">
        <f>H27+H30</f>
        <v/>
      </c>
      <c r="I31" s="185" t="n"/>
      <c r="J31" s="254">
        <f>J27+J30</f>
        <v/>
      </c>
    </row>
    <row r="32" ht="14.25" customFormat="1" customHeight="1" s="301">
      <c r="A32" s="366" t="n"/>
      <c r="B32" s="355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66" t="n"/>
      <c r="B33" s="374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59.45" customFormat="1" customHeight="1" s="301">
      <c r="A34" s="366" t="n">
        <v>15</v>
      </c>
      <c r="B34" s="366" t="inlineStr">
        <is>
          <t>БЦ.47.18</t>
        </is>
      </c>
      <c r="C34" s="374" t="inlineStr">
        <is>
          <t>Учёт 6 (10, 20) кВ. ПУ непосредственного включения, устанавливаемый в ячейке РУ (с выносными датчиками тока и напряжения)</t>
        </is>
      </c>
      <c r="D34" s="366" t="inlineStr">
        <is>
          <t>компл.</t>
        </is>
      </c>
      <c r="E34" s="456" t="n">
        <v>1</v>
      </c>
      <c r="F34" s="376">
        <f>ROUND(I34/'Прил. 10'!$D$14,2)</f>
        <v/>
      </c>
      <c r="G34" s="254">
        <f>ROUND(E34*F34,2)</f>
        <v/>
      </c>
      <c r="H34" s="253" t="n">
        <v>0</v>
      </c>
      <c r="I34" s="254" t="n">
        <v>542655</v>
      </c>
      <c r="J34" s="254">
        <f>ROUND(I34*E34,2)</f>
        <v/>
      </c>
    </row>
    <row r="35">
      <c r="A35" s="366" t="n"/>
      <c r="B35" s="366" t="n"/>
      <c r="C35" s="374" t="inlineStr">
        <is>
          <t>Итого основное оборудование</t>
        </is>
      </c>
      <c r="D35" s="366" t="n"/>
      <c r="E35" s="456" t="n"/>
      <c r="F35" s="376" t="n"/>
      <c r="G35" s="254">
        <f>SUM(G34:G34)</f>
        <v/>
      </c>
      <c r="H35" s="254">
        <f>SUM(H34:H34)</f>
        <v/>
      </c>
      <c r="I35" s="252" t="n"/>
      <c r="J35" s="254">
        <f>SUM(J34:J34)</f>
        <v/>
      </c>
      <c r="K35" s="301" t="n"/>
      <c r="L35" s="301" t="n"/>
    </row>
    <row r="36">
      <c r="A36" s="366" t="n"/>
      <c r="B36" s="366" t="n"/>
      <c r="C36" s="374" t="inlineStr">
        <is>
          <t>Итого прочее оборудование</t>
        </is>
      </c>
      <c r="D36" s="366" t="n"/>
      <c r="E36" s="455" t="n"/>
      <c r="F36" s="376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66" t="n"/>
      <c r="B37" s="366" t="n"/>
      <c r="C37" s="355" t="inlineStr">
        <is>
          <t>Итого по разделу «Оборудование»</t>
        </is>
      </c>
      <c r="D37" s="366" t="n"/>
      <c r="E37" s="375" t="n"/>
      <c r="F37" s="376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66" t="n"/>
      <c r="B38" s="366" t="n"/>
      <c r="C38" s="374" t="inlineStr">
        <is>
          <t>в том числе технологическое оборудование</t>
        </is>
      </c>
      <c r="D38" s="366" t="n"/>
      <c r="E38" s="456" t="n"/>
      <c r="F38" s="376" t="n"/>
      <c r="G38" s="254">
        <f>'Прил.6 Расчет ОБ'!G13</f>
        <v/>
      </c>
      <c r="H38" s="377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66" t="n"/>
      <c r="B39" s="355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67" t="n"/>
      <c r="B40" s="370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25.5" customFormat="1" customHeight="1" s="301">
      <c r="A41" s="366" t="n">
        <v>16</v>
      </c>
      <c r="B41" s="366" t="inlineStr">
        <is>
          <t>999-9950</t>
        </is>
      </c>
      <c r="C41" s="374" t="inlineStr">
        <is>
          <t>Вспомогательные ненормируемые ресурсы (2% от Оплаты труда рабочих)</t>
        </is>
      </c>
      <c r="D41" s="366" t="inlineStr">
        <is>
          <t>руб</t>
        </is>
      </c>
      <c r="E41" s="456" t="n">
        <v>9.880000000000001</v>
      </c>
      <c r="F41" s="376" t="n">
        <v>1</v>
      </c>
      <c r="G41" s="254">
        <f>ROUND(E41*F41,2)</f>
        <v/>
      </c>
      <c r="H41" s="253">
        <f>G41/$G$47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66" t="n">
        <v>17</v>
      </c>
      <c r="B42" s="366" t="inlineStr">
        <is>
          <t>01.7.11.07-0034</t>
        </is>
      </c>
      <c r="C42" s="374" t="inlineStr">
        <is>
          <t>Электроды сварочные Э42А, диаметр 4 мм</t>
        </is>
      </c>
      <c r="D42" s="366" t="inlineStr">
        <is>
          <t>кг</t>
        </is>
      </c>
      <c r="E42" s="456" t="n">
        <v>0.1</v>
      </c>
      <c r="F42" s="376" t="n">
        <v>10.57</v>
      </c>
      <c r="G42" s="254">
        <f>ROUND(E42*F42,2)</f>
        <v/>
      </c>
      <c r="H42" s="253">
        <f>G42/$G$47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68" t="n"/>
      <c r="B43" s="260" t="n"/>
      <c r="C43" s="261" t="inlineStr">
        <is>
          <t>Итого основные материалы</t>
        </is>
      </c>
      <c r="D43" s="368" t="n"/>
      <c r="E43" s="459" t="n"/>
      <c r="F43" s="265" t="n"/>
      <c r="G43" s="265">
        <f>SUM(G41:G42)</f>
        <v/>
      </c>
      <c r="H43" s="253">
        <f>G43/$G$47</f>
        <v/>
      </c>
      <c r="I43" s="254" t="n"/>
      <c r="J43" s="265">
        <f>SUM(J41:J42)</f>
        <v/>
      </c>
    </row>
    <row r="44" hidden="1" outlineLevel="1" ht="14.25" customFormat="1" customHeight="1" s="301">
      <c r="A44" s="366" t="n">
        <v>18</v>
      </c>
      <c r="B44" s="366" t="inlineStr">
        <is>
          <t>01.7.15.03-0042</t>
        </is>
      </c>
      <c r="C44" s="374" t="inlineStr">
        <is>
          <t>Болты с гайками и шайбами строительные</t>
        </is>
      </c>
      <c r="D44" s="366" t="inlineStr">
        <is>
          <t>кг</t>
        </is>
      </c>
      <c r="E44" s="456" t="n">
        <v>0.1</v>
      </c>
      <c r="F44" s="376" t="n">
        <v>9.039999999999999</v>
      </c>
      <c r="G44" s="254">
        <f>ROUND(E44*F44,2)</f>
        <v/>
      </c>
      <c r="H44" s="253">
        <f>G44/$G$47</f>
        <v/>
      </c>
      <c r="I44" s="254">
        <f>ROUND(F44*'Прил. 10'!$D$13,2)</f>
        <v/>
      </c>
      <c r="J44" s="254">
        <f>ROUND(I44*E44,2)</f>
        <v/>
      </c>
    </row>
    <row r="45" hidden="1" outlineLevel="1" ht="14.25" customFormat="1" customHeight="1" s="301">
      <c r="A45" s="366" t="n">
        <v>19</v>
      </c>
      <c r="B45" s="366" t="inlineStr">
        <is>
          <t>14.4.02.09-0001</t>
        </is>
      </c>
      <c r="C45" s="374" t="inlineStr">
        <is>
          <t>Краска</t>
        </is>
      </c>
      <c r="D45" s="366" t="inlineStr">
        <is>
          <t>кг</t>
        </is>
      </c>
      <c r="E45" s="456" t="n">
        <v>0.02</v>
      </c>
      <c r="F45" s="376" t="n">
        <v>28.6</v>
      </c>
      <c r="G45" s="254">
        <f>ROUND(E45*F45,2)</f>
        <v/>
      </c>
      <c r="H45" s="253">
        <f>G45/$G$47</f>
        <v/>
      </c>
      <c r="I45" s="254">
        <f>ROUND(F45*'Прил. 10'!$D$13,2)</f>
        <v/>
      </c>
      <c r="J45" s="254">
        <f>ROUND(I45*E45,2)</f>
        <v/>
      </c>
    </row>
    <row r="46" collapsed="1" ht="14.25" customFormat="1" customHeight="1" s="301">
      <c r="A46" s="366" t="n"/>
      <c r="B46" s="366" t="n"/>
      <c r="C46" s="374" t="inlineStr">
        <is>
          <t>Итого прочие материалы</t>
        </is>
      </c>
      <c r="D46" s="366" t="n"/>
      <c r="E46" s="375" t="n"/>
      <c r="F46" s="376" t="n"/>
      <c r="G46" s="254">
        <f>SUM(G44:G45)</f>
        <v/>
      </c>
      <c r="H46" s="253">
        <f>G46/$G$47</f>
        <v/>
      </c>
      <c r="I46" s="254" t="n"/>
      <c r="J46" s="254">
        <f>SUM(J44:J45)</f>
        <v/>
      </c>
    </row>
    <row r="47" ht="14.25" customFormat="1" customHeight="1" s="301">
      <c r="A47" s="366" t="n"/>
      <c r="B47" s="366" t="n"/>
      <c r="C47" s="355" t="inlineStr">
        <is>
          <t>Итого по разделу «Материалы»</t>
        </is>
      </c>
      <c r="D47" s="366" t="n"/>
      <c r="E47" s="375" t="n"/>
      <c r="F47" s="376" t="n"/>
      <c r="G47" s="254">
        <f>G43+G46</f>
        <v/>
      </c>
      <c r="H47" s="377">
        <f>G47/$G$47</f>
        <v/>
      </c>
      <c r="I47" s="254" t="n"/>
      <c r="J47" s="254">
        <f>J43+J46</f>
        <v/>
      </c>
    </row>
    <row r="48" ht="14.25" customFormat="1" customHeight="1" s="301">
      <c r="A48" s="366" t="n"/>
      <c r="B48" s="366" t="n"/>
      <c r="C48" s="374" t="inlineStr">
        <is>
          <t>ИТОГО ПО РМ</t>
        </is>
      </c>
      <c r="D48" s="366" t="n"/>
      <c r="E48" s="375" t="n"/>
      <c r="F48" s="376" t="n"/>
      <c r="G48" s="254">
        <f>G19+G31+G47</f>
        <v/>
      </c>
      <c r="H48" s="377" t="n"/>
      <c r="I48" s="254" t="n"/>
      <c r="J48" s="254">
        <f>J19+J31+J47</f>
        <v/>
      </c>
    </row>
    <row r="49" ht="14.25" customFormat="1" customHeight="1" s="301">
      <c r="A49" s="366" t="n"/>
      <c r="B49" s="366" t="n"/>
      <c r="C49" s="374" t="inlineStr">
        <is>
          <t>Накладные расходы</t>
        </is>
      </c>
      <c r="D49" s="174">
        <f>ROUND(G49/(G$21+$G$19),2)</f>
        <v/>
      </c>
      <c r="E49" s="375" t="n"/>
      <c r="F49" s="376" t="n"/>
      <c r="G49" s="254" t="n">
        <v>539.08</v>
      </c>
      <c r="H49" s="377" t="n"/>
      <c r="I49" s="254" t="n"/>
      <c r="J49" s="254">
        <f>ROUND(D49*(J19+J21),2)</f>
        <v/>
      </c>
    </row>
    <row r="50" ht="14.25" customFormat="1" customHeight="1" s="301">
      <c r="A50" s="366" t="n"/>
      <c r="B50" s="366" t="n"/>
      <c r="C50" s="374" t="inlineStr">
        <is>
          <t>Сметная прибыль</t>
        </is>
      </c>
      <c r="D50" s="174">
        <f>ROUND(G50/(G$19+G$21),2)</f>
        <v/>
      </c>
      <c r="E50" s="375" t="n"/>
      <c r="F50" s="376" t="n"/>
      <c r="G50" s="254" t="n">
        <v>273.66</v>
      </c>
      <c r="H50" s="377" t="n"/>
      <c r="I50" s="254" t="n"/>
      <c r="J50" s="254">
        <f>ROUND(D50*(J19+J21),2)</f>
        <v/>
      </c>
    </row>
    <row r="51" ht="14.25" customFormat="1" customHeight="1" s="301">
      <c r="A51" s="366" t="n"/>
      <c r="B51" s="366" t="n"/>
      <c r="C51" s="374" t="inlineStr">
        <is>
          <t>Итого СМР (с НР и СП)</t>
        </is>
      </c>
      <c r="D51" s="366" t="n"/>
      <c r="E51" s="375" t="n"/>
      <c r="F51" s="376" t="n"/>
      <c r="G51" s="254">
        <f>G19+G31+G47+G49+G50</f>
        <v/>
      </c>
      <c r="H51" s="377" t="n"/>
      <c r="I51" s="254" t="n"/>
      <c r="J51" s="254">
        <f>J19+J31+J47+J49+J50</f>
        <v/>
      </c>
    </row>
    <row r="52" ht="14.25" customFormat="1" customHeight="1" s="301">
      <c r="A52" s="366" t="n"/>
      <c r="B52" s="366" t="n"/>
      <c r="C52" s="374" t="inlineStr">
        <is>
          <t>ВСЕГО СМР + ОБОРУДОВАНИЕ</t>
        </is>
      </c>
      <c r="D52" s="366" t="n"/>
      <c r="E52" s="375" t="n"/>
      <c r="F52" s="376" t="n"/>
      <c r="G52" s="254">
        <f>G51+G37</f>
        <v/>
      </c>
      <c r="H52" s="377" t="n"/>
      <c r="I52" s="254" t="n"/>
      <c r="J52" s="254">
        <f>J51+J37</f>
        <v/>
      </c>
    </row>
    <row r="53" ht="34.5" customFormat="1" customHeight="1" s="301">
      <c r="A53" s="366" t="n"/>
      <c r="B53" s="366" t="n"/>
      <c r="C53" s="374" t="inlineStr">
        <is>
          <t>ИТОГО ПОКАЗАТЕЛЬ НА ЕД. ИЗМ.</t>
        </is>
      </c>
      <c r="D53" s="366" t="inlineStr">
        <is>
          <t>ед.</t>
        </is>
      </c>
      <c r="E53" s="460" t="n">
        <v>1</v>
      </c>
      <c r="F53" s="376" t="n"/>
      <c r="G53" s="254">
        <f>G52/E53</f>
        <v/>
      </c>
      <c r="H53" s="377" t="n"/>
      <c r="I53" s="254" t="n"/>
      <c r="J53" s="254">
        <f>J52/E53</f>
        <v/>
      </c>
    </row>
    <row r="55" ht="14.25" customFormat="1" customHeight="1" s="301">
      <c r="A55" s="291" t="inlineStr">
        <is>
          <t>Составил ______________________    Д.Ю. Нефедова</t>
        </is>
      </c>
    </row>
    <row r="56" ht="14.25" customFormat="1" customHeight="1" s="301">
      <c r="A56" s="300" t="inlineStr">
        <is>
          <t xml:space="preserve">                         (подпись, инициалы, фамилия)</t>
        </is>
      </c>
      <c r="G56" s="285" t="n"/>
    </row>
    <row r="57" ht="14.25" customFormat="1" customHeight="1" s="301">
      <c r="A57" s="291" t="n"/>
    </row>
    <row r="58" ht="14.25" customFormat="1" customHeight="1" s="301">
      <c r="A58" s="291" t="inlineStr">
        <is>
          <t>Проверил ______________________        А.В. Костянецкая</t>
        </is>
      </c>
    </row>
    <row r="59" ht="14.25" customFormat="1" customHeight="1" s="301">
      <c r="A59" s="300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на классе напряжения 6-35 кВ (ячейки закрытого исполнения) для ПС 35-750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3">
      <c r="A9" s="231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6" t="n"/>
      <c r="B10" s="355" t="n"/>
      <c r="C10" s="374" t="inlineStr">
        <is>
          <t>ИТОГО ИНЖЕНЕРНОЕ ОБОРУДОВАНИЕ</t>
        </is>
      </c>
      <c r="D10" s="355" t="n"/>
      <c r="E10" s="170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51" customHeight="1" s="303">
      <c r="A12" s="366" t="n">
        <v>1</v>
      </c>
      <c r="B12" s="374">
        <f>'Прил.5 Расчет СМР и ОБ'!B34</f>
        <v/>
      </c>
      <c r="C12" s="374">
        <f>'Прил.5 Расчет СМР и ОБ'!C34</f>
        <v/>
      </c>
      <c r="D12" s="374">
        <f>'Прил.5 Расчет СМР и ОБ'!D34</f>
        <v/>
      </c>
      <c r="E12" s="374">
        <f>'Прил.5 Расчет СМР и ОБ'!E34</f>
        <v/>
      </c>
      <c r="F12" s="374">
        <f>'Прил.5 Расчет СМР и ОБ'!F34</f>
        <v/>
      </c>
      <c r="G12" s="376">
        <f>ROUND(E12*F12,2)</f>
        <v/>
      </c>
    </row>
    <row r="13" ht="25.5" customHeight="1" s="303">
      <c r="A13" s="366" t="n"/>
      <c r="B13" s="374" t="n"/>
      <c r="C13" s="374" t="inlineStr">
        <is>
          <t>ИТОГО ТЕХНОЛОГИЧЕСКОЕ ОБОРУДОВАНИЕ</t>
        </is>
      </c>
      <c r="D13" s="374" t="n"/>
      <c r="E13" s="386" t="n"/>
      <c r="F13" s="376" t="n"/>
      <c r="G13" s="254">
        <f>SUM(G12:G12)</f>
        <v/>
      </c>
    </row>
    <row r="14" ht="19.5" customHeight="1" s="303">
      <c r="A14" s="366" t="n"/>
      <c r="B14" s="374" t="n"/>
      <c r="C14" s="374" t="inlineStr">
        <is>
          <t>Всего по разделу «Оборудование»</t>
        </is>
      </c>
      <c r="D14" s="374" t="n"/>
      <c r="E14" s="386" t="n"/>
      <c r="F14" s="376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3">
      <c r="A11" s="366" t="inlineStr">
        <is>
          <t>А1-51</t>
        </is>
      </c>
      <c r="B11" s="366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3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2025-01-24T11:52:04Z</dcterms:modified>
  <cp:lastModifiedBy>Николай Трофименко</cp:lastModifiedBy>
  <cp:lastPrinted>2023-12-01T10:46:40Z</cp:lastPrinted>
</cp:coreProperties>
</file>