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188" min="1" max="2"/>
    <col width="51.7109375" customWidth="1" style="188" min="3" max="3"/>
    <col width="47" customWidth="1" style="188" min="4" max="4"/>
    <col width="37.42578125" customWidth="1" style="188" min="5" max="5"/>
    <col width="9.140625" customWidth="1" style="188" min="6" max="6"/>
  </cols>
  <sheetData>
    <row r="3">
      <c r="B3" s="218" t="inlineStr">
        <is>
          <t>Приложение № 1</t>
        </is>
      </c>
    </row>
    <row r="4">
      <c r="B4" s="219" t="inlineStr">
        <is>
          <t>Сравнительная таблица отбора объекта-представителя</t>
        </is>
      </c>
    </row>
    <row r="5" ht="84.2" customHeight="1" s="186">
      <c r="B5" s="22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6">
      <c r="B6" s="139" t="n"/>
      <c r="C6" s="139" t="n"/>
      <c r="D6" s="139" t="n"/>
    </row>
    <row r="7" ht="64.5" customHeight="1" s="186">
      <c r="B7" s="220" t="inlineStr">
        <is>
          <t>Наименование разрабатываемого показателя УНЦ - Организация однофазного ввода к потребителю от шкафа учета, устанавливаемого на опоре ВЛ</t>
        </is>
      </c>
    </row>
    <row r="8" ht="31.7" customHeight="1" s="186">
      <c r="B8" s="220" t="inlineStr">
        <is>
          <t>Сопоставимый уровень цен: 3 кв. 2019 г.</t>
        </is>
      </c>
    </row>
    <row r="9" ht="15.75" customHeight="1" s="186">
      <c r="B9" s="220" t="inlineStr">
        <is>
          <t>Единица измерения  — 1 ед.</t>
        </is>
      </c>
    </row>
    <row r="10">
      <c r="B10" s="220" t="n"/>
    </row>
    <row r="11">
      <c r="B11" s="222" t="inlineStr">
        <is>
          <t>№ п/п</t>
        </is>
      </c>
      <c r="C11" s="222" t="inlineStr">
        <is>
          <t>Параметр</t>
        </is>
      </c>
      <c r="D11" s="222" t="inlineStr">
        <is>
          <t xml:space="preserve">Объект-представитель </t>
        </is>
      </c>
      <c r="E11" s="140" t="n"/>
    </row>
    <row r="12" ht="96.75" customHeight="1" s="186">
      <c r="B12" s="222" t="n">
        <v>1</v>
      </c>
      <c r="C12" s="206" t="inlineStr">
        <is>
          <t>Наименование объекта-представителя</t>
        </is>
      </c>
      <c r="D12" s="222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222" t="n">
        <v>2</v>
      </c>
      <c r="C13" s="206" t="inlineStr">
        <is>
          <t>Наименование субъекта Российской Федерации</t>
        </is>
      </c>
      <c r="D13" s="202" t="inlineStr">
        <is>
          <t>Республика Калмыкия</t>
        </is>
      </c>
    </row>
    <row r="14">
      <c r="B14" s="222" t="n">
        <v>3</v>
      </c>
      <c r="C14" s="206" t="inlineStr">
        <is>
          <t>Климатический район и подрайон</t>
        </is>
      </c>
      <c r="D14" s="222" t="inlineStr">
        <is>
          <t>IVГ</t>
        </is>
      </c>
    </row>
    <row r="15">
      <c r="B15" s="222" t="n">
        <v>4</v>
      </c>
      <c r="C15" s="206" t="inlineStr">
        <is>
          <t>Мощность объекта</t>
        </is>
      </c>
      <c r="D15" s="222" t="n">
        <v>1</v>
      </c>
    </row>
    <row r="16" ht="63" customHeight="1" s="186">
      <c r="B16" s="222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Провод самонесущий изолированный СИП-4 2х16</t>
        </is>
      </c>
    </row>
    <row r="17" ht="79.5" customHeight="1" s="186">
      <c r="B17" s="222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>
        <f>D18+D19</f>
        <v/>
      </c>
      <c r="E17" s="145" t="n"/>
    </row>
    <row r="18">
      <c r="B18" s="146" t="inlineStr">
        <is>
          <t>6.1</t>
        </is>
      </c>
      <c r="C18" s="206" t="inlineStr">
        <is>
          <t>строительно-монтажные работы</t>
        </is>
      </c>
      <c r="D18" s="144" t="n">
        <v>3.785832</v>
      </c>
    </row>
    <row r="19" ht="15.75" customHeight="1" s="186">
      <c r="B19" s="146" t="inlineStr">
        <is>
          <t>6.2</t>
        </is>
      </c>
      <c r="C19" s="206" t="inlineStr">
        <is>
          <t>оборудование и инвентарь</t>
        </is>
      </c>
      <c r="D19" s="144" t="n"/>
    </row>
    <row r="20" ht="16.5" customHeight="1" s="186">
      <c r="B20" s="146" t="inlineStr">
        <is>
          <t>6.3</t>
        </is>
      </c>
      <c r="C20" s="206" t="inlineStr">
        <is>
          <t>пусконаладочные работы</t>
        </is>
      </c>
      <c r="D20" s="144" t="n"/>
    </row>
    <row r="21" ht="35.45" customHeight="1" s="186">
      <c r="B21" s="146" t="inlineStr">
        <is>
          <t>6.4</t>
        </is>
      </c>
      <c r="C21" s="147" t="inlineStr">
        <is>
          <t>прочие и лимитированные затраты</t>
        </is>
      </c>
      <c r="D21" s="144" t="n"/>
    </row>
    <row r="22">
      <c r="B22" s="222" t="n">
        <v>7</v>
      </c>
      <c r="C22" s="147" t="inlineStr">
        <is>
          <t>Сопоставимый уровень цен</t>
        </is>
      </c>
      <c r="D22" s="148" t="inlineStr">
        <is>
          <t>3 кв. 2019 г.</t>
        </is>
      </c>
      <c r="E22" s="149" t="n"/>
    </row>
    <row r="23" ht="123" customHeight="1" s="186">
      <c r="B23" s="222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>
        <f>D17</f>
        <v/>
      </c>
      <c r="E23" s="145" t="n"/>
    </row>
    <row r="24" ht="60.75" customHeight="1" s="186">
      <c r="B24" s="222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144">
        <f>D23/D15</f>
        <v/>
      </c>
      <c r="E24" s="149" t="n"/>
    </row>
    <row r="25" ht="48.2" customHeight="1" s="186">
      <c r="B25" s="222" t="n">
        <v>10</v>
      </c>
      <c r="C25" s="206" t="inlineStr">
        <is>
          <t>Примечание</t>
        </is>
      </c>
      <c r="D25" s="222" t="n"/>
    </row>
    <row r="26">
      <c r="B26" s="151" t="n"/>
      <c r="C26" s="152" t="n"/>
      <c r="D26" s="152" t="n"/>
    </row>
    <row r="27" ht="37.5" customHeight="1" s="186">
      <c r="B27" s="115" t="n"/>
    </row>
    <row r="28">
      <c r="B28" s="188" t="inlineStr">
        <is>
          <t>Составил ______________________    Д.Ю. Нефедова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188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88" min="1" max="1"/>
    <col width="9.140625" customWidth="1" style="188" min="2" max="2"/>
    <col width="35.28515625" customWidth="1" style="188" min="3" max="3"/>
    <col width="13.85546875" customWidth="1" style="188" min="4" max="4"/>
    <col width="24.85546875" customWidth="1" style="188" min="5" max="5"/>
    <col width="15.5703125" customWidth="1" style="188" min="6" max="6"/>
    <col width="14.85546875" customWidth="1" style="188" min="7" max="7"/>
    <col width="16.7109375" customWidth="1" style="188" min="8" max="8"/>
    <col width="13" customWidth="1" style="188" min="9" max="10"/>
    <col width="9.140625" customWidth="1" style="188" min="11" max="11"/>
  </cols>
  <sheetData>
    <row r="3">
      <c r="B3" s="218" t="inlineStr">
        <is>
          <t>Приложение № 2</t>
        </is>
      </c>
    </row>
    <row r="4">
      <c r="B4" s="219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86">
      <c r="B6" s="220">
        <f>'Прил.1 Сравнит табл'!B7:D7</f>
        <v/>
      </c>
    </row>
    <row r="7">
      <c r="B7" s="220">
        <f>'Прил.1 Сравнит табл'!B9:D9</f>
        <v/>
      </c>
    </row>
    <row r="8" ht="18.75" customHeight="1" s="186">
      <c r="B8" s="106" t="n"/>
    </row>
    <row r="9" ht="15.75" customHeight="1" s="186">
      <c r="B9" s="222" t="inlineStr">
        <is>
          <t>№ п/п</t>
        </is>
      </c>
      <c r="C9" s="22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2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 s="186">
      <c r="B10" s="314" t="n"/>
      <c r="C10" s="314" t="n"/>
      <c r="D10" s="222" t="inlineStr">
        <is>
          <t>Номер сметы</t>
        </is>
      </c>
      <c r="E10" s="222" t="inlineStr">
        <is>
          <t>Наименование сметы</t>
        </is>
      </c>
      <c r="F10" s="222" t="inlineStr">
        <is>
          <t>Сметная стоимость в уровне цен 3 кв. 2019г., тыс. руб.</t>
        </is>
      </c>
      <c r="G10" s="312" t="n"/>
      <c r="H10" s="312" t="n"/>
      <c r="I10" s="312" t="n"/>
      <c r="J10" s="313" t="n"/>
    </row>
    <row r="11" ht="81" customHeight="1" s="186">
      <c r="B11" s="315" t="n"/>
      <c r="C11" s="315" t="n"/>
      <c r="D11" s="315" t="n"/>
      <c r="E11" s="315" t="n"/>
      <c r="F11" s="223" t="inlineStr">
        <is>
          <t>Строительные работы</t>
        </is>
      </c>
      <c r="G11" s="223" t="inlineStr">
        <is>
          <t>Монтажные работы</t>
        </is>
      </c>
      <c r="H11" s="223" t="inlineStr">
        <is>
          <t>Оборудование</t>
        </is>
      </c>
      <c r="I11" s="223" t="inlineStr">
        <is>
          <t>Прочее</t>
        </is>
      </c>
      <c r="J11" s="223" t="inlineStr">
        <is>
          <t>Всего</t>
        </is>
      </c>
    </row>
    <row r="12" ht="39" customHeight="1" s="186">
      <c r="B12" s="222" t="n">
        <v>1</v>
      </c>
      <c r="C12" s="222" t="inlineStr">
        <is>
          <t>Провод самонесущий изолированный СИП-4 2х16</t>
        </is>
      </c>
      <c r="D12" s="205" t="inlineStr">
        <is>
          <t>02-01-01</t>
        </is>
      </c>
      <c r="E12" s="206" t="inlineStr">
        <is>
          <t>Установка ПКУ 10 кВ</t>
        </is>
      </c>
      <c r="F12" s="206" t="n"/>
      <c r="G12" s="207" t="n">
        <v>3.785832</v>
      </c>
      <c r="H12" s="207" t="n"/>
      <c r="I12" s="207" t="n"/>
      <c r="J12" s="207" t="n">
        <v>3.785832</v>
      </c>
    </row>
    <row r="13" ht="15.75" customHeight="1" s="186">
      <c r="B13" s="224" t="inlineStr">
        <is>
          <t>Всего по объекту:</t>
        </is>
      </c>
      <c r="C13" s="316" t="n"/>
      <c r="D13" s="316" t="n"/>
      <c r="E13" s="317" t="n"/>
      <c r="F13" s="208" t="n"/>
      <c r="G13" s="209" t="n">
        <v>3.785832</v>
      </c>
      <c r="H13" s="209" t="n"/>
      <c r="I13" s="209" t="n"/>
      <c r="J13" s="209" t="n">
        <v>3.785832</v>
      </c>
    </row>
    <row r="14">
      <c r="B14" s="225" t="inlineStr">
        <is>
          <t>Всего по объекту в сопоставимом уровне цен 3 кв. 2019г:</t>
        </is>
      </c>
      <c r="C14" s="312" t="n"/>
      <c r="D14" s="312" t="n"/>
      <c r="E14" s="313" t="n"/>
      <c r="F14" s="113" t="n"/>
      <c r="G14" s="210" t="n">
        <v>3.785832</v>
      </c>
      <c r="H14" s="210" t="n"/>
      <c r="I14" s="210" t="n"/>
      <c r="J14" s="210" t="n">
        <v>3.785832</v>
      </c>
    </row>
    <row r="15" ht="15" customHeight="1" s="186"/>
    <row r="16" ht="15" customHeight="1" s="186"/>
    <row r="17" ht="15" customHeight="1" s="186"/>
    <row r="18" ht="15" customHeight="1" s="186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86">
      <c r="C19" s="114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6">
      <c r="C20" s="4" t="n"/>
      <c r="D20" s="12" t="n"/>
      <c r="E20" s="12" t="n"/>
    </row>
    <row r="21" ht="15" customHeight="1" s="186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6">
      <c r="C22" s="114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6"/>
    <row r="24" ht="15" customHeight="1" s="186"/>
    <row r="25" ht="15" customHeight="1" s="186"/>
    <row r="26" ht="15" customHeight="1" s="186"/>
    <row r="27" ht="15" customHeight="1" s="186"/>
    <row r="28" ht="15" customHeight="1" s="186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6"/>
  <sheetViews>
    <sheetView view="pageBreakPreview" workbookViewId="0">
      <selection activeCell="C56" sqref="C56"/>
    </sheetView>
  </sheetViews>
  <sheetFormatPr baseColWidth="8" defaultColWidth="9.140625" defaultRowHeight="15.75"/>
  <cols>
    <col width="9.140625" customWidth="1" style="188" min="1" max="1"/>
    <col width="12.5703125" customWidth="1" style="188" min="2" max="2"/>
    <col width="22.42578125" customWidth="1" style="188" min="3" max="3"/>
    <col width="49.7109375" customWidth="1" style="188" min="4" max="4"/>
    <col width="10.140625" customWidth="1" style="188" min="5" max="5"/>
    <col width="20.7109375" customWidth="1" style="188" min="6" max="6"/>
    <col width="20" customWidth="1" style="188" min="7" max="7"/>
    <col width="16.7109375" customWidth="1" style="188" min="8" max="8"/>
    <col width="9.140625" customWidth="1" style="188" min="9" max="9"/>
    <col width="13.140625" customWidth="1" style="188" min="10" max="10"/>
    <col width="15" customWidth="1" style="188" min="11" max="11"/>
    <col width="9.140625" customWidth="1" style="188" min="12" max="12"/>
    <col width="11.28515625" customWidth="1" style="188" min="13" max="13"/>
    <col width="9.140625" customWidth="1" style="188" min="14" max="14"/>
  </cols>
  <sheetData>
    <row r="2">
      <c r="A2" s="218" t="inlineStr">
        <is>
          <t xml:space="preserve">Приложение № 3 </t>
        </is>
      </c>
    </row>
    <row r="3">
      <c r="A3" s="219" t="inlineStr">
        <is>
          <t>Объектная ресурсная ведомость</t>
        </is>
      </c>
    </row>
    <row r="4" ht="18.75" customHeight="1" s="186">
      <c r="A4" s="153" t="n"/>
      <c r="B4" s="153" t="n"/>
      <c r="C4" s="22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0" t="n"/>
    </row>
    <row r="6" ht="33.75" customHeight="1" s="186">
      <c r="A6" s="226" t="inlineStr">
        <is>
          <t>Наименование разрабатываемого показателя УНЦ - Организация однофазного ввода к потребителю от шкафа учета, устанавливаемого на опоре ВЛ</t>
        </is>
      </c>
    </row>
    <row r="7" ht="33.75" customHeight="1" s="186">
      <c r="A7" s="226" t="n"/>
      <c r="B7" s="226" t="n"/>
      <c r="C7" s="226" t="n"/>
      <c r="D7" s="226" t="n"/>
      <c r="E7" s="226" t="n"/>
      <c r="F7" s="226" t="n"/>
      <c r="G7" s="226" t="n"/>
      <c r="H7" s="226" t="n"/>
      <c r="I7" s="188" t="n"/>
      <c r="J7" s="188" t="n"/>
      <c r="K7" s="188" t="n"/>
      <c r="L7" s="188" t="n"/>
      <c r="M7" s="188" t="n"/>
      <c r="N7" s="188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38.25" customHeight="1" s="186">
      <c r="A9" s="222" t="inlineStr">
        <is>
          <t>п/п</t>
        </is>
      </c>
      <c r="B9" s="222" t="inlineStr">
        <is>
          <t>№ЛСР</t>
        </is>
      </c>
      <c r="C9" s="222" t="inlineStr">
        <is>
          <t>Код ресурса</t>
        </is>
      </c>
      <c r="D9" s="222" t="inlineStr">
        <is>
          <t>Наименование ресурса</t>
        </is>
      </c>
      <c r="E9" s="222" t="inlineStr">
        <is>
          <t>Ед. изм.</t>
        </is>
      </c>
      <c r="F9" s="222" t="inlineStr">
        <is>
          <t>Кол-во единиц по данным объекта-представителя</t>
        </is>
      </c>
      <c r="G9" s="222" t="inlineStr">
        <is>
          <t>Сметная стоимость в ценах на 01.01.2000 (руб.)</t>
        </is>
      </c>
      <c r="H9" s="313" t="n"/>
    </row>
    <row r="10" ht="40.7" customHeight="1" s="186">
      <c r="A10" s="315" t="n"/>
      <c r="B10" s="315" t="n"/>
      <c r="C10" s="315" t="n"/>
      <c r="D10" s="315" t="n"/>
      <c r="E10" s="315" t="n"/>
      <c r="F10" s="315" t="n"/>
      <c r="G10" s="222" t="inlineStr">
        <is>
          <t>на ед.изм.</t>
        </is>
      </c>
      <c r="H10" s="222" t="inlineStr">
        <is>
          <t>общая</t>
        </is>
      </c>
    </row>
    <row r="11">
      <c r="A11" s="223" t="n">
        <v>1</v>
      </c>
      <c r="B11" s="223" t="n"/>
      <c r="C11" s="223" t="n">
        <v>2</v>
      </c>
      <c r="D11" s="223" t="inlineStr">
        <is>
          <t>З</t>
        </is>
      </c>
      <c r="E11" s="223" t="n">
        <v>4</v>
      </c>
      <c r="F11" s="223" t="n">
        <v>5</v>
      </c>
      <c r="G11" s="223" t="n">
        <v>6</v>
      </c>
      <c r="H11" s="223" t="n">
        <v>7</v>
      </c>
    </row>
    <row r="12" customFormat="1" s="156">
      <c r="A12" s="229" t="inlineStr">
        <is>
          <t>Затраты труда рабочих</t>
        </is>
      </c>
      <c r="B12" s="312" t="n"/>
      <c r="C12" s="312" t="n"/>
      <c r="D12" s="312" t="n"/>
      <c r="E12" s="313" t="n"/>
      <c r="F12" s="318" t="n">
        <v>2.92</v>
      </c>
      <c r="G12" s="10" t="n"/>
      <c r="H12" s="318">
        <f>SUM(H13:H13)</f>
        <v/>
      </c>
      <c r="J12" s="188" t="n"/>
    </row>
    <row r="13">
      <c r="A13" s="258" t="n">
        <v>1</v>
      </c>
      <c r="B13" s="123" t="n"/>
      <c r="C13" s="128" t="inlineStr">
        <is>
          <t>1-3-8</t>
        </is>
      </c>
      <c r="D13" s="129" t="inlineStr">
        <is>
          <t>Затраты труда рабочих (ср 3,8)</t>
        </is>
      </c>
      <c r="E13" s="258" t="inlineStr">
        <is>
          <t>чел.-ч</t>
        </is>
      </c>
      <c r="F13" s="319" t="n">
        <v>2.92</v>
      </c>
      <c r="G13" s="124" t="n">
        <v>9.4</v>
      </c>
      <c r="H13" s="124">
        <f>ROUND(F13*G13,2)</f>
        <v/>
      </c>
      <c r="M13" s="320" t="n"/>
    </row>
    <row r="14">
      <c r="A14" s="228" t="inlineStr">
        <is>
          <t>Затраты труда машинистов</t>
        </is>
      </c>
      <c r="B14" s="312" t="n"/>
      <c r="C14" s="312" t="n"/>
      <c r="D14" s="312" t="n"/>
      <c r="E14" s="313" t="n"/>
      <c r="F14" s="229" t="n"/>
      <c r="G14" s="125" t="n"/>
      <c r="H14" s="318">
        <f>H15</f>
        <v/>
      </c>
    </row>
    <row r="15">
      <c r="A15" s="258" t="n">
        <v>2</v>
      </c>
      <c r="B15" s="230" t="n"/>
      <c r="C15" s="128" t="n">
        <v>2</v>
      </c>
      <c r="D15" s="129" t="inlineStr">
        <is>
          <t>Затраты труда машинистов</t>
        </is>
      </c>
      <c r="E15" s="258" t="inlineStr">
        <is>
          <t>чел.-ч</t>
        </is>
      </c>
      <c r="F15" s="319" t="n">
        <v>0.05</v>
      </c>
      <c r="G15" s="124" t="n"/>
      <c r="H15" s="321" t="n">
        <v>0.5</v>
      </c>
    </row>
    <row r="16" customFormat="1" s="156">
      <c r="A16" s="229" t="inlineStr">
        <is>
          <t>Машины и механизмы</t>
        </is>
      </c>
      <c r="B16" s="312" t="n"/>
      <c r="C16" s="312" t="n"/>
      <c r="D16" s="312" t="n"/>
      <c r="E16" s="313" t="n"/>
      <c r="F16" s="229" t="n"/>
      <c r="G16" s="125" t="n"/>
      <c r="H16" s="318">
        <f>SUM(H17:H19)</f>
        <v/>
      </c>
      <c r="J16" s="188" t="n"/>
    </row>
    <row r="17">
      <c r="A17" s="258" t="n">
        <v>3</v>
      </c>
      <c r="B17" s="230" t="n"/>
      <c r="C17" s="128" t="inlineStr">
        <is>
          <t>91.05.05-015</t>
        </is>
      </c>
      <c r="D17" s="129" t="inlineStr">
        <is>
          <t>Краны на автомобильном ходу, грузоподъемность 16 т</t>
        </is>
      </c>
      <c r="E17" s="258" t="inlineStr">
        <is>
          <t>маш.час</t>
        </is>
      </c>
      <c r="F17" s="258" t="n">
        <v>0.02</v>
      </c>
      <c r="G17" s="160" t="n">
        <v>115.4</v>
      </c>
      <c r="H17" s="124">
        <f>ROUND(F17*G17,2)</f>
        <v/>
      </c>
      <c r="I17" s="135" t="n"/>
      <c r="J17" s="135" t="n"/>
      <c r="L17" s="135" t="n"/>
    </row>
    <row r="18" ht="25.5" customHeight="1" s="186">
      <c r="A18" s="258" t="n">
        <v>4</v>
      </c>
      <c r="B18" s="230" t="n"/>
      <c r="C18" s="128" t="inlineStr">
        <is>
          <t>91.17.04-233</t>
        </is>
      </c>
      <c r="D18" s="129" t="inlineStr">
        <is>
          <t>Установки для сварки ручной дуговой (постоянного тока)</t>
        </is>
      </c>
      <c r="E18" s="258" t="inlineStr">
        <is>
          <t>маш.час</t>
        </is>
      </c>
      <c r="F18" s="258" t="n">
        <v>0.17</v>
      </c>
      <c r="G18" s="160" t="n">
        <v>8.1</v>
      </c>
      <c r="H18" s="124">
        <f>ROUND(F18*G18,2)</f>
        <v/>
      </c>
      <c r="I18" s="135" t="n"/>
      <c r="J18" s="135" t="n"/>
      <c r="K18" s="135" t="n"/>
      <c r="L18" s="135" t="n"/>
    </row>
    <row r="19">
      <c r="A19" s="258" t="n">
        <v>5</v>
      </c>
      <c r="B19" s="230" t="n"/>
      <c r="C19" s="128" t="inlineStr">
        <is>
          <t>91.14.02-001</t>
        </is>
      </c>
      <c r="D19" s="129" t="inlineStr">
        <is>
          <t>Автомобили бортовые, грузоподъемность до 5 т</t>
        </is>
      </c>
      <c r="E19" s="258" t="inlineStr">
        <is>
          <t>маш.час</t>
        </is>
      </c>
      <c r="F19" s="258" t="n">
        <v>0.02</v>
      </c>
      <c r="G19" s="160" t="n">
        <v>65.70999999999999</v>
      </c>
      <c r="H19" s="124">
        <f>ROUND(F19*G19,2)</f>
        <v/>
      </c>
      <c r="I19" s="135" t="n"/>
      <c r="J19" s="135" t="n"/>
      <c r="K19" s="135" t="n"/>
      <c r="L19" s="135" t="n"/>
    </row>
    <row r="20" ht="15" customHeight="1" s="186">
      <c r="A20" s="229" t="inlineStr">
        <is>
          <t>Оборудование</t>
        </is>
      </c>
      <c r="B20" s="312" t="n"/>
      <c r="C20" s="312" t="n"/>
      <c r="D20" s="312" t="n"/>
      <c r="E20" s="313" t="n"/>
      <c r="F20" s="10" t="n"/>
      <c r="G20" s="10" t="n"/>
      <c r="H20" s="318" t="n"/>
    </row>
    <row r="21">
      <c r="A21" s="229" t="inlineStr">
        <is>
          <t>Материалы</t>
        </is>
      </c>
      <c r="B21" s="312" t="n"/>
      <c r="C21" s="312" t="n"/>
      <c r="D21" s="312" t="n"/>
      <c r="E21" s="313" t="n"/>
      <c r="F21" s="229" t="n"/>
      <c r="G21" s="125" t="n"/>
      <c r="H21" s="318">
        <f>SUM(H22:H39)</f>
        <v/>
      </c>
    </row>
    <row r="22">
      <c r="A22" s="161" t="n">
        <v>6</v>
      </c>
      <c r="B22" s="230" t="n"/>
      <c r="C22" s="128" t="inlineStr">
        <is>
          <t>21.2.01.01-0062</t>
        </is>
      </c>
      <c r="D22" s="129" t="inlineStr">
        <is>
          <t>Провод самонесущий изолированный СИП-4 2х16</t>
        </is>
      </c>
      <c r="E22" s="258" t="inlineStr">
        <is>
          <t>1000 м</t>
        </is>
      </c>
      <c r="F22" s="258" t="n">
        <v>0.033</v>
      </c>
      <c r="G22" s="124" t="n">
        <v>4805.96</v>
      </c>
      <c r="H22" s="124">
        <f>ROUND(F22*G22,2)</f>
        <v/>
      </c>
      <c r="I22" s="136" t="n"/>
      <c r="J22" s="135" t="n"/>
      <c r="K22" s="135" t="n"/>
    </row>
    <row r="23" ht="38.25" customHeight="1" s="186">
      <c r="A23" s="161" t="n">
        <v>7</v>
      </c>
      <c r="B23" s="230" t="n"/>
      <c r="C23" s="128" t="inlineStr">
        <is>
          <t>25.2.02.11-0021</t>
        </is>
      </c>
      <c r="D23" s="12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23" s="258" t="inlineStr">
        <is>
          <t>шт</t>
        </is>
      </c>
      <c r="F23" s="258" t="n">
        <v>0.08</v>
      </c>
      <c r="G23" s="124" t="n">
        <v>943.0599999999999</v>
      </c>
      <c r="H23" s="124">
        <f>ROUND(F23*G23,2)</f>
        <v/>
      </c>
      <c r="I23" s="136" t="n"/>
      <c r="J23" s="135" t="n"/>
    </row>
    <row r="24">
      <c r="A24" s="161" t="n">
        <v>8</v>
      </c>
      <c r="B24" s="230" t="n"/>
      <c r="C24" s="128" t="inlineStr">
        <is>
          <t>25.2.02.04-0011</t>
        </is>
      </c>
      <c r="D24" s="129" t="inlineStr">
        <is>
          <t>Кронштейн анкерный (СИП), марка CA 1500</t>
        </is>
      </c>
      <c r="E24" s="258" t="inlineStr">
        <is>
          <t>шт</t>
        </is>
      </c>
      <c r="F24" s="258" t="n">
        <v>2</v>
      </c>
      <c r="G24" s="124" t="n">
        <v>34.91</v>
      </c>
      <c r="H24" s="124">
        <f>ROUND(F24*G24,2)</f>
        <v/>
      </c>
      <c r="I24" s="136" t="n"/>
      <c r="J24" s="135" t="n"/>
    </row>
    <row r="25" ht="25.5" customHeight="1" s="186">
      <c r="A25" s="161" t="n">
        <v>9</v>
      </c>
      <c r="B25" s="230" t="n"/>
      <c r="C25" s="128" t="inlineStr">
        <is>
          <t>20.1.01.08-0017</t>
        </is>
      </c>
      <c r="D25" s="129" t="inlineStr">
        <is>
          <t>Зажим ответвительный с прокалыванием изоляции (СИП): P2-95</t>
        </is>
      </c>
      <c r="E25" s="258" t="inlineStr">
        <is>
          <t>100 шт</t>
        </is>
      </c>
      <c r="F25" s="258" t="n">
        <v>0.02</v>
      </c>
      <c r="G25" s="124" t="n">
        <v>3133</v>
      </c>
      <c r="H25" s="124">
        <f>ROUND(F25*G25,2)</f>
        <v/>
      </c>
      <c r="I25" s="136" t="n"/>
      <c r="J25" s="135" t="n"/>
    </row>
    <row r="26" ht="25.5" customHeight="1" s="186">
      <c r="A26" s="161" t="n">
        <v>10</v>
      </c>
      <c r="B26" s="230" t="n"/>
      <c r="C26" s="128" t="inlineStr">
        <is>
          <t>24.3.03.13-0304</t>
        </is>
      </c>
      <c r="D26" s="129" t="inlineStr">
        <is>
          <t>Трубы полиэтиленовые гладкие легкие ПНД, диаметр 32 мм</t>
        </is>
      </c>
      <c r="E26" s="258" t="inlineStr">
        <is>
          <t>м</t>
        </is>
      </c>
      <c r="F26" s="258" t="n">
        <v>6</v>
      </c>
      <c r="G26" s="124" t="n">
        <v>9.94</v>
      </c>
      <c r="H26" s="124">
        <f>ROUND(F26*G26,2)</f>
        <v/>
      </c>
      <c r="I26" s="136" t="n"/>
      <c r="J26" s="135" t="n"/>
    </row>
    <row r="27">
      <c r="A27" s="161" t="n">
        <v>11</v>
      </c>
      <c r="B27" s="230" t="n"/>
      <c r="C27" s="128" t="inlineStr">
        <is>
          <t>20.1.01.01-0001</t>
        </is>
      </c>
      <c r="D27" s="129" t="inlineStr">
        <is>
          <t>Зажим анкерный (СИП): DN 123</t>
        </is>
      </c>
      <c r="E27" s="258" t="inlineStr">
        <is>
          <t>100 шт</t>
        </is>
      </c>
      <c r="F27" s="258" t="n">
        <v>0.02</v>
      </c>
      <c r="G27" s="124" t="n">
        <v>2741</v>
      </c>
      <c r="H27" s="124">
        <f>ROUND(F27*G27,2)</f>
        <v/>
      </c>
      <c r="I27" s="136" t="n"/>
      <c r="J27" s="135" t="n"/>
      <c r="K27" s="135" t="n"/>
    </row>
    <row r="28" ht="25.5" customHeight="1" s="186">
      <c r="A28" s="161" t="n">
        <v>12</v>
      </c>
      <c r="B28" s="230" t="n"/>
      <c r="C28" s="128" t="inlineStr">
        <is>
          <t>24.3.03.05-0014</t>
        </is>
      </c>
      <c r="D28" s="129" t="inlineStr">
        <is>
          <t>Трубы полиэтиленовые гибкие гофрированные легкие с протяжкой, номинальный внутренний диаметр 32 мм</t>
        </is>
      </c>
      <c r="E28" s="258" t="inlineStr">
        <is>
          <t>м</t>
        </is>
      </c>
      <c r="F28" s="258" t="n">
        <v>2</v>
      </c>
      <c r="G28" s="124" t="n">
        <v>7.51</v>
      </c>
      <c r="H28" s="124">
        <f>ROUND(F28*G28,2)</f>
        <v/>
      </c>
      <c r="I28" s="136" t="n"/>
      <c r="J28" s="135" t="n"/>
    </row>
    <row r="29" ht="25.5" customHeight="1" s="186">
      <c r="A29" s="161" t="n">
        <v>13</v>
      </c>
      <c r="B29" s="230" t="n"/>
      <c r="C29" s="128" t="inlineStr">
        <is>
          <t>25.2.02.11-0051</t>
        </is>
      </c>
      <c r="D29" s="129" t="inlineStr">
        <is>
          <t>Скрепа для фиксации на промежуточных опорах, размер 20 мм</t>
        </is>
      </c>
      <c r="E29" s="258" t="inlineStr">
        <is>
          <t>100 шт</t>
        </is>
      </c>
      <c r="F29" s="258" t="n">
        <v>0.02</v>
      </c>
      <c r="G29" s="124" t="n">
        <v>582</v>
      </c>
      <c r="H29" s="124">
        <f>ROUND(F29*G29,2)</f>
        <v/>
      </c>
      <c r="I29" s="136" t="n"/>
      <c r="J29" s="135" t="n"/>
    </row>
    <row r="30">
      <c r="A30" s="161" t="n">
        <v>14</v>
      </c>
      <c r="B30" s="230" t="n"/>
      <c r="C30" s="128" t="inlineStr">
        <is>
          <t>20.2.10.03-0006</t>
        </is>
      </c>
      <c r="D30" s="129" t="inlineStr">
        <is>
          <t>Наконечники кабельные медные соединительные</t>
        </is>
      </c>
      <c r="E30" s="258" t="inlineStr">
        <is>
          <t>100 шт</t>
        </is>
      </c>
      <c r="F30" s="258" t="n">
        <v>0.02</v>
      </c>
      <c r="G30" s="124" t="n">
        <v>365</v>
      </c>
      <c r="H30" s="124">
        <f>ROUND(F30*G30,2)</f>
        <v/>
      </c>
      <c r="I30" s="136" t="n"/>
      <c r="J30" s="135" t="n"/>
    </row>
    <row r="31" ht="25.5" customHeight="1" s="186">
      <c r="A31" s="161" t="n">
        <v>15</v>
      </c>
      <c r="B31" s="230" t="n"/>
      <c r="C31" s="128" t="inlineStr">
        <is>
          <t>24.3.05.07-0153</t>
        </is>
      </c>
      <c r="D31" s="129" t="inlineStr">
        <is>
          <t>Муфта полипропиленовая соединительная, диаметр 32 мм</t>
        </is>
      </c>
      <c r="E31" s="258" t="inlineStr">
        <is>
          <t>шт</t>
        </is>
      </c>
      <c r="F31" s="258" t="n">
        <v>3</v>
      </c>
      <c r="G31" s="124" t="n">
        <v>1.29</v>
      </c>
      <c r="H31" s="124">
        <f>ROUND(F31*G31,2)</f>
        <v/>
      </c>
      <c r="I31" s="136" t="n"/>
      <c r="J31" s="135" t="n"/>
    </row>
    <row r="32">
      <c r="A32" s="161" t="n">
        <v>16</v>
      </c>
      <c r="B32" s="230" t="n"/>
      <c r="C32" s="128" t="inlineStr">
        <is>
          <t>20.2.01.05-0007</t>
        </is>
      </c>
      <c r="D32" s="129" t="inlineStr">
        <is>
          <t>Гильзы кабельные медные ГМ 35</t>
        </is>
      </c>
      <c r="E32" s="258" t="inlineStr">
        <is>
          <t>100 шт</t>
        </is>
      </c>
      <c r="F32" s="258" t="n">
        <v>0.004</v>
      </c>
      <c r="G32" s="124" t="n">
        <v>378</v>
      </c>
      <c r="H32" s="124">
        <f>ROUND(F32*G32,2)</f>
        <v/>
      </c>
      <c r="I32" s="136" t="n"/>
      <c r="J32" s="135" t="n"/>
    </row>
    <row r="33">
      <c r="A33" s="161" t="n">
        <v>17</v>
      </c>
      <c r="B33" s="230" t="n"/>
      <c r="C33" s="128" t="inlineStr">
        <is>
          <t>14.1.02.01-0002</t>
        </is>
      </c>
      <c r="D33" s="129" t="inlineStr">
        <is>
          <t>Клей БМК-5к</t>
        </is>
      </c>
      <c r="E33" s="258" t="inlineStr">
        <is>
          <t>кг</t>
        </is>
      </c>
      <c r="F33" s="258" t="n">
        <v>0.032</v>
      </c>
      <c r="G33" s="124" t="n">
        <v>25.8</v>
      </c>
      <c r="H33" s="124">
        <f>ROUND(F33*G33,2)</f>
        <v/>
      </c>
      <c r="I33" s="136" t="n"/>
      <c r="J33" s="135" t="n"/>
    </row>
    <row r="34">
      <c r="A34" s="161" t="n">
        <v>18</v>
      </c>
      <c r="B34" s="230" t="n"/>
      <c r="C34" s="128" t="inlineStr">
        <is>
          <t>01.7.11.07-0034</t>
        </is>
      </c>
      <c r="D34" s="129" t="inlineStr">
        <is>
          <t>Электроды сварочные Э42А, диаметр 4 мм</t>
        </is>
      </c>
      <c r="E34" s="258" t="inlineStr">
        <is>
          <t>кг</t>
        </is>
      </c>
      <c r="F34" s="258" t="n">
        <v>0.07679999999999999</v>
      </c>
      <c r="G34" s="124" t="n">
        <v>10.57</v>
      </c>
      <c r="H34" s="124">
        <f>ROUND(F34*G34,2)</f>
        <v/>
      </c>
      <c r="I34" s="136" t="n"/>
      <c r="J34" s="135" t="n"/>
    </row>
    <row r="35" ht="25.5" customHeight="1" s="186">
      <c r="A35" s="161" t="n">
        <v>19</v>
      </c>
      <c r="B35" s="230" t="n"/>
      <c r="C35" s="128" t="inlineStr">
        <is>
          <t>01.7.06.05-0041</t>
        </is>
      </c>
      <c r="D35" s="129" t="inlineStr">
        <is>
          <t>Лента изоляционная прорезиненная односторонняя, ширина 20 мм, толщина 0,25-0,35 мм</t>
        </is>
      </c>
      <c r="E35" s="258" t="inlineStr">
        <is>
          <t>кг</t>
        </is>
      </c>
      <c r="F35" s="258" t="n">
        <v>0.0256</v>
      </c>
      <c r="G35" s="124" t="n">
        <v>30.4</v>
      </c>
      <c r="H35" s="124">
        <f>ROUND(F35*G35,2)</f>
        <v/>
      </c>
      <c r="I35" s="136" t="n"/>
      <c r="J35" s="135" t="n"/>
    </row>
    <row r="36" ht="25.5" customHeight="1" s="186">
      <c r="A36" s="161" t="n">
        <v>20</v>
      </c>
      <c r="B36" s="230" t="n"/>
      <c r="C36" s="128" t="inlineStr">
        <is>
          <t>999-9950</t>
        </is>
      </c>
      <c r="D36" s="129" t="inlineStr">
        <is>
          <t>Вспомогательные ненормируемые ресурсы (2% от Оплаты труда рабочих)</t>
        </is>
      </c>
      <c r="E36" s="258" t="inlineStr">
        <is>
          <t>руб</t>
        </is>
      </c>
      <c r="F36" s="258" t="n">
        <v>0.548</v>
      </c>
      <c r="G36" s="124" t="n">
        <v>1</v>
      </c>
      <c r="H36" s="124">
        <f>ROUND(F36*G36,2)</f>
        <v/>
      </c>
      <c r="I36" s="136" t="n"/>
      <c r="J36" s="135" t="n"/>
    </row>
    <row r="37">
      <c r="A37" s="161" t="n">
        <v>21</v>
      </c>
      <c r="B37" s="230" t="n"/>
      <c r="C37" s="128" t="inlineStr">
        <is>
          <t>20.2.02.01-0014</t>
        </is>
      </c>
      <c r="D37" s="129" t="inlineStr">
        <is>
          <t>Втулки, диаметр 42 мм</t>
        </is>
      </c>
      <c r="E37" s="258" t="inlineStr">
        <is>
          <t>1000 шт</t>
        </is>
      </c>
      <c r="F37" s="258" t="n">
        <v>0.000976</v>
      </c>
      <c r="G37" s="124" t="n">
        <v>282.03</v>
      </c>
      <c r="H37" s="124">
        <f>ROUND(F37*G37,2)</f>
        <v/>
      </c>
      <c r="I37" s="136" t="n"/>
      <c r="J37" s="135" t="n"/>
    </row>
    <row r="38">
      <c r="A38" s="161" t="n">
        <v>22</v>
      </c>
      <c r="B38" s="230" t="n"/>
      <c r="C38" s="128" t="inlineStr">
        <is>
          <t>01.7.07.20-0002</t>
        </is>
      </c>
      <c r="D38" s="129" t="inlineStr">
        <is>
          <t>Тальк молотый, сорт I</t>
        </is>
      </c>
      <c r="E38" s="258" t="inlineStr">
        <is>
          <t>т</t>
        </is>
      </c>
      <c r="F38" s="258" t="n">
        <v>9.280000000000001e-05</v>
      </c>
      <c r="G38" s="124" t="n">
        <v>1820</v>
      </c>
      <c r="H38" s="124">
        <f>ROUND(F38*G38,2)</f>
        <v/>
      </c>
      <c r="I38" s="136" t="n"/>
      <c r="J38" s="135" t="n"/>
    </row>
    <row r="39">
      <c r="A39" s="161" t="n">
        <v>23</v>
      </c>
      <c r="B39" s="230" t="n"/>
      <c r="C39" s="128" t="inlineStr">
        <is>
          <t>14.4.02.09-0001</t>
        </is>
      </c>
      <c r="D39" s="129" t="inlineStr">
        <is>
          <t>Краска</t>
        </is>
      </c>
      <c r="E39" s="258" t="inlineStr">
        <is>
          <t>кг</t>
        </is>
      </c>
      <c r="F39" s="258" t="n">
        <v>0.0016</v>
      </c>
      <c r="G39" s="124" t="n">
        <v>28.6</v>
      </c>
      <c r="H39" s="124">
        <f>ROUND(F39*G39,2)</f>
        <v/>
      </c>
      <c r="I39" s="136" t="n"/>
      <c r="J39" s="135" t="n"/>
    </row>
    <row r="42">
      <c r="B42" s="188" t="inlineStr">
        <is>
          <t>Составил ______________________     Д.Ю. Нефедова</t>
        </is>
      </c>
    </row>
    <row r="43">
      <c r="B43" s="115" t="inlineStr">
        <is>
          <t xml:space="preserve">                         (подпись, инициалы, фамилия)</t>
        </is>
      </c>
    </row>
    <row r="45">
      <c r="B45" s="188" t="inlineStr">
        <is>
          <t>Проверил ______________________        А.В. Костянецкая</t>
        </is>
      </c>
    </row>
    <row r="46">
      <c r="B46" s="115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12:E12"/>
    <mergeCell ref="D9:D10"/>
    <mergeCell ref="E9:E10"/>
    <mergeCell ref="A20:E20"/>
    <mergeCell ref="A3:H3"/>
    <mergeCell ref="A16:E16"/>
    <mergeCell ref="A9:A10"/>
    <mergeCell ref="F9:F10"/>
    <mergeCell ref="A2:H2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186" min="1" max="1"/>
    <col width="36.28515625" customWidth="1" style="186" min="2" max="2"/>
    <col width="18.85546875" customWidth="1" style="186" min="3" max="3"/>
    <col width="18.28515625" customWidth="1" style="186" min="4" max="4"/>
    <col width="18.85546875" customWidth="1" style="186" min="5" max="5"/>
    <col width="11.42578125" customWidth="1" style="186" min="6" max="6"/>
    <col width="14.42578125" customWidth="1" style="186" min="7" max="7"/>
    <col width="13.5703125" customWidth="1" style="186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1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38.25" customHeight="1" s="186">
      <c r="B7" s="232" t="inlineStr">
        <is>
          <t>Наименование разрабатываемого показателя УНЦ — Организация однофазного ввода к потребителю от шкафа учета, устанавливаемого на опоре ВЛ</t>
        </is>
      </c>
    </row>
    <row r="8">
      <c r="B8" s="233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 s="186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63">
        <f>'Прил.5 Расчет СМР и ОБ'!J14</f>
        <v/>
      </c>
      <c r="D11" s="164">
        <f>C11/$C$24</f>
        <v/>
      </c>
      <c r="E11" s="164">
        <f>C11/$C$40</f>
        <v/>
      </c>
    </row>
    <row r="12">
      <c r="B12" s="117" t="inlineStr">
        <is>
          <t>Эксплуатация машин основных</t>
        </is>
      </c>
      <c r="C12" s="163">
        <f>'Прил.5 Расчет СМР и ОБ'!J22</f>
        <v/>
      </c>
      <c r="D12" s="164">
        <f>C12/$C$24</f>
        <v/>
      </c>
      <c r="E12" s="164">
        <f>C12/$C$40</f>
        <v/>
      </c>
    </row>
    <row r="13">
      <c r="B13" s="117" t="inlineStr">
        <is>
          <t>Эксплуатация машин прочих</t>
        </is>
      </c>
      <c r="C13" s="163">
        <f>'Прил.5 Расчет СМР и ОБ'!J23</f>
        <v/>
      </c>
      <c r="D13" s="164">
        <f>C13/$C$24</f>
        <v/>
      </c>
      <c r="E13" s="164">
        <f>C13/$C$40</f>
        <v/>
      </c>
    </row>
    <row r="14">
      <c r="B14" s="117" t="inlineStr">
        <is>
          <t>ЭКСПЛУАТАЦИЯ МАШИН, ВСЕГО:</t>
        </is>
      </c>
      <c r="C14" s="163">
        <f>C13+C12</f>
        <v/>
      </c>
      <c r="D14" s="164">
        <f>C14/$C$24</f>
        <v/>
      </c>
      <c r="E14" s="164">
        <f>C14/$C$40</f>
        <v/>
      </c>
    </row>
    <row r="15">
      <c r="B15" s="117" t="inlineStr">
        <is>
          <t>в том числе зарплата машинистов</t>
        </is>
      </c>
      <c r="C15" s="163">
        <f>'Прил.5 Расчет СМР и ОБ'!J16</f>
        <v/>
      </c>
      <c r="D15" s="164">
        <f>C15/$C$24</f>
        <v/>
      </c>
      <c r="E15" s="164">
        <f>C15/$C$40</f>
        <v/>
      </c>
    </row>
    <row r="16">
      <c r="B16" s="117" t="inlineStr">
        <is>
          <t>Материалы основные</t>
        </is>
      </c>
      <c r="C16" s="163">
        <f>'Прил.5 Расчет СМР и ОБ'!J39</f>
        <v/>
      </c>
      <c r="D16" s="164">
        <f>C16/$C$24</f>
        <v/>
      </c>
      <c r="E16" s="164">
        <f>C16/$C$40</f>
        <v/>
      </c>
    </row>
    <row r="17">
      <c r="B17" s="117" t="inlineStr">
        <is>
          <t>Материалы прочие</t>
        </is>
      </c>
      <c r="C17" s="163">
        <f>'Прил.5 Расчет СМР и ОБ'!J52</f>
        <v/>
      </c>
      <c r="D17" s="164">
        <f>C17/$C$24</f>
        <v/>
      </c>
      <c r="E17" s="164">
        <f>C17/$C$40</f>
        <v/>
      </c>
      <c r="G17" s="322" t="n"/>
    </row>
    <row r="18">
      <c r="B18" s="117" t="inlineStr">
        <is>
          <t>МАТЕРИАЛЫ, ВСЕГО:</t>
        </is>
      </c>
      <c r="C18" s="163">
        <f>C17+C16</f>
        <v/>
      </c>
      <c r="D18" s="164">
        <f>C18/$C$24</f>
        <v/>
      </c>
      <c r="E18" s="164">
        <f>C18/$C$40</f>
        <v/>
      </c>
    </row>
    <row r="19">
      <c r="B19" s="117" t="inlineStr">
        <is>
          <t>ИТОГО</t>
        </is>
      </c>
      <c r="C19" s="163">
        <f>C18+C14+C11</f>
        <v/>
      </c>
      <c r="D19" s="164" t="n"/>
      <c r="E19" s="117" t="n"/>
    </row>
    <row r="20">
      <c r="B20" s="117" t="inlineStr">
        <is>
          <t>Сметная прибыль, руб.</t>
        </is>
      </c>
      <c r="C20" s="163">
        <f>ROUND(C21*(C11+C15),2)</f>
        <v/>
      </c>
      <c r="D20" s="164">
        <f>C20/$C$24</f>
        <v/>
      </c>
      <c r="E20" s="164">
        <f>C20/$C$40</f>
        <v/>
      </c>
    </row>
    <row r="21">
      <c r="B21" s="117" t="inlineStr">
        <is>
          <t>Сметная прибыль, %</t>
        </is>
      </c>
      <c r="C21" s="166">
        <f>'Прил.5 Расчет СМР и ОБ'!D56</f>
        <v/>
      </c>
      <c r="D21" s="164" t="n"/>
      <c r="E21" s="117" t="n"/>
    </row>
    <row r="22">
      <c r="B22" s="117" t="inlineStr">
        <is>
          <t>Накладные расходы, руб.</t>
        </is>
      </c>
      <c r="C22" s="163">
        <f>ROUND(C23*(C11+C15),2)</f>
        <v/>
      </c>
      <c r="D22" s="164">
        <f>C22/$C$24</f>
        <v/>
      </c>
      <c r="E22" s="164">
        <f>C22/$C$40</f>
        <v/>
      </c>
    </row>
    <row r="23">
      <c r="B23" s="117" t="inlineStr">
        <is>
          <t>Накладные расходы, %</t>
        </is>
      </c>
      <c r="C23" s="166">
        <f>'Прил.5 Расчет СМР и ОБ'!D55</f>
        <v/>
      </c>
      <c r="D23" s="164" t="n"/>
      <c r="E23" s="117" t="n"/>
    </row>
    <row r="24">
      <c r="B24" s="117" t="inlineStr">
        <is>
          <t>ВСЕГО СМР с НР и СП</t>
        </is>
      </c>
      <c r="C24" s="163">
        <f>C19+C20+C22</f>
        <v/>
      </c>
      <c r="D24" s="164">
        <f>C24/$C$24</f>
        <v/>
      </c>
      <c r="E24" s="164">
        <f>C24/$C$40</f>
        <v/>
      </c>
    </row>
    <row r="25" ht="25.5" customHeight="1" s="186">
      <c r="B25" s="117" t="inlineStr">
        <is>
          <t>ВСЕГО стоимость оборудования, в том числе</t>
        </is>
      </c>
      <c r="C25" s="163">
        <f>'Прил.5 Расчет СМР и ОБ'!J29</f>
        <v/>
      </c>
      <c r="D25" s="164" t="n"/>
      <c r="E25" s="164">
        <f>C25/$C$40</f>
        <v/>
      </c>
    </row>
    <row r="26" ht="25.5" customHeight="1" s="186">
      <c r="B26" s="117" t="inlineStr">
        <is>
          <t>стоимость оборудования технологического</t>
        </is>
      </c>
      <c r="C26" s="163">
        <f>'Прил.5 Расчет СМР и ОБ'!J30</f>
        <v/>
      </c>
      <c r="D26" s="164" t="n"/>
      <c r="E26" s="164">
        <f>C26/$C$40</f>
        <v/>
      </c>
    </row>
    <row r="27">
      <c r="B27" s="117" t="inlineStr">
        <is>
          <t>ИТОГО (СМР + ОБОРУДОВАНИЕ)</t>
        </is>
      </c>
      <c r="C27" s="110">
        <f>C24+C25</f>
        <v/>
      </c>
      <c r="D27" s="164" t="n"/>
      <c r="E27" s="164">
        <f>C27/$C$40</f>
        <v/>
      </c>
    </row>
    <row r="28" ht="33" customHeight="1" s="186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67" t="n"/>
    </row>
    <row r="29" ht="25.5" customHeight="1" s="186">
      <c r="B29" s="117" t="inlineStr">
        <is>
          <t>Временные здания и сооружения - 3,9%</t>
        </is>
      </c>
      <c r="C29" s="110">
        <f>ROUND(C24*3.9%,2)</f>
        <v/>
      </c>
      <c r="D29" s="117" t="n"/>
      <c r="E29" s="164">
        <f>C29/$C$40</f>
        <v/>
      </c>
    </row>
    <row r="30" ht="38.25" customHeight="1" s="186">
      <c r="B30" s="117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17" t="n"/>
      <c r="E30" s="164">
        <f>C30/$C$40</f>
        <v/>
      </c>
      <c r="F30" s="167" t="n"/>
    </row>
    <row r="31">
      <c r="B31" s="117" t="inlineStr">
        <is>
          <t>Пусконаладочные работы</t>
        </is>
      </c>
      <c r="C31" s="110" t="n">
        <v>0</v>
      </c>
      <c r="D31" s="117" t="n"/>
      <c r="E31" s="164">
        <f>C31/$C$40</f>
        <v/>
      </c>
    </row>
    <row r="32" ht="25.5" customHeight="1" s="186">
      <c r="B32" s="117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7" t="n"/>
      <c r="E32" s="164">
        <f>C32/$C$40</f>
        <v/>
      </c>
    </row>
    <row r="33" ht="25.5" customHeight="1" s="186">
      <c r="B33" s="117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7" t="n"/>
      <c r="E33" s="164">
        <f>C33/$C$40</f>
        <v/>
      </c>
    </row>
    <row r="34" ht="51" customHeight="1" s="186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7" t="n"/>
      <c r="E34" s="164">
        <f>C34/$C$40</f>
        <v/>
      </c>
      <c r="H34" s="136" t="n"/>
    </row>
    <row r="35" ht="76.5" customHeight="1" s="186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7" t="n"/>
      <c r="E35" s="164">
        <f>C35/$C$40</f>
        <v/>
      </c>
    </row>
    <row r="36" ht="25.5" customHeight="1" s="186">
      <c r="B36" s="117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7" t="n"/>
      <c r="E36" s="164">
        <f>C36/$C$40</f>
        <v/>
      </c>
      <c r="L36" s="167" t="n"/>
    </row>
    <row r="37">
      <c r="B37" s="117" t="inlineStr">
        <is>
          <t>Авторский надзор - 0,2%</t>
        </is>
      </c>
      <c r="C37" s="110">
        <f>ROUND((C27+C32+C33+C34+C35+C29+C31+C30)*0.2%,2)</f>
        <v/>
      </c>
      <c r="D37" s="117" t="n"/>
      <c r="E37" s="164">
        <f>C37/$C$40</f>
        <v/>
      </c>
      <c r="L37" s="167" t="n"/>
    </row>
    <row r="38" ht="38.25" customHeight="1" s="186">
      <c r="B38" s="117" t="inlineStr">
        <is>
          <t>ИТОГО (СМР+ОБОРУДОВАНИЕ+ПРОЧ. ЗАТР., УЧТЕННЫЕ ПОКАЗАТЕЛЕМ)</t>
        </is>
      </c>
      <c r="C38" s="163">
        <f>C27+C32+C33+C34+C35+C29+C31+C30+C36+C37</f>
        <v/>
      </c>
      <c r="D38" s="117" t="n"/>
      <c r="E38" s="164">
        <f>C38/$C$40</f>
        <v/>
      </c>
    </row>
    <row r="39" ht="13.7" customHeight="1" s="186">
      <c r="B39" s="117" t="inlineStr">
        <is>
          <t>Непредвиденные расходы</t>
        </is>
      </c>
      <c r="C39" s="163">
        <f>ROUND(C38*3%,2)</f>
        <v/>
      </c>
      <c r="D39" s="117" t="n"/>
      <c r="E39" s="164">
        <f>C39/$C$38</f>
        <v/>
      </c>
    </row>
    <row r="40">
      <c r="B40" s="117" t="inlineStr">
        <is>
          <t>ВСЕГО:</t>
        </is>
      </c>
      <c r="C40" s="163">
        <f>C39+C38</f>
        <v/>
      </c>
      <c r="D40" s="117" t="n"/>
      <c r="E40" s="164">
        <f>C40/$C$40</f>
        <v/>
      </c>
    </row>
    <row r="41">
      <c r="B41" s="117" t="inlineStr">
        <is>
          <t>ИТОГО ПОКАЗАТЕЛЬ НА ЕД. ИЗМ.</t>
        </is>
      </c>
      <c r="C41" s="163">
        <f>C40/'Прил.5 Расчет СМР и ОБ'!E59</f>
        <v/>
      </c>
      <c r="D41" s="117" t="n"/>
      <c r="E41" s="117" t="n"/>
    </row>
    <row r="42">
      <c r="B42" s="116" t="n"/>
      <c r="C42" s="4" t="n"/>
      <c r="D42" s="4" t="n"/>
      <c r="E42" s="4" t="n"/>
    </row>
    <row r="43">
      <c r="B43" s="11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6" t="n"/>
      <c r="C45" s="4" t="n"/>
      <c r="D45" s="4" t="n"/>
      <c r="E45" s="4" t="n"/>
    </row>
    <row r="46">
      <c r="B46" s="11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34" workbookViewId="0">
      <selection activeCell="C69" sqref="C69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6">
      <c r="H2" s="24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1" t="inlineStr">
        <is>
          <t>Расчет стоимости СМР и оборудования</t>
        </is>
      </c>
    </row>
    <row r="5" ht="12.75" customFormat="1" customHeight="1" s="4">
      <c r="A5" s="211" t="n"/>
      <c r="B5" s="211" t="n"/>
      <c r="C5" s="260" t="n"/>
      <c r="D5" s="211" t="n"/>
      <c r="E5" s="211" t="n"/>
      <c r="F5" s="211" t="n"/>
      <c r="G5" s="211" t="n"/>
      <c r="H5" s="211" t="n"/>
      <c r="I5" s="211" t="n"/>
      <c r="J5" s="211" t="n"/>
    </row>
    <row r="6" ht="27.75" customFormat="1" customHeight="1" s="4">
      <c r="A6" s="168" t="inlineStr">
        <is>
          <t>Наименование разрабатываемого показателя УНЦ</t>
        </is>
      </c>
      <c r="B6" s="169" t="n"/>
      <c r="C6" s="169" t="n"/>
      <c r="D6" s="252" t="inlineStr">
        <is>
          <t>Организация однофазного ввода к потребителю от шкафа учета, устанавливаемого на опоре ВЛ</t>
        </is>
      </c>
    </row>
    <row r="7" ht="12.75" customFormat="1" customHeight="1" s="4">
      <c r="A7" s="214" t="inlineStr">
        <is>
          <t>Единица измерения  — 1 ед.</t>
        </is>
      </c>
      <c r="I7" s="232" t="n"/>
      <c r="J7" s="232" t="n"/>
    </row>
    <row r="8" ht="13.7" customFormat="1" customHeight="1" s="4">
      <c r="A8" s="214" t="n"/>
    </row>
    <row r="9" ht="27" customHeight="1" s="186">
      <c r="A9" s="240" t="inlineStr">
        <is>
          <t>№ пп.</t>
        </is>
      </c>
      <c r="B9" s="240" t="inlineStr">
        <is>
          <t>Код ресурса</t>
        </is>
      </c>
      <c r="C9" s="240" t="inlineStr">
        <is>
          <t>Наименование</t>
        </is>
      </c>
      <c r="D9" s="240" t="inlineStr">
        <is>
          <t>Ед. изм.</t>
        </is>
      </c>
      <c r="E9" s="240" t="inlineStr">
        <is>
          <t>Кол-во единиц по проектным данным</t>
        </is>
      </c>
      <c r="F9" s="240" t="inlineStr">
        <is>
          <t>Сметная стоимость в ценах на 01.01.2000 (руб.)</t>
        </is>
      </c>
      <c r="G9" s="313" t="n"/>
      <c r="H9" s="240" t="inlineStr">
        <is>
          <t>Удельный вес, %</t>
        </is>
      </c>
      <c r="I9" s="240" t="inlineStr">
        <is>
          <t>Сметная стоимость в ценах на 01.01.2023 (руб.)</t>
        </is>
      </c>
      <c r="J9" s="313" t="n"/>
      <c r="M9" s="12" t="n"/>
      <c r="N9" s="12" t="n"/>
    </row>
    <row r="10" ht="28.5" customHeight="1" s="186">
      <c r="A10" s="315" t="n"/>
      <c r="B10" s="315" t="n"/>
      <c r="C10" s="315" t="n"/>
      <c r="D10" s="315" t="n"/>
      <c r="E10" s="315" t="n"/>
      <c r="F10" s="240" t="inlineStr">
        <is>
          <t>на ед. изм.</t>
        </is>
      </c>
      <c r="G10" s="240" t="inlineStr">
        <is>
          <t>общая</t>
        </is>
      </c>
      <c r="H10" s="315" t="n"/>
      <c r="I10" s="240" t="inlineStr">
        <is>
          <t>на ед. изм.</t>
        </is>
      </c>
      <c r="J10" s="240" t="inlineStr">
        <is>
          <t>общая</t>
        </is>
      </c>
      <c r="M10" s="12" t="n"/>
      <c r="N10" s="12" t="n"/>
    </row>
    <row r="11">
      <c r="A11" s="240" t="n">
        <v>1</v>
      </c>
      <c r="B11" s="240" t="n">
        <v>2</v>
      </c>
      <c r="C11" s="240" t="n">
        <v>3</v>
      </c>
      <c r="D11" s="240" t="n">
        <v>4</v>
      </c>
      <c r="E11" s="240" t="n">
        <v>5</v>
      </c>
      <c r="F11" s="240" t="n">
        <v>6</v>
      </c>
      <c r="G11" s="240" t="n">
        <v>7</v>
      </c>
      <c r="H11" s="240" t="n">
        <v>8</v>
      </c>
      <c r="I11" s="235" t="n">
        <v>9</v>
      </c>
      <c r="J11" s="235" t="n">
        <v>10</v>
      </c>
      <c r="M11" s="12" t="n"/>
      <c r="N11" s="12" t="n"/>
    </row>
    <row r="12">
      <c r="A12" s="240" t="n"/>
      <c r="B12" s="228" t="inlineStr">
        <is>
          <t>Затраты труда рабочих-строителей</t>
        </is>
      </c>
      <c r="C12" s="312" t="n"/>
      <c r="D12" s="312" t="n"/>
      <c r="E12" s="312" t="n"/>
      <c r="F12" s="312" t="n"/>
      <c r="G12" s="312" t="n"/>
      <c r="H12" s="313" t="n"/>
      <c r="I12" s="132" t="n"/>
      <c r="J12" s="132" t="n"/>
    </row>
    <row r="13" ht="25.5" customHeight="1" s="186">
      <c r="A13" s="240" t="n">
        <v>1</v>
      </c>
      <c r="B13" s="137" t="inlineStr">
        <is>
          <t>1-3-8</t>
        </is>
      </c>
      <c r="C13" s="239" t="inlineStr">
        <is>
          <t>Затраты труда рабочих-строителей среднего разряда (3,8)</t>
        </is>
      </c>
      <c r="D13" s="240" t="inlineStr">
        <is>
          <t>чел.-ч.</t>
        </is>
      </c>
      <c r="E13" s="323">
        <f>G13/F13</f>
        <v/>
      </c>
      <c r="F13" s="26" t="n">
        <v>9.4</v>
      </c>
      <c r="G13" s="26">
        <f>'Прил. 3'!H13</f>
        <v/>
      </c>
      <c r="H13" s="170">
        <f>G13/$G$14</f>
        <v/>
      </c>
      <c r="I13" s="26">
        <f>'ФОТр.тек.'!E13</f>
        <v/>
      </c>
      <c r="J13" s="26">
        <f>ROUND(I13*E13,2)</f>
        <v/>
      </c>
    </row>
    <row r="14" ht="25.5" customFormat="1" customHeight="1" s="12">
      <c r="A14" s="240" t="n"/>
      <c r="B14" s="240" t="n"/>
      <c r="C14" s="228" t="inlineStr">
        <is>
          <t>Итого по разделу "Затраты труда рабочих-строителей"</t>
        </is>
      </c>
      <c r="D14" s="240" t="inlineStr">
        <is>
          <t>чел.-ч.</t>
        </is>
      </c>
      <c r="E14" s="323">
        <f>SUM(E13:E13)</f>
        <v/>
      </c>
      <c r="F14" s="26" t="n"/>
      <c r="G14" s="26">
        <f>SUM(G13:G13)</f>
        <v/>
      </c>
      <c r="H14" s="243">
        <f>SUM(H13:H13)</f>
        <v/>
      </c>
      <c r="I14" s="132" t="n"/>
      <c r="J14" s="26">
        <f>SUM(J13:J13)</f>
        <v/>
      </c>
    </row>
    <row r="15" ht="14.25" customFormat="1" customHeight="1" s="12">
      <c r="A15" s="240" t="n"/>
      <c r="B15" s="239" t="inlineStr">
        <is>
          <t>Затраты труда машинистов</t>
        </is>
      </c>
      <c r="C15" s="312" t="n"/>
      <c r="D15" s="312" t="n"/>
      <c r="E15" s="312" t="n"/>
      <c r="F15" s="312" t="n"/>
      <c r="G15" s="312" t="n"/>
      <c r="H15" s="313" t="n"/>
      <c r="I15" s="132" t="n"/>
      <c r="J15" s="132" t="n"/>
    </row>
    <row r="16" ht="14.25" customFormat="1" customHeight="1" s="12">
      <c r="A16" s="240" t="n">
        <v>2</v>
      </c>
      <c r="B16" s="240" t="n">
        <v>2</v>
      </c>
      <c r="C16" s="239" t="inlineStr">
        <is>
          <t>Затраты труда машинистов</t>
        </is>
      </c>
      <c r="D16" s="240" t="inlineStr">
        <is>
          <t>чел.-ч.</t>
        </is>
      </c>
      <c r="E16" s="323">
        <f>'Прил. 3'!F15</f>
        <v/>
      </c>
      <c r="F16" s="26">
        <f>G16/E16</f>
        <v/>
      </c>
      <c r="G16" s="26">
        <f>'Прил. 3'!H14</f>
        <v/>
      </c>
      <c r="H16" s="243" t="n">
        <v>1</v>
      </c>
      <c r="I16" s="26">
        <f>ROUND(F16*'Прил. 10'!D11,2)</f>
        <v/>
      </c>
      <c r="J16" s="26">
        <f>ROUND(I16*E16,2)</f>
        <v/>
      </c>
    </row>
    <row r="17" ht="14.25" customFormat="1" customHeight="1" s="12">
      <c r="A17" s="240" t="n"/>
      <c r="B17" s="228" t="inlineStr">
        <is>
          <t>Машины и механизмы</t>
        </is>
      </c>
      <c r="C17" s="312" t="n"/>
      <c r="D17" s="312" t="n"/>
      <c r="E17" s="312" t="n"/>
      <c r="F17" s="312" t="n"/>
      <c r="G17" s="312" t="n"/>
      <c r="H17" s="313" t="n"/>
      <c r="I17" s="132" t="n"/>
      <c r="J17" s="132" t="n"/>
    </row>
    <row r="18" ht="14.25" customFormat="1" customHeight="1" s="12">
      <c r="A18" s="240" t="n"/>
      <c r="B18" s="239" t="inlineStr">
        <is>
          <t>Основные 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32" t="n"/>
      <c r="J18" s="132" t="n"/>
    </row>
    <row r="19" ht="25.5" customFormat="1" customHeight="1" s="12">
      <c r="A19" s="240" t="n">
        <v>3</v>
      </c>
      <c r="B19" s="137" t="inlineStr">
        <is>
          <t>91.05.05-015</t>
        </is>
      </c>
      <c r="C19" s="239" t="inlineStr">
        <is>
          <t>Краны на автомобильном ходу, грузоподъемность 16 т</t>
        </is>
      </c>
      <c r="D19" s="240" t="inlineStr">
        <is>
          <t>маш.час</t>
        </is>
      </c>
      <c r="E19" s="323" t="n">
        <v>0.02</v>
      </c>
      <c r="F19" s="242" t="n">
        <v>115.4</v>
      </c>
      <c r="G19" s="26">
        <f>ROUND(E19*F19,2)</f>
        <v/>
      </c>
      <c r="H19" s="170">
        <f>G19/$G$24</f>
        <v/>
      </c>
      <c r="I19" s="26">
        <f>ROUND(F19*'Прил. 10'!$D$12,2)</f>
        <v/>
      </c>
      <c r="J19" s="26">
        <f>ROUND(I19*E19,2)</f>
        <v/>
      </c>
    </row>
    <row r="20" ht="25.5" customFormat="1" customHeight="1" s="12">
      <c r="A20" s="240" t="n">
        <v>4</v>
      </c>
      <c r="B20" s="137" t="inlineStr">
        <is>
          <t>91.17.04-233</t>
        </is>
      </c>
      <c r="C20" s="239" t="inlineStr">
        <is>
          <t>Установки для сварки ручной дуговой (постоянного тока)</t>
        </is>
      </c>
      <c r="D20" s="240" t="inlineStr">
        <is>
          <t>маш.час</t>
        </is>
      </c>
      <c r="E20" s="323" t="n">
        <v>0.17</v>
      </c>
      <c r="F20" s="242" t="n">
        <v>8.1</v>
      </c>
      <c r="G20" s="26">
        <f>ROUND(E20*F20,2)</f>
        <v/>
      </c>
      <c r="H20" s="170">
        <f>G20/$G$24</f>
        <v/>
      </c>
      <c r="I20" s="26">
        <f>ROUND(F20*'Прил. 10'!$D$12,2)</f>
        <v/>
      </c>
      <c r="J20" s="26">
        <f>ROUND(I20*E20,2)</f>
        <v/>
      </c>
    </row>
    <row r="21" ht="25.5" customFormat="1" customHeight="1" s="12">
      <c r="A21" s="240" t="n">
        <v>5</v>
      </c>
      <c r="B21" s="137" t="inlineStr">
        <is>
          <t>91.14.02-001</t>
        </is>
      </c>
      <c r="C21" s="239" t="inlineStr">
        <is>
          <t>Автомобили бортовые, грузоподъемность до 5 т</t>
        </is>
      </c>
      <c r="D21" s="240" t="inlineStr">
        <is>
          <t>маш.час</t>
        </is>
      </c>
      <c r="E21" s="323" t="n">
        <v>0.02</v>
      </c>
      <c r="F21" s="242" t="n">
        <v>65.70999999999999</v>
      </c>
      <c r="G21" s="26">
        <f>ROUND(E21*F21,2)</f>
        <v/>
      </c>
      <c r="H21" s="170">
        <f>G21/$G$24</f>
        <v/>
      </c>
      <c r="I21" s="26">
        <f>ROUND(F21*'Прил. 10'!$D$12,2)</f>
        <v/>
      </c>
      <c r="J21" s="26">
        <f>ROUND(I21*E21,2)</f>
        <v/>
      </c>
    </row>
    <row r="22" ht="14.25" customFormat="1" customHeight="1" s="12">
      <c r="A22" s="240" t="n"/>
      <c r="B22" s="240" t="n"/>
      <c r="C22" s="239" t="inlineStr">
        <is>
          <t>Итого основные машины и механизмы</t>
        </is>
      </c>
      <c r="D22" s="240" t="n"/>
      <c r="E22" s="323" t="n"/>
      <c r="F22" s="26" t="n"/>
      <c r="G22" s="26">
        <f>SUM(G19:G21)</f>
        <v/>
      </c>
      <c r="H22" s="243">
        <f>G22/G24</f>
        <v/>
      </c>
      <c r="I22" s="134" t="n"/>
      <c r="J22" s="26">
        <f>SUM(J19:J21)</f>
        <v/>
      </c>
    </row>
    <row r="23" ht="14.25" customFormat="1" customHeight="1" s="12">
      <c r="A23" s="240" t="n"/>
      <c r="B23" s="240" t="n"/>
      <c r="C23" s="239" t="inlineStr">
        <is>
          <t>Итого прочие машины и механизмы</t>
        </is>
      </c>
      <c r="D23" s="240" t="n"/>
      <c r="E23" s="241" t="n"/>
      <c r="F23" s="26" t="n"/>
      <c r="G23" s="26" t="n">
        <v>0</v>
      </c>
      <c r="H23" s="170">
        <f>G23/G24</f>
        <v/>
      </c>
      <c r="I23" s="26" t="n"/>
      <c r="J23" s="26" t="n">
        <v>0</v>
      </c>
    </row>
    <row r="24" ht="25.5" customFormat="1" customHeight="1" s="12">
      <c r="A24" s="240" t="n"/>
      <c r="B24" s="240" t="n"/>
      <c r="C24" s="228" t="inlineStr">
        <is>
          <t>Итого по разделу «Машины и механизмы»</t>
        </is>
      </c>
      <c r="D24" s="240" t="n"/>
      <c r="E24" s="241" t="n"/>
      <c r="F24" s="26" t="n"/>
      <c r="G24" s="26">
        <f>G22+G23</f>
        <v/>
      </c>
      <c r="H24" s="243">
        <f>H22+H23</f>
        <v/>
      </c>
      <c r="I24" s="131" t="n"/>
      <c r="J24" s="26">
        <f>J22+J23</f>
        <v/>
      </c>
    </row>
    <row r="25" ht="14.25" customFormat="1" customHeight="1" s="12">
      <c r="A25" s="240" t="n"/>
      <c r="B25" s="228" t="inlineStr">
        <is>
          <t>Оборудование</t>
        </is>
      </c>
      <c r="C25" s="312" t="n"/>
      <c r="D25" s="312" t="n"/>
      <c r="E25" s="312" t="n"/>
      <c r="F25" s="312" t="n"/>
      <c r="G25" s="312" t="n"/>
      <c r="H25" s="313" t="n"/>
      <c r="I25" s="132" t="n"/>
      <c r="J25" s="132" t="n"/>
    </row>
    <row r="26">
      <c r="A26" s="240" t="n"/>
      <c r="B26" s="239" t="inlineStr">
        <is>
          <t>Основное оборудование</t>
        </is>
      </c>
      <c r="C26" s="312" t="n"/>
      <c r="D26" s="312" t="n"/>
      <c r="E26" s="312" t="n"/>
      <c r="F26" s="312" t="n"/>
      <c r="G26" s="312" t="n"/>
      <c r="H26" s="313" t="n"/>
      <c r="I26" s="132" t="n"/>
      <c r="J26" s="132" t="n"/>
    </row>
    <row r="27">
      <c r="A27" s="240" t="n"/>
      <c r="B27" s="240" t="n"/>
      <c r="C27" s="239" t="inlineStr">
        <is>
          <t>Итого основное оборудование</t>
        </is>
      </c>
      <c r="D27" s="240" t="n"/>
      <c r="E27" s="324" t="n"/>
      <c r="F27" s="242" t="n"/>
      <c r="G27" s="26" t="n">
        <v>0</v>
      </c>
      <c r="H27" s="170" t="n">
        <v>0</v>
      </c>
      <c r="I27" s="134" t="n"/>
      <c r="J27" s="26" t="n">
        <v>0</v>
      </c>
    </row>
    <row r="28">
      <c r="A28" s="240" t="n"/>
      <c r="B28" s="240" t="n"/>
      <c r="C28" s="239" t="inlineStr">
        <is>
          <t>Итого прочее оборудование</t>
        </is>
      </c>
      <c r="D28" s="240" t="n"/>
      <c r="E28" s="323" t="n"/>
      <c r="F28" s="242" t="n"/>
      <c r="G28" s="26" t="n">
        <v>0</v>
      </c>
      <c r="H28" s="170" t="n">
        <v>0</v>
      </c>
      <c r="I28" s="134" t="n"/>
      <c r="J28" s="26" t="n">
        <v>0</v>
      </c>
    </row>
    <row r="29">
      <c r="A29" s="240" t="n"/>
      <c r="B29" s="240" t="n"/>
      <c r="C29" s="228" t="inlineStr">
        <is>
          <t>Итого по разделу «Оборудование»</t>
        </is>
      </c>
      <c r="D29" s="240" t="n"/>
      <c r="E29" s="241" t="n"/>
      <c r="F29" s="242" t="n"/>
      <c r="G29" s="26">
        <f>G27+G28</f>
        <v/>
      </c>
      <c r="H29" s="170">
        <f>H27+H28</f>
        <v/>
      </c>
      <c r="I29" s="134" t="n"/>
      <c r="J29" s="26">
        <f>J28+J27</f>
        <v/>
      </c>
    </row>
    <row r="30" ht="25.5" customHeight="1" s="186">
      <c r="A30" s="240" t="n"/>
      <c r="B30" s="240" t="n"/>
      <c r="C30" s="239" t="inlineStr">
        <is>
          <t>в том числе технологическое оборудование</t>
        </is>
      </c>
      <c r="D30" s="240" t="n"/>
      <c r="E30" s="324" t="n"/>
      <c r="F30" s="242" t="n"/>
      <c r="G30" s="26">
        <f>'Прил.6 Расчет ОБ'!G12</f>
        <v/>
      </c>
      <c r="H30" s="243" t="n"/>
      <c r="I30" s="134" t="n"/>
      <c r="J30" s="26">
        <f>J29</f>
        <v/>
      </c>
    </row>
    <row r="31" ht="14.25" customFormat="1" customHeight="1" s="12">
      <c r="A31" s="240" t="n"/>
      <c r="B31" s="228" t="inlineStr">
        <is>
          <t>Материалы</t>
        </is>
      </c>
      <c r="C31" s="312" t="n"/>
      <c r="D31" s="312" t="n"/>
      <c r="E31" s="312" t="n"/>
      <c r="F31" s="312" t="n"/>
      <c r="G31" s="312" t="n"/>
      <c r="H31" s="313" t="n"/>
      <c r="I31" s="132" t="n"/>
      <c r="J31" s="132" t="n"/>
    </row>
    <row r="32" ht="14.25" customFormat="1" customHeight="1" s="12">
      <c r="A32" s="235" t="n"/>
      <c r="B32" s="234" t="inlineStr">
        <is>
          <t>Основные материалы</t>
        </is>
      </c>
      <c r="C32" s="325" t="n"/>
      <c r="D32" s="325" t="n"/>
      <c r="E32" s="325" t="n"/>
      <c r="F32" s="325" t="n"/>
      <c r="G32" s="325" t="n"/>
      <c r="H32" s="326" t="n"/>
      <c r="I32" s="171" t="n"/>
      <c r="J32" s="171" t="n"/>
    </row>
    <row r="33" ht="25.5" customFormat="1" customHeight="1" s="12">
      <c r="A33" s="240" t="n">
        <v>6</v>
      </c>
      <c r="B33" s="240" t="inlineStr">
        <is>
          <t>21.2.01.01-0062</t>
        </is>
      </c>
      <c r="C33" s="239" t="inlineStr">
        <is>
          <t>Провод самонесущий изолированный СИП-4 2х16</t>
        </is>
      </c>
      <c r="D33" s="240" t="inlineStr">
        <is>
          <t>1000 м</t>
        </is>
      </c>
      <c r="E33" s="324" t="n">
        <v>0.033</v>
      </c>
      <c r="F33" s="242" t="n">
        <v>4805.96</v>
      </c>
      <c r="G33" s="26">
        <f>ROUND(E33*F33,2)</f>
        <v/>
      </c>
      <c r="H33" s="170">
        <f>G33/$G$53</f>
        <v/>
      </c>
      <c r="I33" s="26">
        <f>ROUND(F33*'Прил. 10'!$D$13,2)</f>
        <v/>
      </c>
      <c r="J33" s="26">
        <f>ROUND(I33*E33,2)</f>
        <v/>
      </c>
    </row>
    <row r="34" ht="51" customFormat="1" customHeight="1" s="12">
      <c r="A34" s="240" t="n">
        <v>7</v>
      </c>
      <c r="B34" s="240" t="inlineStr">
        <is>
          <t>25.2.02.11-0021</t>
        </is>
      </c>
      <c r="C34" s="23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34" s="240" t="inlineStr">
        <is>
          <t>шт</t>
        </is>
      </c>
      <c r="E34" s="324" t="n">
        <v>0.08</v>
      </c>
      <c r="F34" s="242" t="n">
        <v>943.0599999999999</v>
      </c>
      <c r="G34" s="26">
        <f>ROUND(E34*F34,2)</f>
        <v/>
      </c>
      <c r="H34" s="170">
        <f>G34/$G$53</f>
        <v/>
      </c>
      <c r="I34" s="26">
        <f>ROUND(F34*'Прил. 10'!$D$13,2)</f>
        <v/>
      </c>
      <c r="J34" s="26">
        <f>ROUND(I34*E34,2)</f>
        <v/>
      </c>
    </row>
    <row r="35" ht="25.5" customFormat="1" customHeight="1" s="12">
      <c r="A35" s="240" t="n">
        <v>8</v>
      </c>
      <c r="B35" s="240" t="inlineStr">
        <is>
          <t>25.2.02.04-0011</t>
        </is>
      </c>
      <c r="C35" s="239" t="inlineStr">
        <is>
          <t>Кронштейн анкерный (СИП), марка CA 1500</t>
        </is>
      </c>
      <c r="D35" s="240" t="inlineStr">
        <is>
          <t>шт</t>
        </is>
      </c>
      <c r="E35" s="324" t="n">
        <v>2</v>
      </c>
      <c r="F35" s="242" t="n">
        <v>34.91</v>
      </c>
      <c r="G35" s="26">
        <f>ROUND(E35*F35,2)</f>
        <v/>
      </c>
      <c r="H35" s="170">
        <f>G35/$G$53</f>
        <v/>
      </c>
      <c r="I35" s="26">
        <f>ROUND(F35*'Прил. 10'!$D$13,2)</f>
        <v/>
      </c>
      <c r="J35" s="26">
        <f>ROUND(I35*E35,2)</f>
        <v/>
      </c>
    </row>
    <row r="36" ht="25.5" customFormat="1" customHeight="1" s="12">
      <c r="A36" s="240" t="n">
        <v>9</v>
      </c>
      <c r="B36" s="240" t="inlineStr">
        <is>
          <t>20.1.01.08-0017</t>
        </is>
      </c>
      <c r="C36" s="239" t="inlineStr">
        <is>
          <t>Зажим ответвительный с прокалыванием изоляции (СИП): P2-95</t>
        </is>
      </c>
      <c r="D36" s="240" t="inlineStr">
        <is>
          <t>100 шт</t>
        </is>
      </c>
      <c r="E36" s="324" t="n">
        <v>0.02</v>
      </c>
      <c r="F36" s="242" t="n">
        <v>3133</v>
      </c>
      <c r="G36" s="26">
        <f>ROUND(E36*F36,2)</f>
        <v/>
      </c>
      <c r="H36" s="170">
        <f>G36/$G$53</f>
        <v/>
      </c>
      <c r="I36" s="26">
        <f>ROUND(F36*'Прил. 10'!$D$13,2)</f>
        <v/>
      </c>
      <c r="J36" s="26">
        <f>ROUND(I36*E36,2)</f>
        <v/>
      </c>
    </row>
    <row r="37" ht="25.5" customFormat="1" customHeight="1" s="12">
      <c r="A37" s="240" t="n">
        <v>10</v>
      </c>
      <c r="B37" s="240" t="inlineStr">
        <is>
          <t>24.3.03.13-0304</t>
        </is>
      </c>
      <c r="C37" s="239" t="inlineStr">
        <is>
          <t>Трубы полиэтиленовые гладкие легкие ПНД, диаметр 32 мм</t>
        </is>
      </c>
      <c r="D37" s="240" t="inlineStr">
        <is>
          <t>м</t>
        </is>
      </c>
      <c r="E37" s="324" t="n">
        <v>6</v>
      </c>
      <c r="F37" s="242" t="n">
        <v>9.94</v>
      </c>
      <c r="G37" s="26">
        <f>ROUND(E37*F37,2)</f>
        <v/>
      </c>
      <c r="H37" s="170">
        <f>G37/$G$53</f>
        <v/>
      </c>
      <c r="I37" s="26">
        <f>ROUND(F37*'Прил. 10'!$D$13,2)</f>
        <v/>
      </c>
      <c r="J37" s="26">
        <f>ROUND(I37*E37,2)</f>
        <v/>
      </c>
    </row>
    <row r="38" ht="14.25" customFormat="1" customHeight="1" s="12">
      <c r="A38" s="240" t="n">
        <v>11</v>
      </c>
      <c r="B38" s="240" t="inlineStr">
        <is>
          <t>20.1.01.01-0001</t>
        </is>
      </c>
      <c r="C38" s="239" t="inlineStr">
        <is>
          <t>Зажим анкерный (СИП): DN 123</t>
        </is>
      </c>
      <c r="D38" s="240" t="inlineStr">
        <is>
          <t>100 шт</t>
        </is>
      </c>
      <c r="E38" s="324" t="n">
        <v>0.02</v>
      </c>
      <c r="F38" s="242" t="n">
        <v>2741</v>
      </c>
      <c r="G38" s="26">
        <f>ROUND(E38*F38,2)</f>
        <v/>
      </c>
      <c r="H38" s="170">
        <f>G38/$G$53</f>
        <v/>
      </c>
      <c r="I38" s="26">
        <f>ROUND(F38*'Прил. 10'!$D$13,2)</f>
        <v/>
      </c>
      <c r="J38" s="26">
        <f>ROUND(I38*E38,2)</f>
        <v/>
      </c>
    </row>
    <row r="39" ht="14.25" customFormat="1" customHeight="1" s="12">
      <c r="A39" s="251" t="n"/>
      <c r="B39" s="173" t="n"/>
      <c r="C39" s="174" t="inlineStr">
        <is>
          <t>Итого основные материалы</t>
        </is>
      </c>
      <c r="D39" s="251" t="n"/>
      <c r="E39" s="327" t="n"/>
      <c r="F39" s="176" t="n"/>
      <c r="G39" s="176">
        <f>SUM(G33:G38)</f>
        <v/>
      </c>
      <c r="H39" s="170">
        <f>G39/$G$53</f>
        <v/>
      </c>
      <c r="I39" s="26" t="n"/>
      <c r="J39" s="176">
        <f>SUM(J33:J38)</f>
        <v/>
      </c>
    </row>
    <row r="40" hidden="1" outlineLevel="1" ht="38.25" customFormat="1" customHeight="1" s="12">
      <c r="A40" s="240" t="n">
        <v>12</v>
      </c>
      <c r="B40" s="240" t="inlineStr">
        <is>
          <t>24.3.03.05-0014</t>
        </is>
      </c>
      <c r="C40" s="239" t="inlineStr">
        <is>
          <t>Трубы полиэтиленовые гибкие гофрированные легкие с протяжкой, номинальный внутренний диаметр 32 мм</t>
        </is>
      </c>
      <c r="D40" s="240" t="inlineStr">
        <is>
          <t>м</t>
        </is>
      </c>
      <c r="E40" s="324" t="n">
        <v>2</v>
      </c>
      <c r="F40" s="242" t="n">
        <v>7.51</v>
      </c>
      <c r="G40" s="26">
        <f>ROUND(E40*F40,2)</f>
        <v/>
      </c>
      <c r="H40" s="170">
        <f>G40/$G$53</f>
        <v/>
      </c>
      <c r="I40" s="26">
        <f>ROUND(F40*'Прил. 10'!$D$13,2)</f>
        <v/>
      </c>
      <c r="J40" s="26">
        <f>ROUND(I40*E40,2)</f>
        <v/>
      </c>
    </row>
    <row r="41" hidden="1" outlineLevel="1" ht="25.5" customFormat="1" customHeight="1" s="12">
      <c r="A41" s="240" t="n">
        <v>13</v>
      </c>
      <c r="B41" s="240" t="inlineStr">
        <is>
          <t>25.2.02.11-0051</t>
        </is>
      </c>
      <c r="C41" s="239" t="inlineStr">
        <is>
          <t>Скрепа для фиксации на промежуточных опорах, размер 20 мм</t>
        </is>
      </c>
      <c r="D41" s="240" t="inlineStr">
        <is>
          <t>100 шт</t>
        </is>
      </c>
      <c r="E41" s="324" t="n">
        <v>0.02</v>
      </c>
      <c r="F41" s="242" t="n">
        <v>582</v>
      </c>
      <c r="G41" s="26">
        <f>ROUND(E41*F41,2)</f>
        <v/>
      </c>
      <c r="H41" s="170">
        <f>G41/$G$53</f>
        <v/>
      </c>
      <c r="I41" s="26">
        <f>ROUND(F41*'Прил. 10'!$D$13,2)</f>
        <v/>
      </c>
      <c r="J41" s="26">
        <f>ROUND(I41*E41,2)</f>
        <v/>
      </c>
    </row>
    <row r="42" hidden="1" outlineLevel="1" ht="25.5" customFormat="1" customHeight="1" s="12">
      <c r="A42" s="240" t="n">
        <v>14</v>
      </c>
      <c r="B42" s="240" t="inlineStr">
        <is>
          <t>20.2.10.03-0006</t>
        </is>
      </c>
      <c r="C42" s="239" t="inlineStr">
        <is>
          <t>Наконечники кабельные медные соединительные</t>
        </is>
      </c>
      <c r="D42" s="240" t="inlineStr">
        <is>
          <t>100 шт</t>
        </is>
      </c>
      <c r="E42" s="324" t="n">
        <v>0.02</v>
      </c>
      <c r="F42" s="242" t="n">
        <v>365</v>
      </c>
      <c r="G42" s="26">
        <f>ROUND(E42*F42,2)</f>
        <v/>
      </c>
      <c r="H42" s="170">
        <f>G42/$G$53</f>
        <v/>
      </c>
      <c r="I42" s="26">
        <f>ROUND(F42*'Прил. 10'!$D$13,2)</f>
        <v/>
      </c>
      <c r="J42" s="26">
        <f>ROUND(I42*E42,2)</f>
        <v/>
      </c>
    </row>
    <row r="43" hidden="1" outlineLevel="1" ht="25.5" customFormat="1" customHeight="1" s="12">
      <c r="A43" s="240" t="n">
        <v>15</v>
      </c>
      <c r="B43" s="240" t="inlineStr">
        <is>
          <t>24.3.05.07-0153</t>
        </is>
      </c>
      <c r="C43" s="239" t="inlineStr">
        <is>
          <t>Муфта полипропиленовая соединительная, диаметр 32 мм</t>
        </is>
      </c>
      <c r="D43" s="240" t="inlineStr">
        <is>
          <t>шт</t>
        </is>
      </c>
      <c r="E43" s="324" t="n">
        <v>3</v>
      </c>
      <c r="F43" s="242" t="n">
        <v>1.29</v>
      </c>
      <c r="G43" s="26">
        <f>ROUND(E43*F43,2)</f>
        <v/>
      </c>
      <c r="H43" s="170">
        <f>G43/$G$53</f>
        <v/>
      </c>
      <c r="I43" s="26">
        <f>ROUND(F43*'Прил. 10'!$D$13,2)</f>
        <v/>
      </c>
      <c r="J43" s="26">
        <f>ROUND(I43*E43,2)</f>
        <v/>
      </c>
    </row>
    <row r="44" hidden="1" outlineLevel="1" ht="14.25" customFormat="1" customHeight="1" s="12">
      <c r="A44" s="240" t="n">
        <v>16</v>
      </c>
      <c r="B44" s="240" t="inlineStr">
        <is>
          <t>20.2.01.05-0007</t>
        </is>
      </c>
      <c r="C44" s="239" t="inlineStr">
        <is>
          <t>Гильзы кабельные медные ГМ 35</t>
        </is>
      </c>
      <c r="D44" s="240" t="inlineStr">
        <is>
          <t>100 шт</t>
        </is>
      </c>
      <c r="E44" s="324" t="n">
        <v>0.004</v>
      </c>
      <c r="F44" s="242" t="n">
        <v>378</v>
      </c>
      <c r="G44" s="26">
        <f>ROUND(E44*F44,2)</f>
        <v/>
      </c>
      <c r="H44" s="170">
        <f>G44/$G$53</f>
        <v/>
      </c>
      <c r="I44" s="26">
        <f>ROUND(F44*'Прил. 10'!$D$13,2)</f>
        <v/>
      </c>
      <c r="J44" s="26">
        <f>ROUND(I44*E44,2)</f>
        <v/>
      </c>
    </row>
    <row r="45" hidden="1" outlineLevel="1" ht="14.25" customFormat="1" customHeight="1" s="12">
      <c r="A45" s="240" t="n">
        <v>17</v>
      </c>
      <c r="B45" s="240" t="inlineStr">
        <is>
          <t>14.1.02.01-0002</t>
        </is>
      </c>
      <c r="C45" s="239" t="inlineStr">
        <is>
          <t>Клей БМК-5к</t>
        </is>
      </c>
      <c r="D45" s="240" t="inlineStr">
        <is>
          <t>кг</t>
        </is>
      </c>
      <c r="E45" s="324" t="n">
        <v>0.032</v>
      </c>
      <c r="F45" s="242" t="n">
        <v>25.8</v>
      </c>
      <c r="G45" s="26">
        <f>ROUND(E45*F45,2)</f>
        <v/>
      </c>
      <c r="H45" s="170">
        <f>G45/$G$53</f>
        <v/>
      </c>
      <c r="I45" s="26">
        <f>ROUND(F45*'Прил. 10'!$D$13,2)</f>
        <v/>
      </c>
      <c r="J45" s="26">
        <f>ROUND(I45*E45,2)</f>
        <v/>
      </c>
    </row>
    <row r="46" hidden="1" outlineLevel="1" ht="25.5" customFormat="1" customHeight="1" s="12">
      <c r="A46" s="240" t="n">
        <v>18</v>
      </c>
      <c r="B46" s="240" t="inlineStr">
        <is>
          <t>01.7.11.07-0034</t>
        </is>
      </c>
      <c r="C46" s="239" t="inlineStr">
        <is>
          <t>Электроды сварочные Э42А, диаметр 4 мм</t>
        </is>
      </c>
      <c r="D46" s="240" t="inlineStr">
        <is>
          <t>кг</t>
        </is>
      </c>
      <c r="E46" s="324" t="n">
        <v>0.07679999999999999</v>
      </c>
      <c r="F46" s="242" t="n">
        <v>10.57</v>
      </c>
      <c r="G46" s="26">
        <f>ROUND(E46*F46,2)</f>
        <v/>
      </c>
      <c r="H46" s="170">
        <f>G46/$G$53</f>
        <v/>
      </c>
      <c r="I46" s="26">
        <f>ROUND(F46*'Прил. 10'!$D$13,2)</f>
        <v/>
      </c>
      <c r="J46" s="26">
        <f>ROUND(I46*E46,2)</f>
        <v/>
      </c>
    </row>
    <row r="47" hidden="1" outlineLevel="1" ht="38.25" customFormat="1" customHeight="1" s="12">
      <c r="A47" s="240" t="n">
        <v>19</v>
      </c>
      <c r="B47" s="240" t="inlineStr">
        <is>
          <t>01.7.06.05-0041</t>
        </is>
      </c>
      <c r="C47" s="239" t="inlineStr">
        <is>
          <t>Лента изоляционная прорезиненная односторонняя, ширина 20 мм, толщина 0,25-0,35 мм</t>
        </is>
      </c>
      <c r="D47" s="240" t="inlineStr">
        <is>
          <t>кг</t>
        </is>
      </c>
      <c r="E47" s="324" t="n">
        <v>0.0256</v>
      </c>
      <c r="F47" s="242" t="n">
        <v>30.4</v>
      </c>
      <c r="G47" s="26">
        <f>ROUND(E47*F47,2)</f>
        <v/>
      </c>
      <c r="H47" s="170">
        <f>G47/$G$53</f>
        <v/>
      </c>
      <c r="I47" s="26">
        <f>ROUND(F47*'Прил. 10'!$D$13,2)</f>
        <v/>
      </c>
      <c r="J47" s="26">
        <f>ROUND(I47*E47,2)</f>
        <v/>
      </c>
    </row>
    <row r="48" hidden="1" outlineLevel="1" ht="25.5" customFormat="1" customHeight="1" s="12">
      <c r="A48" s="240" t="n">
        <v>20</v>
      </c>
      <c r="B48" s="240" t="inlineStr">
        <is>
          <t>999-9950</t>
        </is>
      </c>
      <c r="C48" s="239" t="inlineStr">
        <is>
          <t>Вспомогательные ненормируемые ресурсы (2% от Оплаты труда рабочих)</t>
        </is>
      </c>
      <c r="D48" s="240" t="inlineStr">
        <is>
          <t>руб</t>
        </is>
      </c>
      <c r="E48" s="324" t="n">
        <v>0.548</v>
      </c>
      <c r="F48" s="242" t="n">
        <v>1</v>
      </c>
      <c r="G48" s="26">
        <f>ROUND(E48*F48,2)</f>
        <v/>
      </c>
      <c r="H48" s="170">
        <f>G48/$G$53</f>
        <v/>
      </c>
      <c r="I48" s="26">
        <f>ROUND(F48*'Прил. 10'!$D$13,2)</f>
        <v/>
      </c>
      <c r="J48" s="26">
        <f>ROUND(I48*E48,2)</f>
        <v/>
      </c>
    </row>
    <row r="49" hidden="1" outlineLevel="1" ht="14.25" customFormat="1" customHeight="1" s="12">
      <c r="A49" s="240" t="n">
        <v>21</v>
      </c>
      <c r="B49" s="240" t="inlineStr">
        <is>
          <t>20.2.02.01-0014</t>
        </is>
      </c>
      <c r="C49" s="239" t="inlineStr">
        <is>
          <t>Втулки, диаметр 42 мм</t>
        </is>
      </c>
      <c r="D49" s="240" t="inlineStr">
        <is>
          <t>1000 шт</t>
        </is>
      </c>
      <c r="E49" s="324" t="n">
        <v>0.000976</v>
      </c>
      <c r="F49" s="242" t="n">
        <v>282.03</v>
      </c>
      <c r="G49" s="26">
        <f>ROUND(E49*F49,2)</f>
        <v/>
      </c>
      <c r="H49" s="170">
        <f>G49/$G$53</f>
        <v/>
      </c>
      <c r="I49" s="26">
        <f>ROUND(F49*'Прил. 10'!$D$13,2)</f>
        <v/>
      </c>
      <c r="J49" s="26">
        <f>ROUND(I49*E49,2)</f>
        <v/>
      </c>
    </row>
    <row r="50" hidden="1" outlineLevel="1" ht="14.25" customFormat="1" customHeight="1" s="12">
      <c r="A50" s="240" t="n">
        <v>22</v>
      </c>
      <c r="B50" s="240" t="inlineStr">
        <is>
          <t>01.7.07.20-0002</t>
        </is>
      </c>
      <c r="C50" s="239" t="inlineStr">
        <is>
          <t>Тальк молотый, сорт I</t>
        </is>
      </c>
      <c r="D50" s="240" t="inlineStr">
        <is>
          <t>т</t>
        </is>
      </c>
      <c r="E50" s="324" t="n">
        <v>9.280000000000001e-05</v>
      </c>
      <c r="F50" s="242" t="n">
        <v>1820</v>
      </c>
      <c r="G50" s="26">
        <f>ROUND(E50*F50,2)</f>
        <v/>
      </c>
      <c r="H50" s="170">
        <f>G50/$G$53</f>
        <v/>
      </c>
      <c r="I50" s="26">
        <f>ROUND(F50*'Прил. 10'!$D$13,2)</f>
        <v/>
      </c>
      <c r="J50" s="26">
        <f>ROUND(I50*E50,2)</f>
        <v/>
      </c>
    </row>
    <row r="51" hidden="1" outlineLevel="1" ht="14.25" customFormat="1" customHeight="1" s="12">
      <c r="A51" s="240" t="n">
        <v>23</v>
      </c>
      <c r="B51" s="240" t="inlineStr">
        <is>
          <t>14.4.02.09-0001</t>
        </is>
      </c>
      <c r="C51" s="239" t="inlineStr">
        <is>
          <t>Краска</t>
        </is>
      </c>
      <c r="D51" s="240" t="inlineStr">
        <is>
          <t>кг</t>
        </is>
      </c>
      <c r="E51" s="324" t="n">
        <v>0.0016</v>
      </c>
      <c r="F51" s="242" t="n">
        <v>28.6</v>
      </c>
      <c r="G51" s="26">
        <f>ROUND(E51*F51,2)</f>
        <v/>
      </c>
      <c r="H51" s="170">
        <f>G51/$G$53</f>
        <v/>
      </c>
      <c r="I51" s="26">
        <f>ROUND(F51*'Прил. 10'!$D$13,2)</f>
        <v/>
      </c>
      <c r="J51" s="26">
        <f>ROUND(I51*E51,2)</f>
        <v/>
      </c>
    </row>
    <row r="52" collapsed="1" ht="14.25" customFormat="1" customHeight="1" s="12">
      <c r="A52" s="240" t="n"/>
      <c r="B52" s="240" t="n"/>
      <c r="C52" s="239" t="inlineStr">
        <is>
          <t>Итого прочие материалы</t>
        </is>
      </c>
      <c r="D52" s="240" t="n"/>
      <c r="E52" s="241" t="n"/>
      <c r="F52" s="242" t="n"/>
      <c r="G52" s="26">
        <f>SUM(G40:G51)</f>
        <v/>
      </c>
      <c r="H52" s="170">
        <f>G52/$G$53</f>
        <v/>
      </c>
      <c r="I52" s="26" t="n"/>
      <c r="J52" s="26">
        <f>SUM(J40:J51)</f>
        <v/>
      </c>
    </row>
    <row r="53" ht="14.25" customFormat="1" customHeight="1" s="12">
      <c r="A53" s="240" t="n"/>
      <c r="B53" s="240" t="n"/>
      <c r="C53" s="228" t="inlineStr">
        <is>
          <t>Итого по разделу «Материалы»</t>
        </is>
      </c>
      <c r="D53" s="240" t="n"/>
      <c r="E53" s="241" t="n"/>
      <c r="F53" s="242" t="n"/>
      <c r="G53" s="26">
        <f>G39+G52</f>
        <v/>
      </c>
      <c r="H53" s="243">
        <f>G53/$G$53</f>
        <v/>
      </c>
      <c r="I53" s="26" t="n"/>
      <c r="J53" s="26">
        <f>J39+J52</f>
        <v/>
      </c>
    </row>
    <row r="54" ht="14.25" customFormat="1" customHeight="1" s="12">
      <c r="A54" s="240" t="n"/>
      <c r="B54" s="240" t="n"/>
      <c r="C54" s="239" t="inlineStr">
        <is>
          <t>ИТОГО ПО РМ</t>
        </is>
      </c>
      <c r="D54" s="240" t="n"/>
      <c r="E54" s="241" t="n"/>
      <c r="F54" s="242" t="n"/>
      <c r="G54" s="26">
        <f>G14+G24+G53</f>
        <v/>
      </c>
      <c r="H54" s="243" t="n"/>
      <c r="I54" s="26" t="n"/>
      <c r="J54" s="26">
        <f>J14+J24+J53</f>
        <v/>
      </c>
    </row>
    <row r="55" ht="14.25" customFormat="1" customHeight="1" s="12">
      <c r="A55" s="240" t="n"/>
      <c r="B55" s="240" t="n"/>
      <c r="C55" s="239" t="inlineStr">
        <is>
          <t>Накладные расходы</t>
        </is>
      </c>
      <c r="D55" s="121">
        <f>ROUND(G55/(G$16+$G$14),2)</f>
        <v/>
      </c>
      <c r="E55" s="241" t="n"/>
      <c r="F55" s="242" t="n"/>
      <c r="G55" s="26" t="n">
        <v>27.24</v>
      </c>
      <c r="H55" s="243" t="n"/>
      <c r="I55" s="26" t="n"/>
      <c r="J55" s="26">
        <f>ROUND(D55*(J14+J16),2)</f>
        <v/>
      </c>
    </row>
    <row r="56" ht="14.25" customFormat="1" customHeight="1" s="12">
      <c r="A56" s="240" t="n"/>
      <c r="B56" s="240" t="n"/>
      <c r="C56" s="239" t="inlineStr">
        <is>
          <t>Сметная прибыль</t>
        </is>
      </c>
      <c r="D56" s="121">
        <f>ROUND(G56/(G$14+G$16),2)</f>
        <v/>
      </c>
      <c r="E56" s="241" t="n"/>
      <c r="F56" s="242" t="n"/>
      <c r="G56" s="26" t="n">
        <v>14.32</v>
      </c>
      <c r="H56" s="243" t="n"/>
      <c r="I56" s="26" t="n"/>
      <c r="J56" s="26">
        <f>ROUND(D56*(J14+J16),2)</f>
        <v/>
      </c>
    </row>
    <row r="57" ht="14.25" customFormat="1" customHeight="1" s="12">
      <c r="A57" s="240" t="n"/>
      <c r="B57" s="240" t="n"/>
      <c r="C57" s="239" t="inlineStr">
        <is>
          <t>Итого СМР (с НР и СП)</t>
        </is>
      </c>
      <c r="D57" s="240" t="n"/>
      <c r="E57" s="241" t="n"/>
      <c r="F57" s="242" t="n"/>
      <c r="G57" s="26">
        <f>G14+G24+G53+G55+G56</f>
        <v/>
      </c>
      <c r="H57" s="243" t="n"/>
      <c r="I57" s="26" t="n"/>
      <c r="J57" s="26">
        <f>J14+J24+J53+J55+J56</f>
        <v/>
      </c>
    </row>
    <row r="58" ht="14.25" customFormat="1" customHeight="1" s="12">
      <c r="A58" s="240" t="n"/>
      <c r="B58" s="240" t="n"/>
      <c r="C58" s="239" t="inlineStr">
        <is>
          <t>ВСЕГО СМР + ОБОРУДОВАНИЕ</t>
        </is>
      </c>
      <c r="D58" s="240" t="n"/>
      <c r="E58" s="241" t="n"/>
      <c r="F58" s="242" t="n"/>
      <c r="G58" s="26">
        <f>G57+G29</f>
        <v/>
      </c>
      <c r="H58" s="243" t="n"/>
      <c r="I58" s="26" t="n"/>
      <c r="J58" s="26">
        <f>J57+J29</f>
        <v/>
      </c>
    </row>
    <row r="59" ht="34.5" customFormat="1" customHeight="1" s="12">
      <c r="A59" s="240" t="n"/>
      <c r="B59" s="240" t="n"/>
      <c r="C59" s="239" t="inlineStr">
        <is>
          <t>ИТОГО ПОКАЗАТЕЛЬ НА ЕД. ИЗМ.</t>
        </is>
      </c>
      <c r="D59" s="240" t="inlineStr">
        <is>
          <t>ед.</t>
        </is>
      </c>
      <c r="E59" s="328" t="n">
        <v>1</v>
      </c>
      <c r="F59" s="242" t="n"/>
      <c r="G59" s="26">
        <f>G58/E59</f>
        <v/>
      </c>
      <c r="H59" s="243" t="n"/>
      <c r="I59" s="26" t="n"/>
      <c r="J59" s="26">
        <f>J58/E59</f>
        <v/>
      </c>
    </row>
    <row r="61" ht="14.25" customFormat="1" customHeight="1" s="12">
      <c r="A61" s="4" t="inlineStr">
        <is>
          <t>Составил ______________________    Д.Ю. Нефедова</t>
        </is>
      </c>
    </row>
    <row r="62" ht="14.25" customFormat="1" customHeight="1" s="12">
      <c r="A62" s="114" t="inlineStr">
        <is>
          <t xml:space="preserve">                         (подпись, инициалы, фамилия)</t>
        </is>
      </c>
      <c r="G62" s="184" t="n"/>
    </row>
    <row r="63" ht="14.25" customFormat="1" customHeight="1" s="12">
      <c r="A63" s="4" t="n"/>
    </row>
    <row r="64" ht="14.25" customFormat="1" customHeight="1" s="12">
      <c r="A64" s="4" t="inlineStr">
        <is>
          <t>Проверил ______________________        А.В. Костянецкая</t>
        </is>
      </c>
    </row>
    <row r="65" ht="14.25" customFormat="1" customHeight="1" s="12">
      <c r="A65" s="11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2:H32"/>
    <mergeCell ref="E9:E10"/>
    <mergeCell ref="B26:H26"/>
    <mergeCell ref="A7:H7"/>
    <mergeCell ref="B25:H25"/>
    <mergeCell ref="B31:H31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6" sqref="B16"/>
    </sheetView>
  </sheetViews>
  <sheetFormatPr baseColWidth="8" defaultRowHeight="15"/>
  <cols>
    <col width="5.7109375" customWidth="1" style="186" min="1" max="1"/>
    <col width="17.5703125" customWidth="1" style="186" min="2" max="2"/>
    <col width="39.140625" customWidth="1" style="186" min="3" max="3"/>
    <col width="10.7109375" customWidth="1" style="186" min="4" max="4"/>
    <col width="13.85546875" customWidth="1" style="186" min="5" max="5"/>
    <col width="13.28515625" customWidth="1" style="186" min="6" max="6"/>
    <col width="14.140625" customWidth="1" style="186" min="7" max="7"/>
  </cols>
  <sheetData>
    <row r="1">
      <c r="A1" s="253" t="inlineStr">
        <is>
          <t>Приложение №6</t>
        </is>
      </c>
    </row>
    <row r="2" ht="21.75" customHeight="1" s="186">
      <c r="A2" s="253" t="n"/>
      <c r="B2" s="253" t="n"/>
      <c r="C2" s="253" t="n"/>
      <c r="D2" s="253" t="n"/>
      <c r="E2" s="253" t="n"/>
      <c r="F2" s="253" t="n"/>
      <c r="G2" s="253" t="n"/>
    </row>
    <row r="3">
      <c r="A3" s="211" t="inlineStr">
        <is>
          <t>Расчет стоимости оборудования</t>
        </is>
      </c>
    </row>
    <row r="4" ht="27" customHeight="1" s="186">
      <c r="A4" s="214" t="inlineStr">
        <is>
          <t>Наименование разрабатываемого показателя УНЦ — Организация однофазного ввода к потребителю от шкафа учета, устанавливаемого на опоре ВЛ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86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40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 s="186">
      <c r="A9" s="117" t="n"/>
      <c r="B9" s="239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 s="186">
      <c r="A10" s="240" t="n"/>
      <c r="B10" s="228" t="n"/>
      <c r="C10" s="239" t="inlineStr">
        <is>
          <t>ИТОГО ИНЖЕНЕРНОЕ ОБОРУДОВАНИЕ</t>
        </is>
      </c>
      <c r="D10" s="228" t="n"/>
      <c r="E10" s="119" t="n"/>
      <c r="F10" s="242" t="n"/>
      <c r="G10" s="242" t="n">
        <v>0</v>
      </c>
    </row>
    <row r="11">
      <c r="A11" s="240" t="n"/>
      <c r="B11" s="239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25.5" customHeight="1" s="186">
      <c r="A12" s="240" t="n"/>
      <c r="B12" s="239" t="n"/>
      <c r="C12" s="239" t="inlineStr">
        <is>
          <t>ИТОГО ТЕХНОЛОГИЧЕСКОЕ ОБОРУДОВАНИЕ</t>
        </is>
      </c>
      <c r="D12" s="239" t="n"/>
      <c r="E12" s="257" t="n"/>
      <c r="F12" s="242" t="n"/>
      <c r="G12" s="26" t="n">
        <v>0</v>
      </c>
    </row>
    <row r="13" ht="19.5" customHeight="1" s="186">
      <c r="A13" s="240" t="n"/>
      <c r="B13" s="239" t="n"/>
      <c r="C13" s="239" t="inlineStr">
        <is>
          <t>Всего по разделу «Оборудование»</t>
        </is>
      </c>
      <c r="D13" s="239" t="n"/>
      <c r="E13" s="257" t="n"/>
      <c r="F13" s="242" t="n"/>
      <c r="G13" s="26">
        <f>G10+G12</f>
        <v/>
      </c>
    </row>
    <row r="14">
      <c r="A14" s="24" t="n"/>
      <c r="B14" s="120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4" t="n"/>
      <c r="E15" s="24" t="n"/>
      <c r="F15" s="24" t="n"/>
      <c r="G15" s="24" t="n"/>
    </row>
    <row r="16">
      <c r="A16" s="114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114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6" sqref="C16"/>
    </sheetView>
  </sheetViews>
  <sheetFormatPr baseColWidth="8" defaultColWidth="8.85546875" defaultRowHeight="15"/>
  <cols>
    <col width="14.42578125" customWidth="1" style="186" min="1" max="1"/>
    <col width="29.7109375" customWidth="1" style="186" min="2" max="2"/>
    <col width="39.140625" customWidth="1" style="186" min="3" max="3"/>
    <col width="24.5703125" customWidth="1" style="186" min="4" max="4"/>
  </cols>
  <sheetData>
    <row r="1">
      <c r="B1" s="4" t="n"/>
      <c r="C1" s="4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 s="186">
      <c r="A3" s="211" t="inlineStr">
        <is>
          <t>Расчет показателя УНЦ</t>
        </is>
      </c>
    </row>
    <row r="4" ht="24.75" customHeight="1" s="186">
      <c r="A4" s="211" t="n"/>
      <c r="B4" s="211" t="n"/>
      <c r="C4" s="211" t="n"/>
      <c r="D4" s="211" t="n"/>
    </row>
    <row r="5" ht="24.6" customHeight="1" s="186">
      <c r="A5" s="214" t="inlineStr">
        <is>
          <t xml:space="preserve">Наименование разрабатываемого показателя УНЦ - </t>
        </is>
      </c>
      <c r="D5" s="214">
        <f>'Прил.5 Расчет СМР и ОБ'!D6:J6</f>
        <v/>
      </c>
    </row>
    <row r="6" ht="19.9" customHeight="1" s="186">
      <c r="A6" s="214" t="inlineStr">
        <is>
          <t>Единица измерения  — 1 ед</t>
        </is>
      </c>
      <c r="D6" s="214" t="n"/>
    </row>
    <row r="7">
      <c r="A7" s="4" t="n"/>
      <c r="B7" s="4" t="n"/>
      <c r="C7" s="4" t="n"/>
      <c r="D7" s="4" t="n"/>
    </row>
    <row r="8" ht="14.45" customHeight="1" s="186">
      <c r="A8" s="222" t="inlineStr">
        <is>
          <t>Код показателя</t>
        </is>
      </c>
      <c r="B8" s="222" t="inlineStr">
        <is>
          <t>Наименование показателя</t>
        </is>
      </c>
      <c r="C8" s="222" t="inlineStr">
        <is>
          <t>Наименование РМ, входящих в состав показателя</t>
        </is>
      </c>
      <c r="D8" s="222" t="inlineStr">
        <is>
          <t>Норматив цены на 01.01.2023, тыс.руб.</t>
        </is>
      </c>
    </row>
    <row r="9" ht="15" customHeight="1" s="186">
      <c r="A9" s="315" t="n"/>
      <c r="B9" s="315" t="n"/>
      <c r="C9" s="315" t="n"/>
      <c r="D9" s="315" t="n"/>
    </row>
    <row r="10">
      <c r="A10" s="240" t="n">
        <v>1</v>
      </c>
      <c r="B10" s="240" t="n">
        <v>2</v>
      </c>
      <c r="C10" s="240" t="n">
        <v>3</v>
      </c>
      <c r="D10" s="240" t="n">
        <v>4</v>
      </c>
    </row>
    <row r="11" ht="41.45" customHeight="1" s="186">
      <c r="A11" s="240" t="inlineStr">
        <is>
          <t>А1-67</t>
        </is>
      </c>
      <c r="B11" s="240" t="inlineStr">
        <is>
          <t>УНЦ ИИК</t>
        </is>
      </c>
      <c r="C11" s="163">
        <f>D5</f>
        <v/>
      </c>
      <c r="D11" s="3">
        <f>'Прил.4 РМ'!C41/1000</f>
        <v/>
      </c>
      <c r="E11" s="116" t="n"/>
    </row>
    <row r="12">
      <c r="A12" s="24" t="n"/>
      <c r="B12" s="120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4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4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style="186" min="2" max="2"/>
    <col width="37.5703125" customWidth="1" style="186" min="3" max="3"/>
    <col width="32" customWidth="1" style="186" min="4" max="4"/>
  </cols>
  <sheetData>
    <row r="4" ht="15.75" customHeight="1" s="186">
      <c r="B4" s="218" t="inlineStr">
        <is>
          <t>Приложение № 10</t>
        </is>
      </c>
    </row>
    <row r="5" ht="18.75" customHeight="1" s="186">
      <c r="B5" s="105" t="n"/>
    </row>
    <row r="6" ht="15.75" customHeight="1" s="186">
      <c r="B6" s="219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>
      <c r="B8" s="259" t="n"/>
      <c r="C8" s="259" t="n"/>
      <c r="D8" s="259" t="n"/>
      <c r="E8" s="259" t="n"/>
    </row>
    <row r="9" ht="47.25" customHeight="1" s="186">
      <c r="B9" s="222" t="inlineStr">
        <is>
          <t>Наименование индекса / норм сопутствующих затрат</t>
        </is>
      </c>
      <c r="C9" s="222" t="inlineStr">
        <is>
          <t>Дата применения и обоснование индекса / норм сопутствующих затрат</t>
        </is>
      </c>
      <c r="D9" s="222" t="inlineStr">
        <is>
          <t>Размер индекса / норма сопутствующих затрат</t>
        </is>
      </c>
    </row>
    <row r="10" ht="15.75" customHeight="1" s="186">
      <c r="B10" s="222" t="n">
        <v>1</v>
      </c>
      <c r="C10" s="222" t="n">
        <v>2</v>
      </c>
      <c r="D10" s="222" t="n">
        <v>3</v>
      </c>
    </row>
    <row r="11" ht="45" customHeight="1" s="186">
      <c r="B11" s="222" t="inlineStr">
        <is>
          <t xml:space="preserve">Индекс изменения сметной стоимости на 1 квартал 2023 года. ОЗП </t>
        </is>
      </c>
      <c r="C11" s="222" t="inlineStr">
        <is>
          <t>Письмо Минстроя России от 30.03.2023г. №17106-ИФ/09  прил.1</t>
        </is>
      </c>
      <c r="D11" s="222" t="n">
        <v>44.29</v>
      </c>
    </row>
    <row r="12" ht="29.25" customHeight="1" s="186">
      <c r="B12" s="222" t="inlineStr">
        <is>
          <t>Индекс изменения сметной стоимости на 1 квартал 2023 года. ЭМ</t>
        </is>
      </c>
      <c r="C12" s="222" t="inlineStr">
        <is>
          <t>Письмо Минстроя России от 30.03.2023г. №17106-ИФ/09  прил.1</t>
        </is>
      </c>
      <c r="D12" s="222" t="n">
        <v>13.47</v>
      </c>
    </row>
    <row r="13" ht="29.25" customHeight="1" s="186">
      <c r="B13" s="222" t="inlineStr">
        <is>
          <t>Индекс изменения сметной стоимости на 1 квартал 2023 года. МАТ</t>
        </is>
      </c>
      <c r="C13" s="222" t="inlineStr">
        <is>
          <t>Письмо Минстроя России от 30.03.2023г. №17106-ИФ/09  прил.1</t>
        </is>
      </c>
      <c r="D13" s="222" t="n">
        <v>8.039999999999999</v>
      </c>
    </row>
    <row r="14" ht="30.75" customHeight="1" s="186">
      <c r="B14" s="222" t="inlineStr">
        <is>
          <t>Индекс изменения сметной стоимости на 1 квартал 2023 года. ОБ</t>
        </is>
      </c>
      <c r="C14" s="143" t="inlineStr">
        <is>
          <t>Письмо Минстроя России от 23.02.2023г. №9791-ИФ/09 прил.6</t>
        </is>
      </c>
      <c r="D14" s="222" t="n">
        <v>6.26</v>
      </c>
    </row>
    <row r="15" ht="89.45" customHeight="1" s="186">
      <c r="B15" s="222" t="inlineStr">
        <is>
          <t>Временные здания и сооружения</t>
        </is>
      </c>
      <c r="C15" s="22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0.039</v>
      </c>
    </row>
    <row r="16" ht="78.75" customHeight="1" s="186">
      <c r="B16" s="222" t="inlineStr">
        <is>
          <t>Дополнительные затраты при производстве строительно-монтажных работ в зимнее время</t>
        </is>
      </c>
      <c r="C16" s="22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0.021</v>
      </c>
    </row>
    <row r="17" ht="31.7" customHeight="1" s="186">
      <c r="B17" s="222" t="inlineStr">
        <is>
          <t>Строительный контроль</t>
        </is>
      </c>
      <c r="C17" s="222" t="inlineStr">
        <is>
          <t>Постановление Правительства РФ от 21.06.10 г. № 468</t>
        </is>
      </c>
      <c r="D17" s="108" t="n">
        <v>0.0214</v>
      </c>
    </row>
    <row r="18" ht="31.7" customHeight="1" s="186">
      <c r="B18" s="222" t="inlineStr">
        <is>
          <t>Авторский надзор - 0,2%</t>
        </is>
      </c>
      <c r="C18" s="222" t="inlineStr">
        <is>
          <t>Приказ от 4.08.2020 № 421/пр п.173</t>
        </is>
      </c>
      <c r="D18" s="108" t="n">
        <v>0.002</v>
      </c>
    </row>
    <row r="19" ht="24" customHeight="1" s="186">
      <c r="B19" s="222" t="inlineStr">
        <is>
          <t>Непредвиденные расходы</t>
        </is>
      </c>
      <c r="C19" s="222" t="inlineStr">
        <is>
          <t>Приказ от 4.08.2020 № 421/пр п.179</t>
        </is>
      </c>
      <c r="D19" s="108" t="n">
        <v>0.03</v>
      </c>
    </row>
    <row r="20" ht="18.75" customHeight="1" s="186">
      <c r="B20" s="106" t="n"/>
    </row>
    <row r="21" ht="18.75" customHeight="1" s="186">
      <c r="B21" s="106" t="n"/>
    </row>
    <row r="22" ht="18.75" customHeight="1" s="186">
      <c r="B22" s="106" t="n"/>
    </row>
    <row r="23" ht="18.75" customHeight="1" s="186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4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4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86" min="2" max="2"/>
    <col width="13" customWidth="1" style="186" min="3" max="3"/>
    <col width="22.85546875" customWidth="1" style="186" min="4" max="4"/>
    <col width="21.5703125" customWidth="1" style="186" min="5" max="5"/>
    <col width="53.7109375" bestFit="1" customWidth="1" style="186" min="6" max="6"/>
  </cols>
  <sheetData>
    <row r="1" s="186"/>
    <row r="2" ht="17.25" customHeight="1" s="186">
      <c r="A2" s="219" t="inlineStr">
        <is>
          <t>Расчет размера средств на оплату труда рабочих-строителей в текущем уровне цен (ФОТр.тек.)</t>
        </is>
      </c>
    </row>
    <row r="3" s="186"/>
    <row r="4" ht="18" customHeight="1" s="186">
      <c r="A4" s="187" t="inlineStr">
        <is>
          <t>Составлен в уровне цен на 01.01.2023 г.</t>
        </is>
      </c>
      <c r="B4" s="188" t="n"/>
      <c r="C4" s="188" t="n"/>
      <c r="D4" s="188" t="n"/>
      <c r="E4" s="188" t="n"/>
      <c r="F4" s="188" t="n"/>
      <c r="G4" s="188" t="n"/>
    </row>
    <row r="5" ht="15.75" customHeight="1" s="186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88" t="n"/>
    </row>
    <row r="6" ht="15.75" customHeight="1" s="186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88" t="n"/>
    </row>
    <row r="7" ht="110.25" customHeight="1" s="186">
      <c r="A7" s="19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2" t="inlineStr">
        <is>
          <t>С1ср</t>
        </is>
      </c>
      <c r="D7" s="222" t="inlineStr">
        <is>
          <t>-</t>
        </is>
      </c>
      <c r="E7" s="193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8" t="n"/>
    </row>
    <row r="8" ht="31.5" customHeight="1" s="186">
      <c r="A8" s="19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22" t="inlineStr">
        <is>
          <t>tср</t>
        </is>
      </c>
      <c r="D8" s="222" t="inlineStr">
        <is>
          <t>1973ч/12мес.</t>
        </is>
      </c>
      <c r="E8" s="194">
        <f>1973/12</f>
        <v/>
      </c>
      <c r="F8" s="195" t="inlineStr">
        <is>
          <t>Производственный календарь 2023 год
(40-часов.неделя)</t>
        </is>
      </c>
      <c r="G8" s="197" t="n"/>
    </row>
    <row r="9" ht="15.75" customHeight="1" s="186">
      <c r="A9" s="190" t="inlineStr">
        <is>
          <t>1.3</t>
        </is>
      </c>
      <c r="B9" s="195" t="inlineStr">
        <is>
          <t>Коэффициент увеличения</t>
        </is>
      </c>
      <c r="C9" s="222" t="inlineStr">
        <is>
          <t>Кув</t>
        </is>
      </c>
      <c r="D9" s="222" t="inlineStr">
        <is>
          <t>-</t>
        </is>
      </c>
      <c r="E9" s="194" t="n">
        <v>1</v>
      </c>
      <c r="F9" s="195" t="n"/>
      <c r="G9" s="197" t="n"/>
    </row>
    <row r="10" ht="15.75" customHeight="1" s="186">
      <c r="A10" s="190" t="inlineStr">
        <is>
          <t>1.4</t>
        </is>
      </c>
      <c r="B10" s="195" t="inlineStr">
        <is>
          <t>Средний разряд работ</t>
        </is>
      </c>
      <c r="C10" s="222" t="n"/>
      <c r="D10" s="222" t="n"/>
      <c r="E10" s="329" t="n">
        <v>3.8</v>
      </c>
      <c r="F10" s="195" t="inlineStr">
        <is>
          <t>РТМ</t>
        </is>
      </c>
      <c r="G10" s="197" t="n"/>
    </row>
    <row r="11" ht="78.75" customHeight="1" s="186">
      <c r="A11" s="190" t="inlineStr">
        <is>
          <t>1.5</t>
        </is>
      </c>
      <c r="B11" s="195" t="inlineStr">
        <is>
          <t>Тарифный коэффициент среднего разряда работ</t>
        </is>
      </c>
      <c r="C11" s="222" t="inlineStr">
        <is>
          <t>КТ</t>
        </is>
      </c>
      <c r="D11" s="222" t="inlineStr">
        <is>
          <t>-</t>
        </is>
      </c>
      <c r="E11" s="330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8" t="n"/>
    </row>
    <row r="12" ht="78.75" customHeight="1" s="186">
      <c r="A12" s="200" t="inlineStr">
        <is>
          <t>1.6</t>
        </is>
      </c>
      <c r="B12" s="304" t="inlineStr">
        <is>
          <t>Коэффициент инфляции, определяемый поквартально</t>
        </is>
      </c>
      <c r="C12" s="223" t="inlineStr">
        <is>
          <t>Кинф</t>
        </is>
      </c>
      <c r="D12" s="223" t="inlineStr">
        <is>
          <t>-</t>
        </is>
      </c>
      <c r="E12" s="331" t="n">
        <v>1.139</v>
      </c>
      <c r="F12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6">
      <c r="A13" s="307" t="inlineStr">
        <is>
          <t>1.7</t>
        </is>
      </c>
      <c r="B13" s="308" t="inlineStr">
        <is>
          <t>Размер средств на оплату труда рабочих-строителей в текущем уровне цен (ФОТр.тек.), руб/чел.-ч</t>
        </is>
      </c>
      <c r="C13" s="309" t="inlineStr">
        <is>
          <t>ФОТр.тек.</t>
        </is>
      </c>
      <c r="D13" s="309" t="inlineStr">
        <is>
          <t>(С1ср/tср*КТ*Т*Кув)*Кинф</t>
        </is>
      </c>
      <c r="E13" s="310">
        <f>((E7*E9/E8)*E11)*E12</f>
        <v/>
      </c>
      <c r="F1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2025-01-24T11:52:10Z</dcterms:modified>
  <cp:lastModifiedBy>Николай Трофименко</cp:lastModifiedBy>
  <cp:lastPrinted>2023-12-01T11:25:24Z</cp:lastPrinted>
</cp:coreProperties>
</file>