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187" min="1" max="2"/>
    <col width="51.7109375" customWidth="1" style="187" min="3" max="3"/>
    <col width="47" customWidth="1" style="187" min="4" max="4"/>
    <col width="37.42578125" customWidth="1" style="187" min="5" max="5"/>
    <col width="9.140625" customWidth="1" style="187" min="6" max="6"/>
  </cols>
  <sheetData>
    <row r="3">
      <c r="B3" s="216" t="inlineStr">
        <is>
          <t>Приложение № 1</t>
        </is>
      </c>
    </row>
    <row r="4">
      <c r="B4" s="217" t="inlineStr">
        <is>
          <t>Сравнительная таблица отбора объекта-представителя</t>
        </is>
      </c>
    </row>
    <row r="5" ht="84.2" customHeight="1" s="185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5">
      <c r="B6" s="139" t="n"/>
      <c r="C6" s="139" t="n"/>
      <c r="D6" s="139" t="n"/>
    </row>
    <row r="7" ht="64.5" customHeight="1" s="185">
      <c r="B7" s="218" t="inlineStr">
        <is>
          <t>Наименование разрабатываемого показателя УНЦ - Организация прокладки кабеля типа медная витая пара в трубе гофрированной, для организации связи на основе Ethernet</t>
        </is>
      </c>
    </row>
    <row r="8" ht="31.7" customHeight="1" s="185">
      <c r="B8" s="218" t="inlineStr">
        <is>
          <t>Сопоставимый уровень цен: 01.01.2001</t>
        </is>
      </c>
    </row>
    <row r="9" ht="15.75" customHeight="1" s="185">
      <c r="B9" s="218" t="inlineStr">
        <is>
          <t>Единица измерения  — 1 ед.</t>
        </is>
      </c>
    </row>
    <row r="10">
      <c r="B10" s="218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140" t="n"/>
    </row>
    <row r="12" ht="96.75" customHeight="1" s="185">
      <c r="B12" s="222" t="n">
        <v>1</v>
      </c>
      <c r="C12" s="202" t="inlineStr">
        <is>
          <t>Наименование объекта-представителя</t>
        </is>
      </c>
      <c r="D12" s="194" t="inlineStr">
        <is>
          <t>Комплексное техническое перевооружение и реконструкция ПС 500 кВ Трубино</t>
        </is>
      </c>
    </row>
    <row r="13">
      <c r="B13" s="222" t="n">
        <v>2</v>
      </c>
      <c r="C13" s="202" t="inlineStr">
        <is>
          <t>Наименование субъекта Российской Федерации</t>
        </is>
      </c>
      <c r="D13" s="222" t="inlineStr">
        <is>
          <t>Московская область</t>
        </is>
      </c>
    </row>
    <row r="14">
      <c r="B14" s="222" t="n">
        <v>3</v>
      </c>
      <c r="C14" s="202" t="inlineStr">
        <is>
          <t>Климатический район и подрайон</t>
        </is>
      </c>
      <c r="D14" s="222" t="inlineStr">
        <is>
          <t>II</t>
        </is>
      </c>
    </row>
    <row r="15">
      <c r="B15" s="222" t="n">
        <v>4</v>
      </c>
      <c r="C15" s="202" t="inlineStr">
        <is>
          <t>Мощность объекта</t>
        </is>
      </c>
      <c r="D15" s="222" t="n">
        <v>1</v>
      </c>
    </row>
    <row r="16" ht="63" customHeight="1" s="185">
      <c r="B16" s="222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4" t="inlineStr">
        <is>
          <t>Кабель витая пара U/UTP 1х2х0,52, категория 5e</t>
        </is>
      </c>
    </row>
    <row r="17" ht="79.5" customHeight="1" s="185">
      <c r="B17" s="222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 t="n">
        <v>0.0599742</v>
      </c>
      <c r="E17" s="145" t="n"/>
    </row>
    <row r="18">
      <c r="B18" s="146" t="inlineStr">
        <is>
          <t>6.1</t>
        </is>
      </c>
      <c r="C18" s="202" t="inlineStr">
        <is>
          <t>строительно-монтажные работы</t>
        </is>
      </c>
      <c r="D18" s="144" t="n">
        <v>0.0599742</v>
      </c>
    </row>
    <row r="19" ht="15.75" customHeight="1" s="185">
      <c r="B19" s="146" t="inlineStr">
        <is>
          <t>6.2</t>
        </is>
      </c>
      <c r="C19" s="202" t="inlineStr">
        <is>
          <t>оборудование и инвентарь</t>
        </is>
      </c>
      <c r="D19" s="144" t="n"/>
    </row>
    <row r="20" ht="16.5" customHeight="1" s="185">
      <c r="B20" s="146" t="inlineStr">
        <is>
          <t>6.3</t>
        </is>
      </c>
      <c r="C20" s="202" t="inlineStr">
        <is>
          <t>пусконаладочные работы</t>
        </is>
      </c>
      <c r="D20" s="144" t="n"/>
    </row>
    <row r="21" ht="35.45" customHeight="1" s="185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2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5">
      <c r="B23" s="222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 t="n">
        <v>0.0599742</v>
      </c>
      <c r="E23" s="145" t="n"/>
    </row>
    <row r="24" ht="60.75" customHeight="1" s="185">
      <c r="B24" s="222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 t="n">
        <v>0.0599742</v>
      </c>
      <c r="E24" s="149" t="n"/>
    </row>
    <row r="25" ht="48.2" customHeight="1" s="185">
      <c r="B25" s="222" t="n">
        <v>10</v>
      </c>
      <c r="C25" s="202" t="inlineStr">
        <is>
          <t>Примечание</t>
        </is>
      </c>
      <c r="D25" s="222" t="n"/>
    </row>
    <row r="26">
      <c r="B26" s="151" t="n"/>
      <c r="C26" s="152" t="n"/>
      <c r="D26" s="152" t="n"/>
    </row>
    <row r="27" ht="37.5" customHeight="1" s="185">
      <c r="B27" s="115" t="n"/>
    </row>
    <row r="28">
      <c r="B28" s="187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7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7" min="1" max="1"/>
    <col width="9.140625" customWidth="1" style="187" min="2" max="2"/>
    <col width="35.28515625" customWidth="1" style="187" min="3" max="3"/>
    <col width="13.85546875" customWidth="1" style="187" min="4" max="4"/>
    <col width="24.85546875" customWidth="1" style="187" min="5" max="5"/>
    <col width="15.5703125" customWidth="1" style="187" min="6" max="6"/>
    <col width="14.85546875" customWidth="1" style="187" min="7" max="7"/>
    <col width="16.7109375" customWidth="1" style="187" min="8" max="8"/>
    <col width="13" customWidth="1" style="187" min="9" max="10"/>
    <col width="9.140625" customWidth="1" style="187" min="11" max="11"/>
  </cols>
  <sheetData>
    <row r="3">
      <c r="B3" s="216" t="inlineStr">
        <is>
          <t>Приложение № 2</t>
        </is>
      </c>
    </row>
    <row r="4">
      <c r="B4" s="217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5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 s="185">
      <c r="B8" s="106" t="n"/>
    </row>
    <row r="9" ht="15.75" customHeight="1" s="185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 s="185">
      <c r="B10" s="312" t="n"/>
      <c r="C10" s="312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3 кв. 2019г., тыс. руб.</t>
        </is>
      </c>
      <c r="G10" s="310" t="n"/>
      <c r="H10" s="310" t="n"/>
      <c r="I10" s="310" t="n"/>
      <c r="J10" s="311" t="n"/>
    </row>
    <row r="11" ht="81" customHeight="1" s="185">
      <c r="B11" s="313" t="n"/>
      <c r="C11" s="313" t="n"/>
      <c r="D11" s="313" t="n"/>
      <c r="E11" s="313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39" customHeight="1" s="185">
      <c r="B12" s="222" t="n">
        <v>1</v>
      </c>
      <c r="C12" s="222" t="inlineStr">
        <is>
          <t>Кабель витая пара U/UTP 1х2х0,52, категория 5e</t>
        </is>
      </c>
      <c r="D12" s="201" t="inlineStr">
        <is>
          <t>ОС №02-25</t>
        </is>
      </c>
      <c r="E12" s="202" t="inlineStr">
        <is>
          <t>Кабельное хозяйство. 1 этап</t>
        </is>
      </c>
      <c r="F12" s="202" t="n"/>
      <c r="G12" s="203" t="n">
        <v>0.0599742</v>
      </c>
      <c r="H12" s="203" t="n"/>
      <c r="I12" s="203" t="n"/>
      <c r="J12" s="203" t="n">
        <v>0.0599742</v>
      </c>
    </row>
    <row r="13" ht="15.75" customHeight="1" s="185">
      <c r="B13" s="220" t="inlineStr">
        <is>
          <t>Всего по объекту:</t>
        </is>
      </c>
      <c r="C13" s="314" t="n"/>
      <c r="D13" s="314" t="n"/>
      <c r="E13" s="315" t="n"/>
      <c r="F13" s="204" t="n"/>
      <c r="G13" s="205" t="n">
        <v>0.0599742</v>
      </c>
      <c r="H13" s="205" t="n"/>
      <c r="I13" s="205" t="n"/>
      <c r="J13" s="205" t="n">
        <v>0.0599742</v>
      </c>
    </row>
    <row r="14">
      <c r="B14" s="221" t="inlineStr">
        <is>
          <t>Всего по объекту в сопоставимом уровне цен 3 кв. 2019г:</t>
        </is>
      </c>
      <c r="C14" s="310" t="n"/>
      <c r="D14" s="310" t="n"/>
      <c r="E14" s="311" t="n"/>
      <c r="F14" s="113" t="n"/>
      <c r="G14" s="206" t="n">
        <v>0.0599742</v>
      </c>
      <c r="H14" s="206" t="n"/>
      <c r="I14" s="206" t="n"/>
      <c r="J14" s="206" t="n">
        <v>0.0599742</v>
      </c>
    </row>
    <row r="15" ht="15" customHeight="1" s="185"/>
    <row r="16" ht="15" customHeight="1" s="185"/>
    <row r="17" ht="15" customHeight="1" s="185"/>
    <row r="18" ht="15" customHeight="1" s="185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5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5">
      <c r="C20" s="4" t="n"/>
      <c r="D20" s="12" t="n"/>
      <c r="E20" s="12" t="n"/>
    </row>
    <row r="21" ht="15" customHeight="1" s="185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5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5"/>
    <row r="24" ht="15" customHeight="1" s="185"/>
    <row r="25" ht="15" customHeight="1" s="185"/>
    <row r="26" ht="15" customHeight="1" s="185"/>
    <row r="27" ht="15" customHeight="1" s="185"/>
    <row r="28" ht="15" customHeight="1" s="185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6"/>
  <sheetViews>
    <sheetView view="pageBreakPreview" workbookViewId="0">
      <selection activeCell="E38" sqref="E38"/>
    </sheetView>
  </sheetViews>
  <sheetFormatPr baseColWidth="8" defaultColWidth="9.140625" defaultRowHeight="15.75"/>
  <cols>
    <col width="9.140625" customWidth="1" style="187" min="1" max="1"/>
    <col width="12.5703125" customWidth="1" style="187" min="2" max="2"/>
    <col width="22.42578125" customWidth="1" style="187" min="3" max="3"/>
    <col width="49.7109375" customWidth="1" style="187" min="4" max="4"/>
    <col width="10.140625" customWidth="1" style="187" min="5" max="5"/>
    <col width="20.7109375" customWidth="1" style="187" min="6" max="6"/>
    <col width="20" customWidth="1" style="187" min="7" max="7"/>
    <col width="16.7109375" customWidth="1" style="187" min="8" max="8"/>
    <col width="9.140625" customWidth="1" style="187" min="9" max="9"/>
    <col width="13.140625" customWidth="1" style="187" min="10" max="10"/>
    <col width="15" customWidth="1" style="187" min="11" max="11"/>
    <col width="9.140625" customWidth="1" style="187" min="12" max="12"/>
    <col width="11.28515625" customWidth="1" style="187" min="13" max="13"/>
    <col width="9.140625" customWidth="1" style="187" min="14" max="14"/>
  </cols>
  <sheetData>
    <row r="2">
      <c r="A2" s="216" t="inlineStr">
        <is>
          <t xml:space="preserve">Приложение № 3 </t>
        </is>
      </c>
    </row>
    <row r="3">
      <c r="A3" s="217" t="inlineStr">
        <is>
          <t>Объектная ресурсная ведомость</t>
        </is>
      </c>
    </row>
    <row r="4" ht="18.75" customHeight="1" s="185">
      <c r="A4" s="153" t="n"/>
      <c r="B4" s="153" t="n"/>
      <c r="C4" s="2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4.5" customHeight="1" s="185">
      <c r="A5" s="218" t="n"/>
    </row>
    <row r="6" ht="33.75" customHeight="1" s="185">
      <c r="A6" s="228" t="inlineStr">
        <is>
          <t>Наименование разрабатываемого показателя УНЦ - Организация прокладки кабеля типа медная витая пара в трубе гофрированной, для организации связи на основе Ethernet</t>
        </is>
      </c>
    </row>
    <row r="7" ht="0.75" customHeight="1" s="185">
      <c r="A7" s="228" t="n"/>
      <c r="B7" s="228" t="n"/>
      <c r="C7" s="228" t="n"/>
      <c r="D7" s="228" t="n"/>
      <c r="E7" s="228" t="n"/>
      <c r="F7" s="228" t="n"/>
      <c r="G7" s="228" t="n"/>
      <c r="H7" s="228" t="n"/>
      <c r="I7" s="187" t="n"/>
      <c r="J7" s="187" t="n"/>
      <c r="K7" s="187" t="n"/>
      <c r="L7" s="187" t="n"/>
      <c r="M7" s="187" t="n"/>
      <c r="N7" s="187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27.75" customHeight="1" s="185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311" t="n"/>
    </row>
    <row r="10" ht="18.75" customHeight="1" s="185">
      <c r="A10" s="313" t="n"/>
      <c r="B10" s="313" t="n"/>
      <c r="C10" s="313" t="n"/>
      <c r="D10" s="313" t="n"/>
      <c r="E10" s="313" t="n"/>
      <c r="F10" s="313" t="n"/>
      <c r="G10" s="222" t="inlineStr">
        <is>
          <t>на ед.изм.</t>
        </is>
      </c>
      <c r="H10" s="222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6">
      <c r="A12" s="225" t="inlineStr">
        <is>
          <t>Затраты труда рабочих</t>
        </is>
      </c>
      <c r="B12" s="310" t="n"/>
      <c r="C12" s="310" t="n"/>
      <c r="D12" s="310" t="n"/>
      <c r="E12" s="311" t="n"/>
      <c r="F12" s="316" t="n">
        <v>0.29</v>
      </c>
      <c r="G12" s="10" t="n"/>
      <c r="H12" s="316">
        <f>SUM(H13:H13)</f>
        <v/>
      </c>
      <c r="I12" s="187" t="n"/>
      <c r="J12" s="187" t="n"/>
    </row>
    <row r="13">
      <c r="A13" s="256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6" t="inlineStr">
        <is>
          <t>чел.-ч</t>
        </is>
      </c>
      <c r="F13" s="317" t="n">
        <v>0.29</v>
      </c>
      <c r="G13" s="124" t="n">
        <v>9.4</v>
      </c>
      <c r="H13" s="124">
        <f>ROUND(F13*G13,2)</f>
        <v/>
      </c>
      <c r="M13" s="318" t="n"/>
    </row>
    <row r="14">
      <c r="A14" s="224" t="inlineStr">
        <is>
          <t>Затраты труда машинистов</t>
        </is>
      </c>
      <c r="B14" s="310" t="n"/>
      <c r="C14" s="310" t="n"/>
      <c r="D14" s="310" t="n"/>
      <c r="E14" s="311" t="n"/>
      <c r="F14" s="225" t="n"/>
      <c r="G14" s="125" t="n"/>
      <c r="H14" s="316" t="n"/>
    </row>
    <row r="15" customFormat="1" s="156">
      <c r="A15" s="225" t="inlineStr">
        <is>
          <t>Машины и механизмы</t>
        </is>
      </c>
      <c r="B15" s="310" t="n"/>
      <c r="C15" s="310" t="n"/>
      <c r="D15" s="310" t="n"/>
      <c r="E15" s="311" t="n"/>
      <c r="F15" s="225" t="n"/>
      <c r="G15" s="125" t="n"/>
      <c r="H15" s="316">
        <f>SUM(H16:H18)</f>
        <v/>
      </c>
      <c r="J15" s="187" t="n"/>
    </row>
    <row r="16" ht="25.5" customHeight="1" s="185">
      <c r="A16" s="256" t="n">
        <v>2</v>
      </c>
      <c r="B16" s="226" t="n"/>
      <c r="C16" s="128" t="inlineStr">
        <is>
          <t>91.17.04-233</t>
        </is>
      </c>
      <c r="D16" s="129" t="inlineStr">
        <is>
          <t>Установки для сварки ручной дуговой (постоянного тока)</t>
        </is>
      </c>
      <c r="E16" s="256" t="inlineStr">
        <is>
          <t>маш.час</t>
        </is>
      </c>
      <c r="F16" s="256" t="n">
        <v>0.02</v>
      </c>
      <c r="G16" s="159" t="n">
        <v>8.1</v>
      </c>
      <c r="H16" s="124">
        <f>ROUND(F16*G16,2)</f>
        <v/>
      </c>
      <c r="I16" s="135" t="n"/>
      <c r="J16" s="135" t="n"/>
      <c r="L16" s="135" t="n"/>
    </row>
    <row r="17" ht="25.5" customHeight="1" s="185">
      <c r="A17" s="256" t="n">
        <v>3</v>
      </c>
      <c r="B17" s="226" t="n"/>
      <c r="C17" s="128" t="inlineStr">
        <is>
          <t>91.06.03-061</t>
        </is>
      </c>
      <c r="D17" s="129" t="inlineStr">
        <is>
          <t>Лебедки электрические тяговым усилием до 12,26 кН (1,25 т)</t>
        </is>
      </c>
      <c r="E17" s="256" t="inlineStr">
        <is>
          <t>маш.час</t>
        </is>
      </c>
      <c r="F17" s="256" t="n">
        <v>0.02</v>
      </c>
      <c r="G17" s="159" t="n">
        <v>3.28</v>
      </c>
      <c r="H17" s="124">
        <f>ROUND(F17*G17,2)</f>
        <v/>
      </c>
      <c r="I17" s="135" t="n"/>
      <c r="J17" s="135" t="n"/>
      <c r="K17" s="135" t="n"/>
      <c r="L17" s="135" t="n"/>
    </row>
    <row r="18">
      <c r="A18" s="256" t="n">
        <v>4</v>
      </c>
      <c r="B18" s="226" t="n"/>
      <c r="C18" s="128" t="inlineStr">
        <is>
          <t>91.06.01-003</t>
        </is>
      </c>
      <c r="D18" s="129" t="inlineStr">
        <is>
          <t>Домкраты гидравлические, грузоподъемность 63-100 т</t>
        </is>
      </c>
      <c r="E18" s="256" t="inlineStr">
        <is>
          <t>маш.час</t>
        </is>
      </c>
      <c r="F18" s="256" t="n">
        <v>0.02</v>
      </c>
      <c r="G18" s="159" t="n">
        <v>0.9</v>
      </c>
      <c r="H18" s="124">
        <f>ROUND(F18*G18,2)</f>
        <v/>
      </c>
      <c r="I18" s="135" t="n"/>
      <c r="J18" s="135" t="n"/>
      <c r="K18" s="135" t="n"/>
      <c r="L18" s="135" t="n"/>
    </row>
    <row r="19" ht="15" customHeight="1" s="185">
      <c r="A19" s="225" t="inlineStr">
        <is>
          <t>Оборудование</t>
        </is>
      </c>
      <c r="B19" s="310" t="n"/>
      <c r="C19" s="310" t="n"/>
      <c r="D19" s="310" t="n"/>
      <c r="E19" s="311" t="n"/>
      <c r="F19" s="10" t="n"/>
      <c r="G19" s="10" t="n"/>
      <c r="H19" s="316" t="n"/>
    </row>
    <row r="20">
      <c r="A20" s="225" t="inlineStr">
        <is>
          <t>Материалы</t>
        </is>
      </c>
      <c r="B20" s="310" t="n"/>
      <c r="C20" s="310" t="n"/>
      <c r="D20" s="310" t="n"/>
      <c r="E20" s="311" t="n"/>
      <c r="F20" s="225" t="n"/>
      <c r="G20" s="125" t="n"/>
      <c r="H20" s="316">
        <f>SUM(H21:H29)</f>
        <v/>
      </c>
    </row>
    <row r="21" ht="25.5" customHeight="1" s="185">
      <c r="A21" s="160" t="n">
        <v>5</v>
      </c>
      <c r="B21" s="226" t="n"/>
      <c r="C21" s="128" t="inlineStr">
        <is>
          <t>24.3.03.05-0011</t>
        </is>
      </c>
      <c r="D21" s="129" t="inlineStr">
        <is>
          <t>Трубы полиэтиленовые гибкие гофрированные легкие с протяжкой, номинальный внутренний диаметр 16 мм</t>
        </is>
      </c>
      <c r="E21" s="256" t="inlineStr">
        <is>
          <t>м</t>
        </is>
      </c>
      <c r="F21" s="256" t="n">
        <v>1</v>
      </c>
      <c r="G21" s="124" t="n">
        <v>2.45</v>
      </c>
      <c r="H21" s="124">
        <f>ROUND(F21*G21,2)</f>
        <v/>
      </c>
      <c r="I21" s="136" t="n"/>
      <c r="J21" s="135" t="n"/>
      <c r="K21" s="135" t="n"/>
    </row>
    <row r="22">
      <c r="A22" s="160" t="n">
        <v>6</v>
      </c>
      <c r="B22" s="226" t="n"/>
      <c r="C22" s="128" t="inlineStr">
        <is>
          <t>21.1.04.01-1042</t>
        </is>
      </c>
      <c r="D22" s="129" t="inlineStr">
        <is>
          <t>Кабель витая пара U/UTP 1х2х0,52, категория 5e</t>
        </is>
      </c>
      <c r="E22" s="256" t="inlineStr">
        <is>
          <t>1000 м</t>
        </is>
      </c>
      <c r="F22" s="256" t="n">
        <v>0.001</v>
      </c>
      <c r="G22" s="124" t="n">
        <v>654.95</v>
      </c>
      <c r="H22" s="124">
        <f>ROUND(F22*G22,2)</f>
        <v/>
      </c>
      <c r="I22" s="136" t="n"/>
      <c r="J22" s="135" t="n"/>
    </row>
    <row r="23" ht="25.5" customHeight="1" s="185">
      <c r="A23" s="160" t="n">
        <v>7</v>
      </c>
      <c r="B23" s="226" t="n"/>
      <c r="C23" s="128" t="inlineStr">
        <is>
          <t>23.8.03.02-0001</t>
        </is>
      </c>
      <c r="D23" s="129" t="inlineStr">
        <is>
          <t>Клипса для крепежа гофротрубы, номинальный диаметр 16 мм</t>
        </is>
      </c>
      <c r="E23" s="256" t="inlineStr">
        <is>
          <t>10 шт</t>
        </is>
      </c>
      <c r="F23" s="256" t="n">
        <v>0.2</v>
      </c>
      <c r="G23" s="124" t="n">
        <v>1.8</v>
      </c>
      <c r="H23" s="124">
        <f>ROUND(F23*G23,2)</f>
        <v/>
      </c>
      <c r="I23" s="136" t="n"/>
      <c r="J23" s="135" t="n"/>
      <c r="K23" s="135" t="n"/>
    </row>
    <row r="24" ht="25.5" customHeight="1" s="185">
      <c r="A24" s="160" t="n">
        <v>8</v>
      </c>
      <c r="B24" s="226" t="n"/>
      <c r="C24" s="128" t="inlineStr">
        <is>
          <t>10.3.02.03-0011</t>
        </is>
      </c>
      <c r="D24" s="129" t="inlineStr">
        <is>
          <t>Припои оловянно-свинцовые бессурьмянистые, марка ПОС30</t>
        </is>
      </c>
      <c r="E24" s="256" t="inlineStr">
        <is>
          <t>т</t>
        </is>
      </c>
      <c r="F24" s="256" t="n">
        <v>5e-06</v>
      </c>
      <c r="G24" s="124" t="n">
        <v>68050</v>
      </c>
      <c r="H24" s="124">
        <f>ROUND(F24*G24,2)</f>
        <v/>
      </c>
      <c r="I24" s="136" t="n"/>
      <c r="J24" s="135" t="n"/>
    </row>
    <row r="25">
      <c r="A25" s="160" t="n">
        <v>9</v>
      </c>
      <c r="B25" s="226" t="n"/>
      <c r="C25" s="128" t="inlineStr">
        <is>
          <t>01.7.11.07-0034</t>
        </is>
      </c>
      <c r="D25" s="129" t="inlineStr">
        <is>
          <t>Электроды сварочные Э42А, диаметр 4 мм</t>
        </is>
      </c>
      <c r="E25" s="256" t="inlineStr">
        <is>
          <t>кг</t>
        </is>
      </c>
      <c r="F25" s="256" t="n">
        <v>0.009599999999999999</v>
      </c>
      <c r="G25" s="124" t="n">
        <v>10.57</v>
      </c>
      <c r="H25" s="124">
        <f>ROUND(F25*G25,2)</f>
        <v/>
      </c>
      <c r="I25" s="136" t="n"/>
      <c r="J25" s="135" t="n"/>
    </row>
    <row r="26" ht="25.5" customHeight="1" s="185">
      <c r="A26" s="160" t="n">
        <v>10</v>
      </c>
      <c r="B26" s="226" t="n"/>
      <c r="C26" s="128" t="inlineStr">
        <is>
          <t>999-9950</t>
        </is>
      </c>
      <c r="D26" s="129" t="inlineStr">
        <is>
          <t>Вспомогательные ненормируемые ресурсы (2% от Оплаты труда рабочих)</t>
        </is>
      </c>
      <c r="E26" s="256" t="inlineStr">
        <is>
          <t>руб</t>
        </is>
      </c>
      <c r="F26" s="256" t="n">
        <v>0.0545</v>
      </c>
      <c r="G26" s="124" t="n">
        <v>1</v>
      </c>
      <c r="H26" s="124">
        <f>ROUND(F26*G26,2)</f>
        <v/>
      </c>
      <c r="I26" s="136" t="n"/>
      <c r="J26" s="135" t="n"/>
    </row>
    <row r="27">
      <c r="A27" s="160" t="n">
        <v>11</v>
      </c>
      <c r="B27" s="226" t="n"/>
      <c r="C27" s="128" t="inlineStr">
        <is>
          <t>14.1.02.01-0002</t>
        </is>
      </c>
      <c r="D27" s="129" t="inlineStr">
        <is>
          <t>Клей БМК-5к</t>
        </is>
      </c>
      <c r="E27" s="256" t="inlineStr">
        <is>
          <t>кг</t>
        </is>
      </c>
      <c r="F27" s="256" t="n">
        <v>0.002</v>
      </c>
      <c r="G27" s="124" t="n">
        <v>25.8</v>
      </c>
      <c r="H27" s="124">
        <f>ROUND(F27*G27,2)</f>
        <v/>
      </c>
      <c r="I27" s="136" t="n"/>
      <c r="J27" s="135" t="n"/>
    </row>
    <row r="28">
      <c r="A28" s="160" t="n">
        <v>12</v>
      </c>
      <c r="B28" s="226" t="n"/>
      <c r="C28" s="128" t="inlineStr">
        <is>
          <t>01.7.06.07-0002</t>
        </is>
      </c>
      <c r="D28" s="129" t="inlineStr">
        <is>
          <t>Лента монтажная, тип ЛМ-5</t>
        </is>
      </c>
      <c r="E28" s="256" t="inlineStr">
        <is>
          <t>10 м</t>
        </is>
      </c>
      <c r="F28" s="256" t="n">
        <v>0.00096</v>
      </c>
      <c r="G28" s="124" t="n">
        <v>6.9</v>
      </c>
      <c r="H28" s="124">
        <f>ROUND(F28*G28,2)</f>
        <v/>
      </c>
      <c r="I28" s="136" t="n"/>
      <c r="J28" s="135" t="n"/>
    </row>
    <row r="29">
      <c r="A29" s="160" t="n">
        <v>13</v>
      </c>
      <c r="B29" s="226" t="n"/>
      <c r="C29" s="128" t="inlineStr">
        <is>
          <t>14.4.03.03-0002</t>
        </is>
      </c>
      <c r="D29" s="129" t="inlineStr">
        <is>
          <t>Лак битумный БТ-123</t>
        </is>
      </c>
      <c r="E29" s="256" t="inlineStr">
        <is>
          <t>т</t>
        </is>
      </c>
      <c r="F29" s="256" t="n">
        <v>6e-07</v>
      </c>
      <c r="G29" s="124" t="n">
        <v>7826.9</v>
      </c>
      <c r="H29" s="124">
        <f>ROUND(F29*G29,2)</f>
        <v/>
      </c>
      <c r="I29" s="136" t="n"/>
      <c r="J29" s="135" t="n"/>
    </row>
    <row r="32">
      <c r="B32" s="187" t="inlineStr">
        <is>
          <t>Составил ______________________     Д.Ю. Нефедова</t>
        </is>
      </c>
    </row>
    <row r="33">
      <c r="B33" s="115" t="inlineStr">
        <is>
          <t xml:space="preserve">                         (подпись, инициалы, фамилия)</t>
        </is>
      </c>
    </row>
    <row r="35">
      <c r="B35" s="187" t="inlineStr">
        <is>
          <t>Проверил ______________________        А.В. Костянецкая</t>
        </is>
      </c>
    </row>
    <row r="36">
      <c r="B36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E9:E10"/>
    <mergeCell ref="A9:A10"/>
    <mergeCell ref="A15:E15"/>
    <mergeCell ref="A2:H2"/>
    <mergeCell ref="A19:E19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185" min="1" max="1"/>
    <col width="36.28515625" customWidth="1" style="185" min="2" max="2"/>
    <col width="18.85546875" customWidth="1" style="185" min="3" max="3"/>
    <col width="18.28515625" customWidth="1" style="185" min="4" max="4"/>
    <col width="18.85546875" customWidth="1" style="185" min="5" max="5"/>
    <col width="11.42578125" customWidth="1" style="185" min="6" max="6"/>
    <col width="14.42578125" customWidth="1" style="185" min="7" max="7"/>
    <col width="13.5703125" customWidth="1" style="185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38.25" customHeight="1" s="185">
      <c r="B7" s="230" t="inlineStr">
        <is>
          <t>Наименование разрабатываемого показателя УНЦ — Организация прокладки кабеля типа медная витая пара в трубе гофрированной, для организации связи на основе Ethernet</t>
        </is>
      </c>
    </row>
    <row r="8">
      <c r="B8" s="231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 s="185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2">
        <f>'Прил.5 Расчет СМР и ОБ'!J14</f>
        <v/>
      </c>
      <c r="D11" s="163">
        <f>C11/$C$24</f>
        <v/>
      </c>
      <c r="E11" s="163">
        <f>C11/$C$40</f>
        <v/>
      </c>
    </row>
    <row r="12">
      <c r="B12" s="117" t="inlineStr">
        <is>
          <t>Эксплуатация машин основных</t>
        </is>
      </c>
      <c r="C12" s="162">
        <f>'Прил.5 Расчет СМР и ОБ'!J20</f>
        <v/>
      </c>
      <c r="D12" s="163">
        <f>C12/$C$24</f>
        <v/>
      </c>
      <c r="E12" s="163">
        <f>C12/$C$40</f>
        <v/>
      </c>
    </row>
    <row r="13">
      <c r="B13" s="117" t="inlineStr">
        <is>
          <t>Эксплуатация машин прочих</t>
        </is>
      </c>
      <c r="C13" s="162">
        <f>'Прил.5 Расчет СМР и ОБ'!J22</f>
        <v/>
      </c>
      <c r="D13" s="163">
        <f>C13/$C$24</f>
        <v/>
      </c>
      <c r="E13" s="163">
        <f>C13/$C$40</f>
        <v/>
      </c>
    </row>
    <row r="14">
      <c r="B14" s="117" t="inlineStr">
        <is>
          <t>ЭКСПЛУАТАЦИЯ МАШИН, ВСЕГО:</t>
        </is>
      </c>
      <c r="C14" s="162">
        <f>C13+C12</f>
        <v/>
      </c>
      <c r="D14" s="163">
        <f>C14/$C$24</f>
        <v/>
      </c>
      <c r="E14" s="163">
        <f>C14/$C$40</f>
        <v/>
      </c>
    </row>
    <row r="15">
      <c r="B15" s="117" t="inlineStr">
        <is>
          <t>в том числе зарплата машинистов</t>
        </is>
      </c>
      <c r="C15" s="162" t="n">
        <v>0</v>
      </c>
      <c r="D15" s="163">
        <f>C15/$C$24</f>
        <v/>
      </c>
      <c r="E15" s="163">
        <f>C15/$C$40</f>
        <v/>
      </c>
    </row>
    <row r="16">
      <c r="B16" s="117" t="inlineStr">
        <is>
          <t>Материалы основные</t>
        </is>
      </c>
      <c r="C16" s="162">
        <f>'Прил.5 Расчет СМР и ОБ'!J35</f>
        <v/>
      </c>
      <c r="D16" s="163">
        <f>C16/$C$24</f>
        <v/>
      </c>
      <c r="E16" s="163">
        <f>C16/$C$40</f>
        <v/>
      </c>
    </row>
    <row r="17">
      <c r="B17" s="117" t="inlineStr">
        <is>
          <t>Материалы прочие</t>
        </is>
      </c>
      <c r="C17" s="162">
        <f>'Прил.5 Расчет СМР и ОБ'!J42</f>
        <v/>
      </c>
      <c r="D17" s="163">
        <f>C17/$C$24</f>
        <v/>
      </c>
      <c r="E17" s="163">
        <f>C17/$C$40</f>
        <v/>
      </c>
      <c r="G17" s="319" t="n"/>
    </row>
    <row r="18">
      <c r="B18" s="117" t="inlineStr">
        <is>
          <t>МАТЕРИАЛЫ, ВСЕГО:</t>
        </is>
      </c>
      <c r="C18" s="162">
        <f>C17+C16</f>
        <v/>
      </c>
      <c r="D18" s="163">
        <f>C18/$C$24</f>
        <v/>
      </c>
      <c r="E18" s="163">
        <f>C18/$C$40</f>
        <v/>
      </c>
    </row>
    <row r="19">
      <c r="B19" s="117" t="inlineStr">
        <is>
          <t>ИТОГО</t>
        </is>
      </c>
      <c r="C19" s="162">
        <f>C18+C14+C11</f>
        <v/>
      </c>
      <c r="D19" s="163" t="n"/>
      <c r="E19" s="117" t="n"/>
    </row>
    <row r="20">
      <c r="B20" s="117" t="inlineStr">
        <is>
          <t>Сметная прибыль, руб.</t>
        </is>
      </c>
      <c r="C20" s="162">
        <f>ROUND(C21*(C11+C15),2)</f>
        <v/>
      </c>
      <c r="D20" s="163">
        <f>C20/$C$24</f>
        <v/>
      </c>
      <c r="E20" s="163">
        <f>C20/$C$40</f>
        <v/>
      </c>
    </row>
    <row r="21">
      <c r="B21" s="117" t="inlineStr">
        <is>
          <t>Сметная прибыль, %</t>
        </is>
      </c>
      <c r="C21" s="165">
        <f>'Прил.5 Расчет СМР и ОБ'!D46</f>
        <v/>
      </c>
      <c r="D21" s="163" t="n"/>
      <c r="E21" s="117" t="n"/>
    </row>
    <row r="22">
      <c r="B22" s="117" t="inlineStr">
        <is>
          <t>Накладные расходы, руб.</t>
        </is>
      </c>
      <c r="C22" s="162">
        <f>ROUND(C23*(C11+C15),2)</f>
        <v/>
      </c>
      <c r="D22" s="163">
        <f>C22/$C$24</f>
        <v/>
      </c>
      <c r="E22" s="163">
        <f>C22/$C$40</f>
        <v/>
      </c>
    </row>
    <row r="23">
      <c r="B23" s="117" t="inlineStr">
        <is>
          <t>Накладные расходы, %</t>
        </is>
      </c>
      <c r="C23" s="165">
        <f>'Прил.5 Расчет СМР и ОБ'!D45</f>
        <v/>
      </c>
      <c r="D23" s="163" t="n"/>
      <c r="E23" s="117" t="n"/>
    </row>
    <row r="24">
      <c r="B24" s="117" t="inlineStr">
        <is>
          <t>ВСЕГО СМР с НР и СП</t>
        </is>
      </c>
      <c r="C24" s="162">
        <f>C19+C20+C22</f>
        <v/>
      </c>
      <c r="D24" s="163">
        <f>C24/$C$24</f>
        <v/>
      </c>
      <c r="E24" s="163">
        <f>C24/$C$40</f>
        <v/>
      </c>
    </row>
    <row r="25" ht="25.5" customHeight="1" s="185">
      <c r="B25" s="117" t="inlineStr">
        <is>
          <t>ВСЕГО стоимость оборудования, в том числе</t>
        </is>
      </c>
      <c r="C25" s="162">
        <f>'Прил.5 Расчет СМР и ОБ'!J28</f>
        <v/>
      </c>
      <c r="D25" s="163" t="n"/>
      <c r="E25" s="163">
        <f>C25/$C$40</f>
        <v/>
      </c>
    </row>
    <row r="26" ht="25.5" customHeight="1" s="185">
      <c r="B26" s="117" t="inlineStr">
        <is>
          <t>стоимость оборудования технологического</t>
        </is>
      </c>
      <c r="C26" s="162">
        <f>'Прил.5 Расчет СМР и ОБ'!J29</f>
        <v/>
      </c>
      <c r="D26" s="163" t="n"/>
      <c r="E26" s="163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3" t="n"/>
      <c r="E27" s="163">
        <f>C27/$C$40</f>
        <v/>
      </c>
    </row>
    <row r="28" ht="33" customHeight="1" s="185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6" t="n"/>
    </row>
    <row r="29" ht="25.5" customHeight="1" s="185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3">
        <f>C29/$C$40</f>
        <v/>
      </c>
    </row>
    <row r="30" ht="38.25" customHeight="1" s="185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3">
        <f>C30/$C$40</f>
        <v/>
      </c>
      <c r="F30" s="166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3">
        <f>C31/$C$40</f>
        <v/>
      </c>
    </row>
    <row r="32" ht="25.5" customHeight="1" s="185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3">
        <f>C32/$C$40</f>
        <v/>
      </c>
    </row>
    <row r="33" ht="25.5" customHeight="1" s="185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3">
        <f>C33/$C$40</f>
        <v/>
      </c>
    </row>
    <row r="34" ht="51" customHeight="1" s="185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3">
        <f>C34/$C$40</f>
        <v/>
      </c>
      <c r="H34" s="136" t="n"/>
    </row>
    <row r="35" ht="76.5" customHeight="1" s="185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3">
        <f>C35/$C$40</f>
        <v/>
      </c>
    </row>
    <row r="36" ht="25.5" customHeight="1" s="185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3">
        <f>C36/$C$40</f>
        <v/>
      </c>
      <c r="L36" s="166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3">
        <f>C37/$C$40</f>
        <v/>
      </c>
      <c r="L37" s="166" t="n"/>
    </row>
    <row r="38" ht="38.25" customHeight="1" s="185">
      <c r="B38" s="117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117" t="n"/>
      <c r="E38" s="163">
        <f>C38/$C$40</f>
        <v/>
      </c>
    </row>
    <row r="39" ht="13.7" customHeight="1" s="185">
      <c r="B39" s="117" t="inlineStr">
        <is>
          <t>Непредвиденные расходы</t>
        </is>
      </c>
      <c r="C39" s="162">
        <f>ROUND(C38*3%,2)</f>
        <v/>
      </c>
      <c r="D39" s="117" t="n"/>
      <c r="E39" s="163">
        <f>C39/$C$38</f>
        <v/>
      </c>
    </row>
    <row r="40">
      <c r="B40" s="117" t="inlineStr">
        <is>
          <t>ВСЕГО:</t>
        </is>
      </c>
      <c r="C40" s="162">
        <f>C39+C38</f>
        <v/>
      </c>
      <c r="D40" s="117" t="n"/>
      <c r="E40" s="163">
        <f>C40/$C$40</f>
        <v/>
      </c>
    </row>
    <row r="41">
      <c r="B41" s="117" t="inlineStr">
        <is>
          <t>ИТОГО ПОКАЗАТЕЛЬ НА ЕД. ИЗМ.</t>
        </is>
      </c>
      <c r="C41" s="162">
        <f>C40/'Прил.5 Расчет СМР и ОБ'!E49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19" workbookViewId="0">
      <selection activeCell="C66" sqref="C6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5">
      <c r="H2" s="23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58" t="n"/>
      <c r="D5" s="209" t="n"/>
      <c r="E5" s="209" t="n"/>
      <c r="F5" s="209" t="n"/>
      <c r="G5" s="209" t="n"/>
      <c r="H5" s="209" t="n"/>
      <c r="I5" s="209" t="n"/>
      <c r="J5" s="209" t="n"/>
    </row>
    <row r="6" ht="27.75" customFormat="1" customHeight="1" s="4">
      <c r="A6" s="167" t="inlineStr">
        <is>
          <t>Наименование разрабатываемого показателя УНЦ</t>
        </is>
      </c>
      <c r="B6" s="168" t="n"/>
      <c r="C6" s="168" t="n"/>
      <c r="D6" s="238" t="inlineStr">
        <is>
          <t>Организация прокладки кабеля типа медная витая пара в трубе гофрированной, для организации связи на основе Ethernet</t>
        </is>
      </c>
    </row>
    <row r="7" ht="12.75" customFormat="1" customHeight="1" s="4">
      <c r="A7" s="212" t="inlineStr">
        <is>
          <t>Единица измерения  — 1 ед.</t>
        </is>
      </c>
      <c r="I7" s="230" t="n"/>
      <c r="J7" s="230" t="n"/>
    </row>
    <row r="8" ht="13.7" customFormat="1" customHeight="1" s="4">
      <c r="A8" s="212" t="n"/>
    </row>
    <row r="9" ht="27" customHeight="1" s="185">
      <c r="A9" s="235" t="inlineStr">
        <is>
          <t>№ пп.</t>
        </is>
      </c>
      <c r="B9" s="235" t="inlineStr">
        <is>
          <t>Код ресурса</t>
        </is>
      </c>
      <c r="C9" s="235" t="inlineStr">
        <is>
          <t>Наименование</t>
        </is>
      </c>
      <c r="D9" s="235" t="inlineStr">
        <is>
          <t>Ед. изм.</t>
        </is>
      </c>
      <c r="E9" s="235" t="inlineStr">
        <is>
          <t>Кол-во единиц по проектным данным</t>
        </is>
      </c>
      <c r="F9" s="235" t="inlineStr">
        <is>
          <t>Сметная стоимость в ценах на 01.01.2000 (руб.)</t>
        </is>
      </c>
      <c r="G9" s="311" t="n"/>
      <c r="H9" s="235" t="inlineStr">
        <is>
          <t>Удельный вес, %</t>
        </is>
      </c>
      <c r="I9" s="235" t="inlineStr">
        <is>
          <t>Сметная стоимость в ценах на 01.01.2023 (руб.)</t>
        </is>
      </c>
      <c r="J9" s="311" t="n"/>
      <c r="M9" s="12" t="n"/>
      <c r="N9" s="12" t="n"/>
    </row>
    <row r="10" ht="28.5" customHeight="1" s="185">
      <c r="A10" s="313" t="n"/>
      <c r="B10" s="313" t="n"/>
      <c r="C10" s="313" t="n"/>
      <c r="D10" s="313" t="n"/>
      <c r="E10" s="313" t="n"/>
      <c r="F10" s="235" t="inlineStr">
        <is>
          <t>на ед. изм.</t>
        </is>
      </c>
      <c r="G10" s="235" t="inlineStr">
        <is>
          <t>общая</t>
        </is>
      </c>
      <c r="H10" s="313" t="n"/>
      <c r="I10" s="235" t="inlineStr">
        <is>
          <t>на ед. изм.</t>
        </is>
      </c>
      <c r="J10" s="235" t="inlineStr">
        <is>
          <t>общая</t>
        </is>
      </c>
      <c r="M10" s="12" t="n"/>
      <c r="N10" s="12" t="n"/>
    </row>
    <row r="11">
      <c r="A11" s="235" t="n">
        <v>1</v>
      </c>
      <c r="B11" s="235" t="n">
        <v>2</v>
      </c>
      <c r="C11" s="235" t="n">
        <v>3</v>
      </c>
      <c r="D11" s="235" t="n">
        <v>4</v>
      </c>
      <c r="E11" s="235" t="n">
        <v>5</v>
      </c>
      <c r="F11" s="235" t="n">
        <v>6</v>
      </c>
      <c r="G11" s="235" t="n">
        <v>7</v>
      </c>
      <c r="H11" s="235" t="n">
        <v>8</v>
      </c>
      <c r="I11" s="236" t="n">
        <v>9</v>
      </c>
      <c r="J11" s="236" t="n">
        <v>10</v>
      </c>
      <c r="M11" s="12" t="n"/>
      <c r="N11" s="12" t="n"/>
    </row>
    <row r="12">
      <c r="A12" s="235" t="n"/>
      <c r="B12" s="224" t="inlineStr">
        <is>
          <t>Затраты труда рабочих-строителей</t>
        </is>
      </c>
      <c r="C12" s="310" t="n"/>
      <c r="D12" s="310" t="n"/>
      <c r="E12" s="310" t="n"/>
      <c r="F12" s="310" t="n"/>
      <c r="G12" s="310" t="n"/>
      <c r="H12" s="311" t="n"/>
      <c r="I12" s="132" t="n"/>
      <c r="J12" s="132" t="n"/>
    </row>
    <row r="13" ht="25.5" customHeight="1" s="185">
      <c r="A13" s="235" t="n">
        <v>1</v>
      </c>
      <c r="B13" s="137" t="inlineStr">
        <is>
          <t>1-3-8</t>
        </is>
      </c>
      <c r="C13" s="243" t="inlineStr">
        <is>
          <t>Затраты труда рабочих-строителей среднего разряда (3,8)</t>
        </is>
      </c>
      <c r="D13" s="235" t="inlineStr">
        <is>
          <t>чел.-ч.</t>
        </is>
      </c>
      <c r="E13" s="320">
        <f>G13/F13</f>
        <v/>
      </c>
      <c r="F13" s="26" t="n">
        <v>9.4</v>
      </c>
      <c r="G13" s="26">
        <f>'Прил. 3'!H12</f>
        <v/>
      </c>
      <c r="H13" s="169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5" t="n"/>
      <c r="B14" s="235" t="n"/>
      <c r="C14" s="224" t="inlineStr">
        <is>
          <t>Итого по разделу "Затраты труда рабочих-строителей"</t>
        </is>
      </c>
      <c r="D14" s="235" t="inlineStr">
        <is>
          <t>чел.-ч.</t>
        </is>
      </c>
      <c r="E14" s="320">
        <f>SUM(E13:E13)</f>
        <v/>
      </c>
      <c r="F14" s="26" t="n"/>
      <c r="G14" s="26">
        <f>SUM(G13:G13)</f>
        <v/>
      </c>
      <c r="H14" s="246">
        <f>SUM(H13:H13)</f>
        <v/>
      </c>
      <c r="I14" s="132" t="n"/>
      <c r="J14" s="26">
        <f>SUM(J13:J13)</f>
        <v/>
      </c>
    </row>
    <row r="15" ht="14.25" customFormat="1" customHeight="1" s="12">
      <c r="A15" s="235" t="n"/>
      <c r="B15" s="243" t="inlineStr">
        <is>
          <t>Затраты труда машинистов</t>
        </is>
      </c>
      <c r="C15" s="310" t="n"/>
      <c r="D15" s="310" t="n"/>
      <c r="E15" s="310" t="n"/>
      <c r="F15" s="310" t="n"/>
      <c r="G15" s="310" t="n"/>
      <c r="H15" s="311" t="n"/>
      <c r="I15" s="132" t="n"/>
      <c r="J15" s="132" t="n"/>
    </row>
    <row r="16" ht="14.25" customFormat="1" customHeight="1" s="12">
      <c r="A16" s="235" t="n"/>
      <c r="B16" s="224" t="inlineStr">
        <is>
          <t>Машины и механизмы</t>
        </is>
      </c>
      <c r="C16" s="310" t="n"/>
      <c r="D16" s="310" t="n"/>
      <c r="E16" s="310" t="n"/>
      <c r="F16" s="310" t="n"/>
      <c r="G16" s="310" t="n"/>
      <c r="H16" s="311" t="n"/>
      <c r="I16" s="132" t="n"/>
      <c r="J16" s="132" t="n"/>
    </row>
    <row r="17" ht="14.25" customFormat="1" customHeight="1" s="12">
      <c r="A17" s="235" t="n"/>
      <c r="B17" s="243" t="inlineStr">
        <is>
          <t>Основные машины и механизмы</t>
        </is>
      </c>
      <c r="C17" s="310" t="n"/>
      <c r="D17" s="310" t="n"/>
      <c r="E17" s="310" t="n"/>
      <c r="F17" s="310" t="n"/>
      <c r="G17" s="310" t="n"/>
      <c r="H17" s="311" t="n"/>
      <c r="I17" s="132" t="n"/>
      <c r="J17" s="132" t="n"/>
    </row>
    <row r="18" ht="25.5" customFormat="1" customHeight="1" s="12">
      <c r="A18" s="235" t="n">
        <v>2</v>
      </c>
      <c r="B18" s="137" t="inlineStr">
        <is>
          <t>91.17.04-233</t>
        </is>
      </c>
      <c r="C18" s="243" t="inlineStr">
        <is>
          <t>Установки для сварки ручной дуговой (постоянного тока)</t>
        </is>
      </c>
      <c r="D18" s="235" t="inlineStr">
        <is>
          <t>маш.час</t>
        </is>
      </c>
      <c r="E18" s="320" t="n">
        <v>0.02</v>
      </c>
      <c r="F18" s="245" t="n">
        <v>8.1</v>
      </c>
      <c r="G18" s="26">
        <f>ROUND(E18*F18,2)</f>
        <v/>
      </c>
      <c r="H18" s="169">
        <f>G18/$G$23</f>
        <v/>
      </c>
      <c r="I18" s="26">
        <f>ROUND(F18*'Прил. 10'!$D$12,2)</f>
        <v/>
      </c>
      <c r="J18" s="26">
        <f>ROUND(I18*E18,2)</f>
        <v/>
      </c>
    </row>
    <row r="19" ht="25.5" customFormat="1" customHeight="1" s="12">
      <c r="A19" s="235" t="n">
        <v>3</v>
      </c>
      <c r="B19" s="137" t="inlineStr">
        <is>
          <t>91.06.03-061</t>
        </is>
      </c>
      <c r="C19" s="243" t="inlineStr">
        <is>
          <t>Лебедки электрические тяговым усилием до 12,26 кН (1,25 т)</t>
        </is>
      </c>
      <c r="D19" s="235" t="inlineStr">
        <is>
          <t>маш.час</t>
        </is>
      </c>
      <c r="E19" s="320" t="n">
        <v>0.02</v>
      </c>
      <c r="F19" s="245" t="n">
        <v>3.28</v>
      </c>
      <c r="G19" s="26">
        <f>ROUND(E19*F19,2)</f>
        <v/>
      </c>
      <c r="H19" s="169">
        <f>G19/$G$23</f>
        <v/>
      </c>
      <c r="I19" s="26">
        <f>ROUND(F19*'Прил. 10'!$D$12,2)</f>
        <v/>
      </c>
      <c r="J19" s="26">
        <f>ROUND(I19*E19,2)</f>
        <v/>
      </c>
    </row>
    <row r="20" ht="14.25" customFormat="1" customHeight="1" s="12">
      <c r="A20" s="235" t="n"/>
      <c r="B20" s="235" t="n"/>
      <c r="C20" s="243" t="inlineStr">
        <is>
          <t>Итого основные машины и механизмы</t>
        </is>
      </c>
      <c r="D20" s="235" t="n"/>
      <c r="E20" s="320" t="n"/>
      <c r="F20" s="26" t="n"/>
      <c r="G20" s="26">
        <f>SUM(G18:G19)</f>
        <v/>
      </c>
      <c r="H20" s="246">
        <f>G20/G23</f>
        <v/>
      </c>
      <c r="I20" s="134" t="n"/>
      <c r="J20" s="26">
        <f>SUM(J18:J19)</f>
        <v/>
      </c>
    </row>
    <row r="21" hidden="1" outlineLevel="1" ht="25.5" customFormat="1" customHeight="1" s="12">
      <c r="A21" s="235" t="n">
        <v>4</v>
      </c>
      <c r="B21" s="137" t="inlineStr">
        <is>
          <t>91.06.01-003</t>
        </is>
      </c>
      <c r="C21" s="243" t="inlineStr">
        <is>
          <t>Домкраты гидравлические, грузоподъемность 63-100 т</t>
        </is>
      </c>
      <c r="D21" s="235" t="inlineStr">
        <is>
          <t>маш.час</t>
        </is>
      </c>
      <c r="E21" s="320" t="n">
        <v>0.02</v>
      </c>
      <c r="F21" s="245" t="n">
        <v>0.9</v>
      </c>
      <c r="G21" s="26">
        <f>ROUND(E21*F21,2)</f>
        <v/>
      </c>
      <c r="H21" s="169">
        <f>G21/$G$23</f>
        <v/>
      </c>
      <c r="I21" s="26">
        <f>ROUND(F21*'Прил. 10'!$D$12,2)</f>
        <v/>
      </c>
      <c r="J21" s="26">
        <f>ROUND(I21*E21,2)</f>
        <v/>
      </c>
    </row>
    <row r="22" collapsed="1" ht="14.25" customFormat="1" customHeight="1" s="12">
      <c r="A22" s="235" t="n"/>
      <c r="B22" s="235" t="n"/>
      <c r="C22" s="243" t="inlineStr">
        <is>
          <t>Итого прочие машины и механизмы</t>
        </is>
      </c>
      <c r="D22" s="235" t="n"/>
      <c r="E22" s="244" t="n"/>
      <c r="F22" s="26" t="n"/>
      <c r="G22" s="26">
        <f>SUM(G21:G21)</f>
        <v/>
      </c>
      <c r="H22" s="169">
        <f>G22/G23</f>
        <v/>
      </c>
      <c r="I22" s="26" t="n"/>
      <c r="J22" s="26">
        <f>SUM(J21:J21)</f>
        <v/>
      </c>
    </row>
    <row r="23" ht="25.5" customFormat="1" customHeight="1" s="12">
      <c r="A23" s="235" t="n"/>
      <c r="B23" s="235" t="n"/>
      <c r="C23" s="224" t="inlineStr">
        <is>
          <t>Итого по разделу «Машины и механизмы»</t>
        </is>
      </c>
      <c r="D23" s="235" t="n"/>
      <c r="E23" s="244" t="n"/>
      <c r="F23" s="26" t="n"/>
      <c r="G23" s="26">
        <f>G20+G22</f>
        <v/>
      </c>
      <c r="H23" s="246">
        <f>H20+H22</f>
        <v/>
      </c>
      <c r="I23" s="131" t="n"/>
      <c r="J23" s="26">
        <f>J20+J22</f>
        <v/>
      </c>
    </row>
    <row r="24" ht="14.25" customFormat="1" customHeight="1" s="12">
      <c r="A24" s="235" t="n"/>
      <c r="B24" s="224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32" t="n"/>
      <c r="J24" s="132" t="n"/>
    </row>
    <row r="25">
      <c r="A25" s="235" t="n"/>
      <c r="B25" s="243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32" t="n"/>
      <c r="J25" s="132" t="n"/>
    </row>
    <row r="26">
      <c r="A26" s="235" t="n"/>
      <c r="B26" s="235" t="n"/>
      <c r="C26" s="243" t="inlineStr">
        <is>
          <t>Итого основное оборудование</t>
        </is>
      </c>
      <c r="D26" s="235" t="n"/>
      <c r="E26" s="321" t="n"/>
      <c r="F26" s="245" t="n"/>
      <c r="G26" s="26" t="n">
        <v>0</v>
      </c>
      <c r="H26" s="169" t="n">
        <v>0</v>
      </c>
      <c r="I26" s="134" t="n"/>
      <c r="J26" s="26" t="n">
        <v>0</v>
      </c>
    </row>
    <row r="27">
      <c r="A27" s="235" t="n"/>
      <c r="B27" s="235" t="n"/>
      <c r="C27" s="243" t="inlineStr">
        <is>
          <t>Итого прочее оборудование</t>
        </is>
      </c>
      <c r="D27" s="235" t="n"/>
      <c r="E27" s="320" t="n"/>
      <c r="F27" s="245" t="n"/>
      <c r="G27" s="26" t="n">
        <v>0</v>
      </c>
      <c r="H27" s="169" t="n">
        <v>0</v>
      </c>
      <c r="I27" s="134" t="n"/>
      <c r="J27" s="26" t="n">
        <v>0</v>
      </c>
    </row>
    <row r="28">
      <c r="A28" s="235" t="n"/>
      <c r="B28" s="235" t="n"/>
      <c r="C28" s="224" t="inlineStr">
        <is>
          <t>Итого по разделу «Оборудование»</t>
        </is>
      </c>
      <c r="D28" s="235" t="n"/>
      <c r="E28" s="244" t="n"/>
      <c r="F28" s="245" t="n"/>
      <c r="G28" s="26">
        <f>G26+G27</f>
        <v/>
      </c>
      <c r="H28" s="169">
        <f>H26+H27</f>
        <v/>
      </c>
      <c r="I28" s="134" t="n"/>
      <c r="J28" s="26">
        <f>J27+J26</f>
        <v/>
      </c>
    </row>
    <row r="29" ht="25.5" customHeight="1" s="185">
      <c r="A29" s="235" t="n"/>
      <c r="B29" s="235" t="n"/>
      <c r="C29" s="243" t="inlineStr">
        <is>
          <t>в том числе технологическое оборудование</t>
        </is>
      </c>
      <c r="D29" s="235" t="n"/>
      <c r="E29" s="321" t="n"/>
      <c r="F29" s="245" t="n"/>
      <c r="G29" s="26">
        <f>'Прил.6 Расчет ОБ'!G12</f>
        <v/>
      </c>
      <c r="H29" s="246" t="n"/>
      <c r="I29" s="134" t="n"/>
      <c r="J29" s="26">
        <f>J28</f>
        <v/>
      </c>
    </row>
    <row r="30" ht="14.25" customFormat="1" customHeight="1" s="12">
      <c r="A30" s="235" t="n"/>
      <c r="B30" s="224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32" t="n"/>
      <c r="J30" s="132" t="n"/>
    </row>
    <row r="31" ht="14.25" customFormat="1" customHeight="1" s="12">
      <c r="A31" s="236" t="n"/>
      <c r="B31" s="239" t="inlineStr">
        <is>
          <t>Основные материалы</t>
        </is>
      </c>
      <c r="C31" s="322" t="n"/>
      <c r="D31" s="322" t="n"/>
      <c r="E31" s="322" t="n"/>
      <c r="F31" s="322" t="n"/>
      <c r="G31" s="322" t="n"/>
      <c r="H31" s="323" t="n"/>
      <c r="I31" s="170" t="n"/>
      <c r="J31" s="170" t="n"/>
    </row>
    <row r="32" ht="38.25" customFormat="1" customHeight="1" s="12">
      <c r="A32" s="235" t="n">
        <v>5</v>
      </c>
      <c r="B32" s="235" t="inlineStr">
        <is>
          <t>24.3.03.05-0011</t>
        </is>
      </c>
      <c r="C32" s="243" t="inlineStr">
        <is>
          <t>Трубы полиэтиленовые гибкие гофрированные легкие с протяжкой, номинальный внутренний диаметр 16 мм</t>
        </is>
      </c>
      <c r="D32" s="235" t="inlineStr">
        <is>
          <t>м</t>
        </is>
      </c>
      <c r="E32" s="321" t="n">
        <v>1</v>
      </c>
      <c r="F32" s="245" t="n">
        <v>2.45</v>
      </c>
      <c r="G32" s="26">
        <f>ROUND(E32*F32,2)</f>
        <v/>
      </c>
      <c r="H32" s="169">
        <f>G32/$G$43</f>
        <v/>
      </c>
      <c r="I32" s="26">
        <f>ROUND(F32*'Прил. 10'!$D$13,2)</f>
        <v/>
      </c>
      <c r="J32" s="26">
        <f>ROUND(I32*E32,2)</f>
        <v/>
      </c>
    </row>
    <row r="33" ht="25.5" customFormat="1" customHeight="1" s="12">
      <c r="A33" s="235" t="n">
        <v>6</v>
      </c>
      <c r="B33" s="235" t="inlineStr">
        <is>
          <t>21.1.04.01-1042</t>
        </is>
      </c>
      <c r="C33" s="243" t="inlineStr">
        <is>
          <t>Кабель витая пара U/UTP 1х2х0,52, категория 5e</t>
        </is>
      </c>
      <c r="D33" s="235" t="inlineStr">
        <is>
          <t>1000 м</t>
        </is>
      </c>
      <c r="E33" s="321" t="n">
        <v>0.001</v>
      </c>
      <c r="F33" s="245" t="n">
        <v>654.95</v>
      </c>
      <c r="G33" s="26">
        <f>ROUND(E33*F33,2)</f>
        <v/>
      </c>
      <c r="H33" s="169">
        <f>G33/$G$43</f>
        <v/>
      </c>
      <c r="I33" s="26">
        <f>ROUND(F33*'Прил. 10'!$D$13,2)</f>
        <v/>
      </c>
      <c r="J33" s="26">
        <f>ROUND(I33*E33,2)</f>
        <v/>
      </c>
    </row>
    <row r="34" ht="25.5" customFormat="1" customHeight="1" s="12">
      <c r="A34" s="235" t="n">
        <v>7</v>
      </c>
      <c r="B34" s="235" t="inlineStr">
        <is>
          <t>23.8.03.02-0001</t>
        </is>
      </c>
      <c r="C34" s="243" t="inlineStr">
        <is>
          <t>Клипса для крепежа гофротрубы, номинальный диаметр 16 мм</t>
        </is>
      </c>
      <c r="D34" s="235" t="inlineStr">
        <is>
          <t>10 шт</t>
        </is>
      </c>
      <c r="E34" s="321" t="n">
        <v>0.2</v>
      </c>
      <c r="F34" s="245" t="n">
        <v>1.8</v>
      </c>
      <c r="G34" s="26">
        <f>ROUND(E34*F34,2)</f>
        <v/>
      </c>
      <c r="H34" s="169">
        <f>G34/$G$43</f>
        <v/>
      </c>
      <c r="I34" s="26">
        <f>ROUND(F34*'Прил. 10'!$D$13,2)</f>
        <v/>
      </c>
      <c r="J34" s="26">
        <f>ROUND(I34*E34,2)</f>
        <v/>
      </c>
    </row>
    <row r="35" ht="14.25" customFormat="1" customHeight="1" s="12">
      <c r="A35" s="237" t="n"/>
      <c r="B35" s="172" t="n"/>
      <c r="C35" s="173" t="inlineStr">
        <is>
          <t>Итого основные материалы</t>
        </is>
      </c>
      <c r="D35" s="237" t="n"/>
      <c r="E35" s="324" t="n"/>
      <c r="F35" s="175" t="n"/>
      <c r="G35" s="175">
        <f>SUM(G32:G34)</f>
        <v/>
      </c>
      <c r="H35" s="169">
        <f>G35/$G$43</f>
        <v/>
      </c>
      <c r="I35" s="26" t="n"/>
      <c r="J35" s="175">
        <f>SUM(J32:J34)</f>
        <v/>
      </c>
    </row>
    <row r="36" hidden="1" outlineLevel="1" ht="25.5" customFormat="1" customHeight="1" s="12">
      <c r="A36" s="235" t="n">
        <v>8</v>
      </c>
      <c r="B36" s="235" t="inlineStr">
        <is>
          <t>10.3.02.03-0011</t>
        </is>
      </c>
      <c r="C36" s="243" t="inlineStr">
        <is>
          <t>Припои оловянно-свинцовые бессурьмянистые, марка ПОС30</t>
        </is>
      </c>
      <c r="D36" s="235" t="inlineStr">
        <is>
          <t>т</t>
        </is>
      </c>
      <c r="E36" s="321" t="n">
        <v>5e-06</v>
      </c>
      <c r="F36" s="245" t="n">
        <v>68050</v>
      </c>
      <c r="G36" s="26">
        <f>ROUND(E36*F36,2)</f>
        <v/>
      </c>
      <c r="H36" s="169">
        <f>G36/$G$43</f>
        <v/>
      </c>
      <c r="I36" s="26">
        <f>ROUND(F36*'Прил. 10'!$D$13,2)</f>
        <v/>
      </c>
      <c r="J36" s="26">
        <f>ROUND(I36*E36,2)</f>
        <v/>
      </c>
    </row>
    <row r="37" hidden="1" outlineLevel="1" ht="25.5" customFormat="1" customHeight="1" s="12">
      <c r="A37" s="235" t="n">
        <v>9</v>
      </c>
      <c r="B37" s="235" t="inlineStr">
        <is>
          <t>01.7.11.07-0034</t>
        </is>
      </c>
      <c r="C37" s="243" t="inlineStr">
        <is>
          <t>Электроды сварочные Э42А, диаметр 4 мм</t>
        </is>
      </c>
      <c r="D37" s="235" t="inlineStr">
        <is>
          <t>кг</t>
        </is>
      </c>
      <c r="E37" s="321" t="n">
        <v>0.009599999999999999</v>
      </c>
      <c r="F37" s="245" t="n">
        <v>10.57</v>
      </c>
      <c r="G37" s="26">
        <f>ROUND(E37*F37,2)</f>
        <v/>
      </c>
      <c r="H37" s="169">
        <f>G37/$G$43</f>
        <v/>
      </c>
      <c r="I37" s="26">
        <f>ROUND(F37*'Прил. 10'!$D$13,2)</f>
        <v/>
      </c>
      <c r="J37" s="26">
        <f>ROUND(I37*E37,2)</f>
        <v/>
      </c>
    </row>
    <row r="38" hidden="1" outlineLevel="1" ht="25.5" customFormat="1" customHeight="1" s="12">
      <c r="A38" s="235" t="n">
        <v>10</v>
      </c>
      <c r="B38" s="235" t="inlineStr">
        <is>
          <t>999-9950</t>
        </is>
      </c>
      <c r="C38" s="243" t="inlineStr">
        <is>
          <t>Вспомогательные ненормируемые ресурсы (2% от Оплаты труда рабочих)</t>
        </is>
      </c>
      <c r="D38" s="235" t="inlineStr">
        <is>
          <t>руб</t>
        </is>
      </c>
      <c r="E38" s="321" t="n">
        <v>0.0545</v>
      </c>
      <c r="F38" s="245" t="n">
        <v>1</v>
      </c>
      <c r="G38" s="26">
        <f>ROUND(E38*F38,2)</f>
        <v/>
      </c>
      <c r="H38" s="169">
        <f>G38/$G$43</f>
        <v/>
      </c>
      <c r="I38" s="26">
        <f>ROUND(F38*'Прил. 10'!$D$13,2)</f>
        <v/>
      </c>
      <c r="J38" s="26">
        <f>ROUND(I38*E38,2)</f>
        <v/>
      </c>
    </row>
    <row r="39" hidden="1" outlineLevel="1" ht="14.25" customFormat="1" customHeight="1" s="12">
      <c r="A39" s="235" t="n">
        <v>11</v>
      </c>
      <c r="B39" s="235" t="inlineStr">
        <is>
          <t>14.1.02.01-0002</t>
        </is>
      </c>
      <c r="C39" s="243" t="inlineStr">
        <is>
          <t>Клей БМК-5к</t>
        </is>
      </c>
      <c r="D39" s="235" t="inlineStr">
        <is>
          <t>кг</t>
        </is>
      </c>
      <c r="E39" s="321" t="n">
        <v>0.002</v>
      </c>
      <c r="F39" s="245" t="n">
        <v>25.8</v>
      </c>
      <c r="G39" s="26">
        <f>ROUND(E39*F39,2)</f>
        <v/>
      </c>
      <c r="H39" s="169">
        <f>G39/$G$43</f>
        <v/>
      </c>
      <c r="I39" s="26">
        <f>ROUND(F39*'Прил. 10'!$D$13,2)</f>
        <v/>
      </c>
      <c r="J39" s="26">
        <f>ROUND(I39*E39,2)</f>
        <v/>
      </c>
    </row>
    <row r="40" hidden="1" outlineLevel="1" ht="14.25" customFormat="1" customHeight="1" s="12">
      <c r="A40" s="235" t="n">
        <v>12</v>
      </c>
      <c r="B40" s="235" t="inlineStr">
        <is>
          <t>01.7.06.07-0002</t>
        </is>
      </c>
      <c r="C40" s="243" t="inlineStr">
        <is>
          <t>Лента монтажная, тип ЛМ-5</t>
        </is>
      </c>
      <c r="D40" s="235" t="inlineStr">
        <is>
          <t>10 м</t>
        </is>
      </c>
      <c r="E40" s="321" t="n">
        <v>0.00096</v>
      </c>
      <c r="F40" s="245" t="n">
        <v>6.9</v>
      </c>
      <c r="G40" s="26">
        <f>ROUND(E40*F40,2)</f>
        <v/>
      </c>
      <c r="H40" s="169">
        <f>G40/$G$43</f>
        <v/>
      </c>
      <c r="I40" s="26">
        <f>ROUND(F40*'Прил. 10'!$D$13,2)</f>
        <v/>
      </c>
      <c r="J40" s="26">
        <f>ROUND(I40*E40,2)</f>
        <v/>
      </c>
    </row>
    <row r="41" hidden="1" outlineLevel="1" ht="14.25" customFormat="1" customHeight="1" s="12">
      <c r="A41" s="235" t="n">
        <v>13</v>
      </c>
      <c r="B41" s="235" t="inlineStr">
        <is>
          <t>14.4.03.03-0002</t>
        </is>
      </c>
      <c r="C41" s="243" t="inlineStr">
        <is>
          <t>Лак битумный БТ-123</t>
        </is>
      </c>
      <c r="D41" s="235" t="inlineStr">
        <is>
          <t>т</t>
        </is>
      </c>
      <c r="E41" s="321" t="n">
        <v>6e-07</v>
      </c>
      <c r="F41" s="245" t="n">
        <v>7826.9</v>
      </c>
      <c r="G41" s="26">
        <f>ROUND(E41*F41,2)</f>
        <v/>
      </c>
      <c r="H41" s="169">
        <f>G41/$G$43</f>
        <v/>
      </c>
      <c r="I41" s="26">
        <f>ROUND(F41*'Прил. 10'!$D$13,2)</f>
        <v/>
      </c>
      <c r="J41" s="26">
        <f>ROUND(I41*E41,2)</f>
        <v/>
      </c>
    </row>
    <row r="42" collapsed="1" ht="14.25" customFormat="1" customHeight="1" s="12">
      <c r="A42" s="235" t="n"/>
      <c r="B42" s="235" t="n"/>
      <c r="C42" s="243" t="inlineStr">
        <is>
          <t>Итого прочие материалы</t>
        </is>
      </c>
      <c r="D42" s="235" t="n"/>
      <c r="E42" s="244" t="n"/>
      <c r="F42" s="245" t="n"/>
      <c r="G42" s="26">
        <f>SUM(G36:G41)</f>
        <v/>
      </c>
      <c r="H42" s="169">
        <f>G42/$G$43</f>
        <v/>
      </c>
      <c r="I42" s="26" t="n"/>
      <c r="J42" s="26">
        <f>SUM(J36:J41)</f>
        <v/>
      </c>
    </row>
    <row r="43" ht="14.25" customFormat="1" customHeight="1" s="12">
      <c r="A43" s="235" t="n"/>
      <c r="B43" s="235" t="n"/>
      <c r="C43" s="224" t="inlineStr">
        <is>
          <t>Итого по разделу «Материалы»</t>
        </is>
      </c>
      <c r="D43" s="235" t="n"/>
      <c r="E43" s="244" t="n"/>
      <c r="F43" s="245" t="n"/>
      <c r="G43" s="26">
        <f>G35+G42</f>
        <v/>
      </c>
      <c r="H43" s="246">
        <f>G43/$G$43</f>
        <v/>
      </c>
      <c r="I43" s="26" t="n"/>
      <c r="J43" s="26">
        <f>J35+J42</f>
        <v/>
      </c>
    </row>
    <row r="44" ht="14.25" customFormat="1" customHeight="1" s="12">
      <c r="A44" s="235" t="n"/>
      <c r="B44" s="235" t="n"/>
      <c r="C44" s="243" t="inlineStr">
        <is>
          <t>ИТОГО ПО РМ</t>
        </is>
      </c>
      <c r="D44" s="235" t="n"/>
      <c r="E44" s="244" t="n"/>
      <c r="F44" s="245" t="n"/>
      <c r="G44" s="26">
        <f>G14+G23+G43</f>
        <v/>
      </c>
      <c r="H44" s="246" t="n"/>
      <c r="I44" s="26" t="n"/>
      <c r="J44" s="26">
        <f>J14+J23+J43</f>
        <v/>
      </c>
    </row>
    <row r="45" ht="14.25" customFormat="1" customHeight="1" s="12">
      <c r="A45" s="235" t="n"/>
      <c r="B45" s="235" t="n"/>
      <c r="C45" s="243" t="inlineStr">
        <is>
          <t>Накладные расходы</t>
        </is>
      </c>
      <c r="D45" s="121">
        <f>ROUND(G45/(0+$G$14),2)</f>
        <v/>
      </c>
      <c r="E45" s="244" t="n"/>
      <c r="F45" s="245" t="n"/>
      <c r="G45" s="26" t="n">
        <v>2.71</v>
      </c>
      <c r="H45" s="246" t="n"/>
      <c r="I45" s="26" t="n"/>
      <c r="J45" s="26">
        <f>ROUND(D45*(J14+0),2)</f>
        <v/>
      </c>
    </row>
    <row r="46" ht="14.25" customFormat="1" customHeight="1" s="12">
      <c r="A46" s="235" t="n"/>
      <c r="B46" s="235" t="n"/>
      <c r="C46" s="243" t="inlineStr">
        <is>
          <t>Сметная прибыль</t>
        </is>
      </c>
      <c r="D46" s="121">
        <f>ROUND(G46/(G$14+0),2)</f>
        <v/>
      </c>
      <c r="E46" s="244" t="n"/>
      <c r="F46" s="245" t="n"/>
      <c r="G46" s="26" t="n">
        <v>1.42</v>
      </c>
      <c r="H46" s="246" t="n"/>
      <c r="I46" s="26" t="n"/>
      <c r="J46" s="26">
        <f>ROUND(D46*(J14+0),2)</f>
        <v/>
      </c>
    </row>
    <row r="47" ht="14.25" customFormat="1" customHeight="1" s="12">
      <c r="A47" s="235" t="n"/>
      <c r="B47" s="235" t="n"/>
      <c r="C47" s="243" t="inlineStr">
        <is>
          <t>Итого СМР (с НР и СП)</t>
        </is>
      </c>
      <c r="D47" s="235" t="n"/>
      <c r="E47" s="244" t="n"/>
      <c r="F47" s="245" t="n"/>
      <c r="G47" s="26">
        <f>G14+G23+G43+G45+G46</f>
        <v/>
      </c>
      <c r="H47" s="246" t="n"/>
      <c r="I47" s="26" t="n"/>
      <c r="J47" s="26">
        <f>J14+J23+J43+J45+J46</f>
        <v/>
      </c>
    </row>
    <row r="48" ht="14.25" customFormat="1" customHeight="1" s="12">
      <c r="A48" s="235" t="n"/>
      <c r="B48" s="235" t="n"/>
      <c r="C48" s="243" t="inlineStr">
        <is>
          <t>ВСЕГО СМР + ОБОРУДОВАНИЕ</t>
        </is>
      </c>
      <c r="D48" s="235" t="n"/>
      <c r="E48" s="244" t="n"/>
      <c r="F48" s="245" t="n"/>
      <c r="G48" s="26">
        <f>G47+G28</f>
        <v/>
      </c>
      <c r="H48" s="246" t="n"/>
      <c r="I48" s="26" t="n"/>
      <c r="J48" s="26">
        <f>J47+J28</f>
        <v/>
      </c>
    </row>
    <row r="49" ht="34.5" customFormat="1" customHeight="1" s="12">
      <c r="A49" s="235" t="n"/>
      <c r="B49" s="235" t="n"/>
      <c r="C49" s="243" t="inlineStr">
        <is>
          <t>ИТОГО ПОКАЗАТЕЛЬ НА ЕД. ИЗМ.</t>
        </is>
      </c>
      <c r="D49" s="235" t="inlineStr">
        <is>
          <t>ед.</t>
        </is>
      </c>
      <c r="E49" s="325" t="n">
        <v>1</v>
      </c>
      <c r="F49" s="245" t="n"/>
      <c r="G49" s="26">
        <f>G48/E49</f>
        <v/>
      </c>
      <c r="H49" s="246" t="n"/>
      <c r="I49" s="26" t="n"/>
      <c r="J49" s="26">
        <f>J48/E49</f>
        <v/>
      </c>
    </row>
    <row r="51" ht="14.25" customFormat="1" customHeight="1" s="12">
      <c r="A51" s="4" t="inlineStr">
        <is>
          <t>Составил ______________________    Д.Ю. Нефедова</t>
        </is>
      </c>
    </row>
    <row r="52" ht="14.25" customFormat="1" customHeight="1" s="12">
      <c r="A52" s="114" t="inlineStr">
        <is>
          <t xml:space="preserve">                         (подпись, инициалы, фамилия)</t>
        </is>
      </c>
      <c r="G52" s="183" t="n"/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B30:H30"/>
    <mergeCell ref="A4:J4"/>
    <mergeCell ref="B15:H15"/>
    <mergeCell ref="H2:J2"/>
    <mergeCell ref="C9:C10"/>
    <mergeCell ref="E9:E10"/>
    <mergeCell ref="A7:H7"/>
    <mergeCell ref="B16:H16"/>
    <mergeCell ref="B25:H25"/>
    <mergeCell ref="B31:H31"/>
    <mergeCell ref="B9:B10"/>
    <mergeCell ref="D9:D10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7" sqref="E17"/>
    </sheetView>
  </sheetViews>
  <sheetFormatPr baseColWidth="8" defaultRowHeight="15"/>
  <cols>
    <col width="5.7109375" customWidth="1" style="185" min="1" max="1"/>
    <col width="17.5703125" customWidth="1" style="185" min="2" max="2"/>
    <col width="39.140625" customWidth="1" style="185" min="3" max="3"/>
    <col width="10.7109375" customWidth="1" style="185" min="4" max="4"/>
    <col width="13.85546875" customWidth="1" style="185" min="5" max="5"/>
    <col width="13.28515625" customWidth="1" style="185" min="6" max="6"/>
    <col width="14.140625" customWidth="1" style="185" min="7" max="7"/>
  </cols>
  <sheetData>
    <row r="1">
      <c r="A1" s="251" t="inlineStr">
        <is>
          <t>Приложение №6</t>
        </is>
      </c>
    </row>
    <row r="2" ht="21.75" customHeight="1" s="185">
      <c r="A2" s="251" t="n"/>
      <c r="B2" s="251" t="n"/>
      <c r="C2" s="251" t="n"/>
      <c r="D2" s="251" t="n"/>
      <c r="E2" s="251" t="n"/>
      <c r="F2" s="251" t="n"/>
      <c r="G2" s="251" t="n"/>
    </row>
    <row r="3">
      <c r="A3" s="209" t="inlineStr">
        <is>
          <t>Расчет стоимости оборудования</t>
        </is>
      </c>
    </row>
    <row r="4" ht="27" customHeight="1" s="185">
      <c r="A4" s="212" t="inlineStr">
        <is>
          <t>Наименование разрабатываемого показателя УНЦ — Организация прокладки кабеля типа медная витая пара в трубе гофрированной, для организации связи на основе Ethernet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5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5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85">
      <c r="A9" s="117" t="n"/>
      <c r="B9" s="243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 s="185">
      <c r="A10" s="235" t="n"/>
      <c r="B10" s="224" t="n"/>
      <c r="C10" s="243" t="inlineStr">
        <is>
          <t>ИТОГО ИНЖЕНЕРНОЕ ОБОРУДОВАНИЕ</t>
        </is>
      </c>
      <c r="D10" s="224" t="n"/>
      <c r="E10" s="119" t="n"/>
      <c r="F10" s="245" t="n"/>
      <c r="G10" s="245" t="n">
        <v>0</v>
      </c>
    </row>
    <row r="11">
      <c r="A11" s="235" t="n"/>
      <c r="B11" s="243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 s="185">
      <c r="A12" s="235" t="n"/>
      <c r="B12" s="243" t="n"/>
      <c r="C12" s="243" t="inlineStr">
        <is>
          <t>ИТОГО ТЕХНОЛОГИЧЕСКОЕ ОБОРУДОВАНИЕ</t>
        </is>
      </c>
      <c r="D12" s="243" t="n"/>
      <c r="E12" s="255" t="n"/>
      <c r="F12" s="245" t="n"/>
      <c r="G12" s="26" t="n">
        <v>0</v>
      </c>
    </row>
    <row r="13" ht="19.5" customHeight="1" s="185">
      <c r="A13" s="235" t="n"/>
      <c r="B13" s="243" t="n"/>
      <c r="C13" s="243" t="inlineStr">
        <is>
          <t>Всего по разделу «Оборудование»</t>
        </is>
      </c>
      <c r="D13" s="243" t="n"/>
      <c r="E13" s="255" t="n"/>
      <c r="F13" s="245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85" min="1" max="1"/>
    <col width="29.7109375" customWidth="1" style="185" min="2" max="2"/>
    <col width="39.140625" customWidth="1" style="185" min="3" max="3"/>
    <col width="24.5703125" customWidth="1" style="185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85">
      <c r="A3" s="209" t="inlineStr">
        <is>
          <t>Расчет показателя УНЦ</t>
        </is>
      </c>
    </row>
    <row r="4" ht="24.75" customHeight="1" s="185">
      <c r="A4" s="209" t="n"/>
      <c r="B4" s="209" t="n"/>
      <c r="C4" s="209" t="n"/>
      <c r="D4" s="209" t="n"/>
    </row>
    <row r="5" ht="24.6" customHeight="1" s="185">
      <c r="A5" s="212" t="inlineStr">
        <is>
          <t xml:space="preserve">Наименование разрабатываемого показателя УНЦ - </t>
        </is>
      </c>
      <c r="D5" s="212">
        <f>'Прил.5 Расчет СМР и ОБ'!D6:J6</f>
        <v/>
      </c>
    </row>
    <row r="6" ht="19.9" customHeight="1" s="185">
      <c r="A6" s="212" t="inlineStr">
        <is>
          <t>Единица измерения  — 1 ед</t>
        </is>
      </c>
      <c r="D6" s="212" t="n"/>
    </row>
    <row r="7">
      <c r="A7" s="4" t="n"/>
      <c r="B7" s="4" t="n"/>
      <c r="C7" s="4" t="n"/>
      <c r="D7" s="4" t="n"/>
    </row>
    <row r="8" ht="14.45" customHeight="1" s="185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85">
      <c r="A9" s="313" t="n"/>
      <c r="B9" s="313" t="n"/>
      <c r="C9" s="313" t="n"/>
      <c r="D9" s="313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41.45" customHeight="1" s="185">
      <c r="A11" s="235" t="inlineStr">
        <is>
          <t>А1-80</t>
        </is>
      </c>
      <c r="B11" s="235" t="inlineStr">
        <is>
          <t>УНЦ ИИК</t>
        </is>
      </c>
      <c r="C11" s="162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185" min="2" max="2"/>
    <col width="37.5703125" customWidth="1" style="185" min="3" max="3"/>
    <col width="32" customWidth="1" style="185" min="4" max="4"/>
  </cols>
  <sheetData>
    <row r="4" ht="15.75" customHeight="1" s="185">
      <c r="B4" s="216" t="inlineStr">
        <is>
          <t>Приложение № 10</t>
        </is>
      </c>
    </row>
    <row r="5" ht="18.75" customHeight="1" s="185">
      <c r="B5" s="105" t="n"/>
    </row>
    <row r="6" ht="15.75" customHeight="1" s="185">
      <c r="B6" s="217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 s="185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185">
      <c r="B10" s="222" t="n">
        <v>1</v>
      </c>
      <c r="C10" s="222" t="n">
        <v>2</v>
      </c>
      <c r="D10" s="222" t="n">
        <v>3</v>
      </c>
    </row>
    <row r="11" ht="45" customHeight="1" s="185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29.25" customHeight="1" s="185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29.25" customHeight="1" s="185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0.75" customHeight="1" s="185">
      <c r="B14" s="222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2" t="n">
        <v>6.26</v>
      </c>
    </row>
    <row r="15" ht="89.45" customHeight="1" s="185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5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5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5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108" t="n">
        <v>0.002</v>
      </c>
    </row>
    <row r="19" ht="24" customHeight="1" s="185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108" t="n">
        <v>0.03</v>
      </c>
    </row>
    <row r="20" ht="18.75" customHeight="1" s="185">
      <c r="B20" s="106" t="n"/>
    </row>
    <row r="21" ht="18.75" customHeight="1" s="185">
      <c r="B21" s="106" t="n"/>
    </row>
    <row r="22" ht="18.75" customHeight="1" s="185">
      <c r="B22" s="106" t="n"/>
    </row>
    <row r="23" ht="18.75" customHeight="1" s="185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5" min="2" max="2"/>
    <col width="13" customWidth="1" style="185" min="3" max="3"/>
    <col width="22.85546875" customWidth="1" style="185" min="4" max="4"/>
    <col width="21.5703125" customWidth="1" style="185" min="5" max="5"/>
    <col width="53.7109375" bestFit="1" customWidth="1" style="185" min="6" max="6"/>
  </cols>
  <sheetData>
    <row r="1" s="185"/>
    <row r="2" ht="17.25" customHeight="1" s="185">
      <c r="A2" s="217" t="inlineStr">
        <is>
          <t>Расчет размера средств на оплату труда рабочих-строителей в текущем уровне цен (ФОТр.тек.)</t>
        </is>
      </c>
    </row>
    <row r="3" s="185"/>
    <row r="4" ht="18" customHeight="1" s="185">
      <c r="A4" s="186" t="inlineStr">
        <is>
          <t>Составлен в уровне цен на 01.01.2023 г.</t>
        </is>
      </c>
      <c r="B4" s="187" t="n"/>
      <c r="C4" s="187" t="n"/>
      <c r="D4" s="187" t="n"/>
      <c r="E4" s="187" t="n"/>
      <c r="F4" s="187" t="n"/>
      <c r="G4" s="187" t="n"/>
    </row>
    <row r="5" ht="15.75" customHeight="1" s="185">
      <c r="A5" s="188" t="inlineStr">
        <is>
          <t>№ пп.</t>
        </is>
      </c>
      <c r="B5" s="188" t="inlineStr">
        <is>
          <t>Наименование элемента</t>
        </is>
      </c>
      <c r="C5" s="188" t="inlineStr">
        <is>
          <t>Обозначение</t>
        </is>
      </c>
      <c r="D5" s="188" t="inlineStr">
        <is>
          <t>Формула</t>
        </is>
      </c>
      <c r="E5" s="188" t="inlineStr">
        <is>
          <t>Величина элемента</t>
        </is>
      </c>
      <c r="F5" s="188" t="inlineStr">
        <is>
          <t>Наименования обосновывающих документов</t>
        </is>
      </c>
      <c r="G5" s="187" t="n"/>
    </row>
    <row r="6" ht="15.75" customHeight="1" s="185">
      <c r="A6" s="188" t="n">
        <v>1</v>
      </c>
      <c r="B6" s="188" t="n">
        <v>2</v>
      </c>
      <c r="C6" s="188" t="n">
        <v>3</v>
      </c>
      <c r="D6" s="188" t="n">
        <v>4</v>
      </c>
      <c r="E6" s="188" t="n">
        <v>5</v>
      </c>
      <c r="F6" s="188" t="n">
        <v>6</v>
      </c>
      <c r="G6" s="187" t="n"/>
    </row>
    <row r="7" ht="110.25" customHeight="1" s="185">
      <c r="A7" s="189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192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7" t="n"/>
    </row>
    <row r="8" ht="31.5" customHeight="1" s="185">
      <c r="A8" s="189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93">
        <f>1973/12</f>
        <v/>
      </c>
      <c r="F8" s="194" t="inlineStr">
        <is>
          <t>Производственный календарь 2023 год
(40-часов.неделя)</t>
        </is>
      </c>
      <c r="G8" s="196" t="n"/>
    </row>
    <row r="9" ht="15.75" customHeight="1" s="185">
      <c r="A9" s="189" t="inlineStr">
        <is>
          <t>1.3</t>
        </is>
      </c>
      <c r="B9" s="194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93" t="n">
        <v>1</v>
      </c>
      <c r="F9" s="194" t="n"/>
      <c r="G9" s="196" t="n"/>
    </row>
    <row r="10" ht="15.75" customHeight="1" s="185">
      <c r="A10" s="189" t="inlineStr">
        <is>
          <t>1.4</t>
        </is>
      </c>
      <c r="B10" s="194" t="inlineStr">
        <is>
          <t>Средний разряд работ</t>
        </is>
      </c>
      <c r="C10" s="222" t="n"/>
      <c r="D10" s="222" t="n"/>
      <c r="E10" s="326" t="n">
        <v>3.8</v>
      </c>
      <c r="F10" s="194" t="inlineStr">
        <is>
          <t>РТМ</t>
        </is>
      </c>
      <c r="G10" s="196" t="n"/>
    </row>
    <row r="11" ht="78.75" customHeight="1" s="185">
      <c r="A11" s="189" t="inlineStr">
        <is>
          <t>1.5</t>
        </is>
      </c>
      <c r="B11" s="194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27" t="n">
        <v>1.308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7" t="n"/>
    </row>
    <row r="12" ht="78.75" customHeight="1" s="185">
      <c r="A12" s="199" t="inlineStr">
        <is>
          <t>1.6</t>
        </is>
      </c>
      <c r="B12" s="302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28" t="n">
        <v>1.139</v>
      </c>
      <c r="F12" s="3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5">
      <c r="A13" s="305" t="inlineStr">
        <is>
          <t>1.7</t>
        </is>
      </c>
      <c r="B13" s="306" t="inlineStr">
        <is>
          <t>Размер средств на оплату труда рабочих-строителей в текущем уровне цен (ФОТр.тек.), руб/чел.-ч</t>
        </is>
      </c>
      <c r="C13" s="307" t="inlineStr">
        <is>
          <t>ФОТр.тек.</t>
        </is>
      </c>
      <c r="D13" s="307" t="inlineStr">
        <is>
          <t>(С1ср/tср*КТ*Т*Кув)*Кинф</t>
        </is>
      </c>
      <c r="E13" s="308">
        <f>((E7*E9/E8)*E11)*E12</f>
        <v/>
      </c>
      <c r="F13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2025-01-24T11:52:16Z</dcterms:modified>
  <cp:lastModifiedBy>Николай Трофименко</cp:lastModifiedBy>
  <cp:lastPrinted>2023-12-01T11:58:14Z</cp:lastPrinted>
</cp:coreProperties>
</file>