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3'!$A$1:$H$113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000"/>
    <numFmt numFmtId="166" formatCode="0.000"/>
    <numFmt numFmtId="167" formatCode="_-* #,##0.0\ _₽_-;\-* #,##0.0\ _₽_-;_-* &quot;-&quot;??\ _₽_-;_-@_-"/>
    <numFmt numFmtId="168" formatCode="#,##0.0"/>
    <numFmt numFmtId="169" formatCode="#,##0.000"/>
  </numFmts>
  <fonts count="15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4" fillId="0" borderId="1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right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10" fontId="8" fillId="0" borderId="1" applyAlignment="1" pivotButton="0" quotePrefix="0" xfId="0">
      <alignment horizontal="center" vertical="top" wrapText="1"/>
    </xf>
    <xf numFmtId="43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 wrapText="1"/>
    </xf>
    <xf numFmtId="14" fontId="4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9" fillId="0" borderId="1" applyAlignment="1" pivotButton="0" quotePrefix="0" xfId="0">
      <alignment vertical="top"/>
    </xf>
    <xf numFmtId="16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2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justify" vertical="center" wrapText="1"/>
    </xf>
    <xf numFmtId="49" fontId="4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vertical="center" wrapText="1"/>
    </xf>
    <xf numFmtId="0" fontId="4" fillId="0" borderId="3" applyAlignment="1" pivotButton="0" quotePrefix="0" xfId="0">
      <alignment horizontal="justify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horizontal="center" vertical="center" wrapText="1"/>
    </xf>
    <xf numFmtId="0" fontId="9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167" fontId="4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6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4" pivotButton="0" quotePrefix="0" xfId="0"/>
    <xf numFmtId="0" fontId="1" fillId="0" borderId="5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165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vertical="top"/>
    </xf>
    <xf numFmtId="4" fontId="2" fillId="0" borderId="0" pivotButton="0" quotePrefix="0" xfId="0"/>
    <xf numFmtId="0" fontId="4" fillId="0" borderId="5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49" fontId="4" fillId="0" borderId="1" applyAlignment="1" pivotButton="0" quotePrefix="0" xfId="0">
      <alignment horizontal="left" vertical="center" wrapText="1"/>
    </xf>
    <xf numFmtId="2" fontId="4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right" vertical="center"/>
    </xf>
    <xf numFmtId="2" fontId="4" fillId="0" borderId="1" applyAlignment="1" pivotButton="0" quotePrefix="0" xfId="0">
      <alignment horizontal="right" vertical="center" wrapText="1"/>
    </xf>
    <xf numFmtId="2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2" fontId="4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vertical="center"/>
    </xf>
    <xf numFmtId="0" fontId="6" fillId="0" borderId="4" applyAlignment="1" pivotButton="0" quotePrefix="0" xfId="0">
      <alignment vertical="center" wrapText="1"/>
    </xf>
    <xf numFmtId="43" fontId="6" fillId="0" borderId="4" applyAlignment="1" pivotButton="0" quotePrefix="0" xfId="0">
      <alignment vertical="center" wrapText="1"/>
    </xf>
    <xf numFmtId="1" fontId="1" fillId="0" borderId="5" applyAlignment="1" pivotButton="0" quotePrefix="0" xfId="0">
      <alignment horizontal="center" vertical="top" wrapText="1"/>
    </xf>
    <xf numFmtId="0" fontId="4" fillId="0" borderId="5" applyAlignment="1" pivotButton="0" quotePrefix="0" xfId="0">
      <alignment vertical="top"/>
    </xf>
    <xf numFmtId="49" fontId="1" fillId="0" borderId="5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left" vertical="top" wrapText="1"/>
    </xf>
    <xf numFmtId="0" fontId="1" fillId="0" borderId="5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right" vertical="top" wrapText="1"/>
    </xf>
    <xf numFmtId="4" fontId="1" fillId="0" borderId="5" applyAlignment="1" pivotButton="0" quotePrefix="0" xfId="0">
      <alignment horizontal="right" vertical="top" wrapText="1"/>
    </xf>
    <xf numFmtId="1" fontId="1" fillId="0" borderId="4" applyAlignment="1" pivotButton="0" quotePrefix="0" xfId="0">
      <alignment horizontal="center" vertical="top" wrapText="1"/>
    </xf>
    <xf numFmtId="0" fontId="4" fillId="0" borderId="4" applyAlignment="1" pivotButton="0" quotePrefix="0" xfId="0">
      <alignment vertical="top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right" vertical="top" wrapText="1"/>
    </xf>
    <xf numFmtId="4" fontId="1" fillId="0" borderId="4" applyAlignment="1" pivotButton="0" quotePrefix="0" xfId="0">
      <alignment horizontal="right" vertical="top" wrapText="1"/>
    </xf>
    <xf numFmtId="2" fontId="1" fillId="0" borderId="5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4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4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8" fontId="4" fillId="0" borderId="1" applyAlignment="1" pivotButton="0" quotePrefix="0" xfId="0">
      <alignment horizontal="center" vertical="center"/>
    </xf>
    <xf numFmtId="169" fontId="4" fillId="0" borderId="1" applyAlignment="1" pivotButton="0" quotePrefix="0" xfId="0">
      <alignment horizontal="center" vertical="center"/>
    </xf>
    <xf numFmtId="49" fontId="4" fillId="0" borderId="4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right" vertical="center" wrapText="1"/>
    </xf>
    <xf numFmtId="0" fontId="9" fillId="0" borderId="6" applyAlignment="1" pivotButton="0" quotePrefix="0" xfId="0">
      <alignment horizontal="right" vertical="center" wrapText="1"/>
    </xf>
    <xf numFmtId="0" fontId="9" fillId="0" borderId="7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4" fillId="0" borderId="1" applyAlignment="1" pivotButton="0" quotePrefix="0" xfId="0">
      <alignment vertical="top"/>
    </xf>
    <xf numFmtId="0" fontId="4" fillId="0" borderId="1" applyAlignment="1" pivotButton="0" quotePrefix="0" xfId="0">
      <alignment vertical="top" wrapText="1"/>
    </xf>
    <xf numFmtId="0" fontId="9" fillId="0" borderId="4" applyAlignment="1" pivotButton="0" quotePrefix="0" xfId="0">
      <alignment vertical="top"/>
    </xf>
    <xf numFmtId="0" fontId="4" fillId="0" borderId="4" applyAlignment="1" pivotButton="0" quotePrefix="0" xfId="0">
      <alignment vertical="top"/>
    </xf>
    <xf numFmtId="0" fontId="4" fillId="0" borderId="4" applyAlignment="1" pivotButton="0" quotePrefix="0" xfId="0">
      <alignment vertical="top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4" fillId="0" borderId="4" applyAlignment="1" pivotButton="0" quotePrefix="0" xfId="0">
      <alignment vertical="center" wrapText="1"/>
    </xf>
    <xf numFmtId="165" fontId="4" fillId="0" borderId="4" applyAlignment="1" pivotButton="0" quotePrefix="0" xfId="0">
      <alignment horizontal="center" vertical="center"/>
    </xf>
    <xf numFmtId="0" fontId="4" fillId="0" borderId="4" applyAlignment="1" pivotButton="0" quotePrefix="0" xfId="0">
      <alignment wrapText="1"/>
    </xf>
    <xf numFmtId="49" fontId="4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4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left" vertical="center" wrapText="1"/>
    </xf>
    <xf numFmtId="165" fontId="1" fillId="0" borderId="9" applyAlignment="1" pivotButton="0" quotePrefix="0" xfId="0">
      <alignment horizontal="center" vertical="center" wrapText="1"/>
    </xf>
    <xf numFmtId="2" fontId="1" fillId="0" borderId="9" applyAlignment="1" pivotButton="0" quotePrefix="0" xfId="0">
      <alignment horizontal="right" vertical="center" wrapText="1"/>
    </xf>
    <xf numFmtId="4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5" pivotButton="0" quotePrefix="0" xfId="0"/>
    <xf numFmtId="0" fontId="4" fillId="0" borderId="3" applyAlignment="1" pivotButton="0" quotePrefix="0" xfId="0">
      <alignment horizontal="center" vertical="center"/>
    </xf>
    <xf numFmtId="0" fontId="0" fillId="0" borderId="2" pivotButton="0" quotePrefix="0" xfId="0"/>
    <xf numFmtId="43" fontId="6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7" fontId="4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10" pivotButton="0" quotePrefix="0" xfId="0"/>
    <xf numFmtId="0" fontId="0" fillId="0" borderId="11" pivotButton="0" quotePrefix="0" xfId="0"/>
    <xf numFmtId="43" fontId="6" fillId="0" borderId="4" applyAlignment="1" pivotButton="0" quotePrefix="0" xfId="0">
      <alignment vertical="center" wrapText="1"/>
    </xf>
    <xf numFmtId="43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5" fontId="1" fillId="0" borderId="9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4" fillId="0" borderId="1" applyAlignment="1" pivotButton="0" quotePrefix="0" xfId="0">
      <alignment horizontal="center" vertical="center"/>
    </xf>
    <xf numFmtId="169" fontId="4" fillId="0" borderId="1" applyAlignment="1" pivotButton="0" quotePrefix="0" xfId="0">
      <alignment horizontal="center" vertical="center"/>
    </xf>
    <xf numFmtId="165" fontId="4" fillId="0" borderId="4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55" zoomScaleNormal="55" workbookViewId="0">
      <selection activeCell="D28" sqref="D28"/>
    </sheetView>
  </sheetViews>
  <sheetFormatPr baseColWidth="8" defaultColWidth="9.140625" defaultRowHeight="15.75"/>
  <cols>
    <col width="9.140625" customWidth="1" style="121" min="1" max="2"/>
    <col width="36.85546875" customWidth="1" style="121" min="3" max="3"/>
    <col width="36.5703125" customWidth="1" style="121" min="4" max="5"/>
    <col width="9.140625" customWidth="1" style="121" min="6" max="6"/>
  </cols>
  <sheetData>
    <row r="3">
      <c r="B3" s="140" t="inlineStr">
        <is>
          <t>Приложение № 1</t>
        </is>
      </c>
    </row>
    <row r="4">
      <c r="B4" s="143" t="inlineStr">
        <is>
          <t>Сравнительная таблица отбора объекта-представителя</t>
        </is>
      </c>
    </row>
    <row r="5" ht="18.75" customHeight="1" s="119">
      <c r="B5" s="142" t="n"/>
    </row>
    <row r="6" ht="18.75" customHeight="1" s="119">
      <c r="B6" s="41" t="n"/>
      <c r="C6" s="41" t="n"/>
      <c r="D6" s="41" t="n"/>
    </row>
    <row r="7" ht="16.5" customHeight="1" s="119">
      <c r="B7" s="144" t="inlineStr">
        <is>
          <t>Наименование разрабатываемого показателя УНЦ - Установка ПТК СМиУКЭ</t>
        </is>
      </c>
    </row>
    <row r="8" ht="17.45" customHeight="1" s="119">
      <c r="B8" s="141" t="inlineStr">
        <is>
          <t>Сопоставимый уровень цен: 3 кв 2020</t>
        </is>
      </c>
    </row>
    <row r="9" ht="15.75" customHeight="1" s="119">
      <c r="B9" s="141" t="inlineStr">
        <is>
          <t>Единица измерения  — 1 ед.</t>
        </is>
      </c>
    </row>
    <row r="10">
      <c r="B10" s="141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145" t="inlineStr">
        <is>
          <t>Объект-представитель 3</t>
        </is>
      </c>
    </row>
    <row r="12" ht="189" customHeight="1" s="119">
      <c r="B12" s="145" t="n">
        <v>1</v>
      </c>
      <c r="C12" s="42" t="inlineStr">
        <is>
          <t>Наименование объекта-представителя</t>
        </is>
      </c>
      <c r="D12" s="151" t="inlineStr">
        <is>
          <t>«Строительство ПС 110 кВ Кузёмкино с заходами 110 кВ, для технологического присоединения энергопринимающих устройств ПАО «Газпром» (установка силовых трансформаторов мощностью 2х16МВА, ориентировочная протяженность заходов ВЛ 110 кВ 1,2 км)» на земельном участке по адресу: Ленинградская область, МО «Кингисеппский район»</t>
        </is>
      </c>
      <c r="E12" s="151" t="inlineStr">
        <is>
          <t>Комплексная реконструкция подстанции 220 кВ «Междуреченская». Корректировка</t>
        </is>
      </c>
    </row>
    <row r="13" ht="31.5" customHeight="1" s="119">
      <c r="B13" s="145" t="n">
        <v>2</v>
      </c>
      <c r="C13" s="42" t="inlineStr">
        <is>
          <t>Наименование субъекта Российской Федерации</t>
        </is>
      </c>
      <c r="D13" s="151" t="inlineStr">
        <is>
          <t>Ленинградская область</t>
        </is>
      </c>
      <c r="E13" s="151" t="inlineStr">
        <is>
          <t>Кемеровская область</t>
        </is>
      </c>
    </row>
    <row r="14">
      <c r="B14" s="145" t="n">
        <v>3</v>
      </c>
      <c r="C14" s="42" t="inlineStr">
        <is>
          <t>Климатический район и подрайон</t>
        </is>
      </c>
      <c r="D14" s="86" t="inlineStr">
        <is>
          <t>IIВ</t>
        </is>
      </c>
      <c r="E14" s="86" t="inlineStr">
        <is>
          <t>IД</t>
        </is>
      </c>
    </row>
    <row r="15">
      <c r="B15" s="145" t="n">
        <v>4</v>
      </c>
      <c r="C15" s="42" t="inlineStr">
        <is>
          <t>Мощность объекта</t>
        </is>
      </c>
      <c r="D15" s="145" t="n">
        <v>1</v>
      </c>
      <c r="E15" s="145" t="n">
        <v>2</v>
      </c>
    </row>
    <row r="16" ht="94.5" customHeight="1" s="119">
      <c r="B16" s="145" t="n">
        <v>5</v>
      </c>
      <c r="C16" s="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Шкаф СМиУКЭ - 1 шт</t>
        </is>
      </c>
      <c r="E16" s="145" t="inlineStr">
        <is>
          <t>Шкаф СМиУКЭ - 2 шт</t>
        </is>
      </c>
    </row>
    <row r="17" ht="79.5" customHeight="1" s="119">
      <c r="B17" s="145" t="n">
        <v>6</v>
      </c>
      <c r="C17" s="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7">
        <f>SUM(D18:D21)</f>
        <v/>
      </c>
      <c r="E17" s="87">
        <f>SUM(E18:E21)</f>
        <v/>
      </c>
    </row>
    <row r="18">
      <c r="B18" s="44" t="inlineStr">
        <is>
          <t>6.1</t>
        </is>
      </c>
      <c r="C18" s="42" t="inlineStr">
        <is>
          <t>строительно-монтажные работы</t>
        </is>
      </c>
      <c r="D18" s="87" t="n">
        <v>79.3948908</v>
      </c>
      <c r="E18" s="87" t="n">
        <v>529.9343</v>
      </c>
    </row>
    <row r="19" ht="15.75" customHeight="1" s="119">
      <c r="B19" s="44" t="inlineStr">
        <is>
          <t>6.2</t>
        </is>
      </c>
      <c r="C19" s="42" t="inlineStr">
        <is>
          <t>оборудование и инвентарь</t>
        </is>
      </c>
      <c r="D19" s="87" t="n">
        <v>2020.8673061</v>
      </c>
      <c r="E19" s="87" t="n">
        <v>8792.35824</v>
      </c>
    </row>
    <row r="20" ht="16.5" customHeight="1" s="119">
      <c r="B20" s="44" t="inlineStr">
        <is>
          <t>6.3</t>
        </is>
      </c>
      <c r="C20" s="42" t="inlineStr">
        <is>
          <t>пусконаладочные работы</t>
        </is>
      </c>
      <c r="D20" s="87">
        <f>D19/(204318.43)*(11441.83)</f>
        <v/>
      </c>
      <c r="E20" s="87">
        <f>E19/(65236.2+83927.68)*(13432.43+17281.04)</f>
        <v/>
      </c>
    </row>
    <row r="21" ht="35.45" customHeight="1" s="119">
      <c r="B21" s="44" t="inlineStr">
        <is>
          <t>6.4</t>
        </is>
      </c>
      <c r="C21" s="45" t="inlineStr">
        <is>
          <t>прочие и лимитированные затраты</t>
        </is>
      </c>
      <c r="D21" s="87">
        <f>D18*3.9%+(D18+D18*3.9%)*2.1%*1</f>
        <v/>
      </c>
      <c r="E21" s="87">
        <f>E18*3.9%+(E18+E18*3.9%)*3.2%*1.2</f>
        <v/>
      </c>
    </row>
    <row r="22">
      <c r="B22" s="145" t="n">
        <v>7</v>
      </c>
      <c r="C22" s="45" t="inlineStr">
        <is>
          <t>Сопоставимый уровень цен</t>
        </is>
      </c>
      <c r="D22" s="145" t="inlineStr">
        <is>
          <t>3 кв 2020</t>
        </is>
      </c>
      <c r="E22" s="145" t="inlineStr">
        <is>
          <t>3 кв 2020</t>
        </is>
      </c>
    </row>
    <row r="23" ht="123" customHeight="1" s="119">
      <c r="B23" s="145" t="n">
        <v>8</v>
      </c>
      <c r="C23" s="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7">
        <f>(D18+D21)/7.58*8.61+D19/4.61*5.19+D20/16.64*21.57</f>
        <v/>
      </c>
      <c r="E23" s="87">
        <f>(E18+E21)/9.17*8.61+E19/5.19*5.19+E20/24.35*21.57</f>
        <v/>
      </c>
    </row>
    <row r="24" ht="60.75" customHeight="1" s="119">
      <c r="B24" s="145" t="n">
        <v>9</v>
      </c>
      <c r="C24" s="43" t="inlineStr">
        <is>
          <t>Приведенная сметная стоимость на единицу мощности, тыс. руб. (строка 8/строку 4)</t>
        </is>
      </c>
      <c r="D24" s="87">
        <f>D23/D15</f>
        <v/>
      </c>
      <c r="E24" s="87">
        <f>E23/E15</f>
        <v/>
      </c>
    </row>
    <row r="25" ht="110.25" customHeight="1" s="119">
      <c r="B25" s="145" t="n">
        <v>10</v>
      </c>
      <c r="C25" s="42" t="inlineStr">
        <is>
          <t>Примечание</t>
        </is>
      </c>
      <c r="D25" s="42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компл.</t>
        </is>
      </c>
      <c r="E25" s="145" t="n"/>
    </row>
    <row r="26">
      <c r="B26" s="47" t="n"/>
      <c r="C26" s="48" t="n"/>
      <c r="D26" s="48" t="n"/>
    </row>
    <row r="27" ht="37.5" customHeight="1" s="119">
      <c r="B27" s="15" t="n"/>
    </row>
    <row r="28">
      <c r="B28" s="121" t="inlineStr">
        <is>
          <t>Составил ______________________    Д.Ю. Нефедова</t>
        </is>
      </c>
    </row>
    <row r="29">
      <c r="B29" s="15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15" t="inlineStr">
        <is>
          <t xml:space="preserve">                        (подпись, инициалы, фамилия)</t>
        </is>
      </c>
    </row>
  </sheetData>
  <mergeCells count="6">
    <mergeCell ref="B5:D5"/>
    <mergeCell ref="B4:E4"/>
    <mergeCell ref="B8:D8"/>
    <mergeCell ref="B9:D9"/>
    <mergeCell ref="B7:E7"/>
    <mergeCell ref="B3:E3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33"/>
  <sheetViews>
    <sheetView view="pageBreakPreview" topLeftCell="A19" zoomScale="70" zoomScaleNormal="70" workbookViewId="0">
      <selection activeCell="F29" sqref="F29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9.140625" customWidth="1" style="121" min="11" max="11"/>
  </cols>
  <sheetData>
    <row r="3">
      <c r="B3" s="140" t="inlineStr">
        <is>
          <t>Приложение № 2</t>
        </is>
      </c>
    </row>
    <row r="4">
      <c r="B4" s="143" t="inlineStr">
        <is>
          <t>Расчет стоимости основных видов работ для выбора объекта-представителя</t>
        </is>
      </c>
    </row>
    <row r="5"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</row>
    <row r="6" ht="29.25" customHeight="1" s="119">
      <c r="B6" s="141">
        <f>'Прил.1 Сравнит табл'!B7:D7</f>
        <v/>
      </c>
    </row>
    <row r="7">
      <c r="B7" s="141">
        <f>'Прил.1 Сравнит табл'!B9:D9</f>
        <v/>
      </c>
    </row>
    <row r="8" ht="18.75" customHeight="1" s="119">
      <c r="B8" s="7" t="n"/>
    </row>
    <row r="9" ht="15.75" customHeight="1" s="119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207" t="n"/>
      <c r="F9" s="207" t="n"/>
      <c r="G9" s="207" t="n"/>
      <c r="H9" s="207" t="n"/>
      <c r="I9" s="207" t="n"/>
      <c r="J9" s="208" t="n"/>
    </row>
    <row r="10" ht="15.75" customHeight="1" s="119">
      <c r="B10" s="209" t="n"/>
      <c r="C10" s="209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1 кв. 2019 г., тыс. руб.</t>
        </is>
      </c>
      <c r="G10" s="207" t="n"/>
      <c r="H10" s="207" t="n"/>
      <c r="I10" s="207" t="n"/>
      <c r="J10" s="208" t="n"/>
    </row>
    <row r="11" ht="31.5" customHeight="1" s="119">
      <c r="B11" s="210" t="n"/>
      <c r="C11" s="210" t="n"/>
      <c r="D11" s="210" t="n"/>
      <c r="E11" s="210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63" customHeight="1" s="119">
      <c r="B12" s="88" t="n">
        <v>1</v>
      </c>
      <c r="C12" s="150" t="inlineStr">
        <is>
          <t>Шкаф СМиУКЭ - 1 шт</t>
        </is>
      </c>
      <c r="D12" s="89" t="inlineStr">
        <is>
          <t>05-03-01</t>
        </is>
      </c>
      <c r="E12" s="128" t="inlineStr">
        <is>
          <t>Система мониторинга и управления качеством электроэнергии</t>
        </is>
      </c>
      <c r="F12" s="90" t="n"/>
      <c r="G12" s="90">
        <f>10474.26/1000*7.58</f>
        <v/>
      </c>
      <c r="H12" s="90">
        <f>438366.01/1000*4.61</f>
        <v/>
      </c>
      <c r="I12" s="91" t="n"/>
      <c r="J12" s="92">
        <f>SUM(F12:I12)</f>
        <v/>
      </c>
    </row>
    <row r="13" ht="15.75" customHeight="1" s="119">
      <c r="B13" s="149" t="inlineStr">
        <is>
          <t>Всего по объекту:</t>
        </is>
      </c>
      <c r="C13" s="207" t="n"/>
      <c r="D13" s="207" t="n"/>
      <c r="E13" s="208" t="n"/>
      <c r="F13" s="93">
        <f>SUM(F12:F12)</f>
        <v/>
      </c>
      <c r="G13" s="93">
        <f>SUM(G12:G12)</f>
        <v/>
      </c>
      <c r="H13" s="93">
        <f>SUM(H12:H12)</f>
        <v/>
      </c>
      <c r="I13" s="94" t="n"/>
      <c r="J13" s="95">
        <f>SUM(F13:I13)</f>
        <v/>
      </c>
    </row>
    <row r="14" ht="28.5" customHeight="1" s="119">
      <c r="B14" s="149" t="inlineStr">
        <is>
          <t>Всего по объекту в сопоставимом уровне цен 1 кв. 2019 г:</t>
        </is>
      </c>
      <c r="C14" s="207" t="n"/>
      <c r="D14" s="207" t="n"/>
      <c r="E14" s="208" t="n"/>
      <c r="F14" s="93">
        <f>F13</f>
        <v/>
      </c>
      <c r="G14" s="93">
        <f>G13</f>
        <v/>
      </c>
      <c r="H14" s="93">
        <f>H13</f>
        <v/>
      </c>
      <c r="I14" s="94" t="n"/>
      <c r="J14" s="95">
        <f>SUM(F14:I14)</f>
        <v/>
      </c>
    </row>
    <row r="15">
      <c r="B15" s="141" t="n"/>
    </row>
    <row r="16">
      <c r="B16" s="145" t="inlineStr">
        <is>
          <t>№ п/п</t>
        </is>
      </c>
      <c r="C16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145" t="inlineStr">
        <is>
          <t>Объект-представитель 2</t>
        </is>
      </c>
      <c r="E16" s="207" t="n"/>
      <c r="F16" s="207" t="n"/>
      <c r="G16" s="207" t="n"/>
      <c r="H16" s="207" t="n"/>
      <c r="I16" s="207" t="n"/>
      <c r="J16" s="208" t="n"/>
    </row>
    <row r="17" ht="15.75" customHeight="1" s="119">
      <c r="B17" s="209" t="n"/>
      <c r="C17" s="209" t="n"/>
      <c r="D17" s="145" t="inlineStr">
        <is>
          <t>Номер сметы</t>
        </is>
      </c>
      <c r="E17" s="145" t="inlineStr">
        <is>
          <t>Наименование сметы</t>
        </is>
      </c>
      <c r="F17" s="145" t="inlineStr">
        <is>
          <t>Сметная стоимость в уровне цен 3 кв. 2020 г., тыс. руб.</t>
        </is>
      </c>
      <c r="G17" s="207" t="n"/>
      <c r="H17" s="207" t="n"/>
      <c r="I17" s="207" t="n"/>
      <c r="J17" s="208" t="n"/>
    </row>
    <row r="18" ht="31.5" customHeight="1" s="119">
      <c r="B18" s="210" t="n"/>
      <c r="C18" s="210" t="n"/>
      <c r="D18" s="210" t="n"/>
      <c r="E18" s="210" t="n"/>
      <c r="F18" s="145" t="inlineStr">
        <is>
          <t>Строительные работы</t>
        </is>
      </c>
      <c r="G18" s="145" t="inlineStr">
        <is>
          <t>Монтажные работы</t>
        </is>
      </c>
      <c r="H18" s="145" t="inlineStr">
        <is>
          <t>Оборудование</t>
        </is>
      </c>
      <c r="I18" s="145" t="inlineStr">
        <is>
          <t>Прочее</t>
        </is>
      </c>
      <c r="J18" s="145" t="inlineStr">
        <is>
          <t>Всего</t>
        </is>
      </c>
    </row>
    <row r="19" ht="126" customHeight="1" s="119">
      <c r="B19" s="211" t="n">
        <v>1</v>
      </c>
      <c r="C19" s="145" t="inlineStr">
        <is>
          <t>Шкаф СМиУКЭ - 2 шт</t>
        </is>
      </c>
      <c r="D19" s="98" t="inlineStr">
        <is>
          <t>1.02-16-01</t>
        </is>
      </c>
      <c r="E19" s="42" t="inlineStr">
        <is>
          <t>Этап 1. Очередь 1. Система мониторинга и управления качеством электроэнергии. Здание объединенное ОПУ с ЗРУ 6 кВ, ЗРУ 35 кВ</t>
        </is>
      </c>
      <c r="F19" s="90" t="n"/>
      <c r="G19" s="90">
        <f>31263/1000*9.17</f>
        <v/>
      </c>
      <c r="H19" s="90">
        <f>1694096/1000*5.19</f>
        <v/>
      </c>
      <c r="I19" s="91" t="n"/>
      <c r="J19" s="92">
        <f>SUM(F19:I19)</f>
        <v/>
      </c>
    </row>
    <row r="20" ht="126" customHeight="1" s="119">
      <c r="B20" s="212" t="n"/>
      <c r="C20" s="210" t="n"/>
      <c r="D20" s="98" t="inlineStr">
        <is>
          <t>1.02-16-02</t>
        </is>
      </c>
      <c r="E20" s="42" t="inlineStr">
        <is>
          <t>Этап 1. Очередь 3. Система мониторинга и управления качеством электроэнергии. Здание объединенное ОПУ с ЗРУ 6 кВ, ЗРУ 35 кВ</t>
        </is>
      </c>
      <c r="F20" s="90" t="n"/>
      <c r="G20" s="90">
        <f>26527/1000*9.17</f>
        <v/>
      </c>
      <c r="H20" s="90" t="n"/>
      <c r="I20" s="91" t="n"/>
      <c r="J20" s="92">
        <f>SUM(F20:I20)</f>
        <v/>
      </c>
    </row>
    <row r="21" ht="15.75" customHeight="1" s="119">
      <c r="B21" s="149" t="inlineStr">
        <is>
          <t>Всего по объекту:</t>
        </is>
      </c>
      <c r="C21" s="207" t="n"/>
      <c r="D21" s="207" t="n"/>
      <c r="E21" s="208" t="n"/>
      <c r="F21" s="93">
        <f>SUM(F19:F19)</f>
        <v/>
      </c>
      <c r="G21" s="93">
        <f>SUM(G19:G20)</f>
        <v/>
      </c>
      <c r="H21" s="93">
        <f>SUM(H19:H20)</f>
        <v/>
      </c>
      <c r="I21" s="94" t="n"/>
      <c r="J21" s="95">
        <f>SUM(F21:I21)</f>
        <v/>
      </c>
    </row>
    <row r="22" ht="28.5" customHeight="1" s="119">
      <c r="B22" s="149" t="inlineStr">
        <is>
          <t>Всего по объекту в сопоставимом уровне цен 3 кв. 2020 г:</t>
        </is>
      </c>
      <c r="C22" s="207" t="n"/>
      <c r="D22" s="207" t="n"/>
      <c r="E22" s="208" t="n"/>
      <c r="F22" s="93">
        <f>F21</f>
        <v/>
      </c>
      <c r="G22" s="93">
        <f>G21</f>
        <v/>
      </c>
      <c r="H22" s="93">
        <f>H21</f>
        <v/>
      </c>
      <c r="I22" s="94" t="n"/>
      <c r="J22" s="95">
        <f>SUM(F22:I22)</f>
        <v/>
      </c>
    </row>
    <row r="25">
      <c r="B25" s="180" t="inlineStr">
        <is>
          <t>*</t>
        </is>
      </c>
      <c r="C25" s="121" t="inlineStr">
        <is>
          <t xml:space="preserve"> - стоимость с учетом исключения затрат на корректровку по транспортировке  свыше 30 км.</t>
        </is>
      </c>
    </row>
    <row r="26" ht="15" customHeight="1" s="119"/>
    <row r="27" ht="15" customHeight="1" s="119"/>
    <row r="28" ht="15" customHeight="1" s="119"/>
    <row r="29" ht="15" customHeight="1" s="119">
      <c r="C29" s="2" t="inlineStr">
        <is>
          <t>Составил ______________________     Д.Ю. Нефедова</t>
        </is>
      </c>
      <c r="D29" s="4" t="n"/>
      <c r="E29" s="4" t="n"/>
    </row>
    <row r="30" ht="15" customHeight="1" s="119">
      <c r="C30" s="14" t="inlineStr">
        <is>
          <t xml:space="preserve">                         (подпись, инициалы, фамилия)</t>
        </is>
      </c>
      <c r="D30" s="4" t="n"/>
      <c r="E30" s="4" t="n"/>
    </row>
    <row r="31" ht="15" customHeight="1" s="119">
      <c r="C31" s="2" t="n"/>
      <c r="D31" s="4" t="n"/>
      <c r="E31" s="4" t="n"/>
    </row>
    <row r="32" ht="15" customHeight="1" s="119">
      <c r="C32" s="2" t="inlineStr">
        <is>
          <t>Проверил ______________________        А.В. Костянецкая</t>
        </is>
      </c>
      <c r="D32" s="4" t="n"/>
      <c r="E32" s="4" t="n"/>
    </row>
    <row r="33" ht="15" customHeight="1" s="119">
      <c r="C33" s="14" t="inlineStr">
        <is>
          <t xml:space="preserve">                        (подпись, инициалы, фамилия)</t>
        </is>
      </c>
      <c r="D33" s="4" t="n"/>
      <c r="E33" s="4" t="n"/>
    </row>
    <row r="34" ht="15" customHeight="1" s="119"/>
    <row r="35" ht="15" customHeight="1" s="119"/>
    <row r="36" ht="15" customHeight="1" s="119"/>
    <row r="37" ht="15" customHeight="1" s="119"/>
    <row r="38" ht="15" customHeight="1" s="119"/>
    <row r="39" ht="15" customHeight="1" s="119"/>
  </sheetData>
  <mergeCells count="22">
    <mergeCell ref="E17:E18"/>
    <mergeCell ref="D9:J9"/>
    <mergeCell ref="F10:J10"/>
    <mergeCell ref="D17:D18"/>
    <mergeCell ref="E10:E11"/>
    <mergeCell ref="B16:B18"/>
    <mergeCell ref="B6:J6"/>
    <mergeCell ref="B19:B20"/>
    <mergeCell ref="B22:E22"/>
    <mergeCell ref="F17:J17"/>
    <mergeCell ref="B21:E21"/>
    <mergeCell ref="B4:J4"/>
    <mergeCell ref="B14:E14"/>
    <mergeCell ref="C19:C20"/>
    <mergeCell ref="B7:J7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100"/>
  <sheetViews>
    <sheetView view="pageBreakPreview" topLeftCell="A81" zoomScale="70" workbookViewId="0">
      <selection activeCell="D90" sqref="D90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9.140625" customWidth="1" style="121" min="9" max="9"/>
    <col width="13.140625" customWidth="1" style="121" min="10" max="10"/>
    <col width="15" customWidth="1" style="121" min="11" max="11"/>
    <col width="9.140625" customWidth="1" style="121" min="12" max="12"/>
    <col width="11.28515625" customWidth="1" style="121" min="13" max="13"/>
    <col width="9.140625" customWidth="1" style="121" min="14" max="14"/>
  </cols>
  <sheetData>
    <row r="2">
      <c r="A2" s="140" t="inlineStr">
        <is>
          <t xml:space="preserve">Приложение № 3 </t>
        </is>
      </c>
    </row>
    <row r="3">
      <c r="A3" s="143" t="inlineStr">
        <is>
          <t>Объектная ресурсная ведомость</t>
        </is>
      </c>
    </row>
    <row r="4" ht="18.75" customHeight="1" s="119">
      <c r="A4" s="49" t="n"/>
      <c r="B4" s="49" t="n"/>
      <c r="C4" s="1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1" t="n"/>
    </row>
    <row r="6" ht="33.75" customHeight="1" s="119">
      <c r="A6" s="154" t="inlineStr">
        <is>
          <t>Наименование разрабатываемого показателя УНЦ - Установка ПТК СМиУКЭ</t>
        </is>
      </c>
    </row>
    <row r="7" ht="33.75" customHeight="1" s="119">
      <c r="A7" s="154" t="n"/>
      <c r="B7" s="154" t="n"/>
      <c r="C7" s="154" t="n"/>
      <c r="D7" s="154" t="n"/>
      <c r="E7" s="154" t="n"/>
      <c r="F7" s="154" t="n"/>
      <c r="G7" s="154" t="n"/>
      <c r="H7" s="154" t="n"/>
      <c r="I7" s="121" t="n"/>
      <c r="J7" s="121" t="n"/>
      <c r="K7" s="121" t="n"/>
      <c r="L7" s="121" t="n"/>
      <c r="M7" s="121" t="n"/>
      <c r="N7" s="121" t="n"/>
    </row>
    <row r="8">
      <c r="A8" s="144" t="n"/>
      <c r="B8" s="144" t="n"/>
      <c r="C8" s="144" t="n"/>
      <c r="D8" s="144" t="n"/>
      <c r="E8" s="144" t="n"/>
      <c r="F8" s="144" t="n"/>
      <c r="G8" s="144" t="n"/>
      <c r="H8" s="144" t="n"/>
    </row>
    <row r="9" ht="38.25" customHeight="1" s="119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208" t="n"/>
    </row>
    <row r="10" ht="40.7" customHeight="1" s="119">
      <c r="A10" s="210" t="n"/>
      <c r="B10" s="210" t="n"/>
      <c r="C10" s="210" t="n"/>
      <c r="D10" s="210" t="n"/>
      <c r="E10" s="210" t="n"/>
      <c r="F10" s="210" t="n"/>
      <c r="G10" s="145" t="inlineStr">
        <is>
          <t>на ед.изм.</t>
        </is>
      </c>
      <c r="H10" s="145" t="inlineStr">
        <is>
          <t>общая</t>
        </is>
      </c>
    </row>
    <row r="11">
      <c r="A11" s="150" t="n">
        <v>1</v>
      </c>
      <c r="B11" s="150" t="n"/>
      <c r="C11" s="150" t="n">
        <v>2</v>
      </c>
      <c r="D11" s="150" t="inlineStr">
        <is>
          <t>З</t>
        </is>
      </c>
      <c r="E11" s="150" t="n">
        <v>4</v>
      </c>
      <c r="F11" s="150" t="n">
        <v>5</v>
      </c>
      <c r="G11" s="150" t="n">
        <v>6</v>
      </c>
      <c r="H11" s="150" t="n">
        <v>7</v>
      </c>
    </row>
    <row r="12" customFormat="1" s="52">
      <c r="A12" s="157" t="inlineStr">
        <is>
          <t>Затраты труда рабочих</t>
        </is>
      </c>
      <c r="B12" s="207" t="n"/>
      <c r="C12" s="207" t="n"/>
      <c r="D12" s="207" t="n"/>
      <c r="E12" s="208" t="n"/>
      <c r="F12" s="213" t="n">
        <v>168.31</v>
      </c>
      <c r="G12" s="24" t="n"/>
      <c r="H12" s="213">
        <f>SUM(H13:H20)</f>
        <v/>
      </c>
      <c r="J12" s="121" t="n"/>
    </row>
    <row r="13">
      <c r="A13" s="191" t="n">
        <v>1</v>
      </c>
      <c r="B13" s="25" t="n"/>
      <c r="C13" s="30" t="inlineStr">
        <is>
          <t>1-3-8</t>
        </is>
      </c>
      <c r="D13" s="31" t="inlineStr">
        <is>
          <t>Затраты труда рабочих (ср 3,8)</t>
        </is>
      </c>
      <c r="E13" s="191" t="inlineStr">
        <is>
          <t>чел.час</t>
        </is>
      </c>
      <c r="F13" s="214" t="n">
        <v>88.54000000000001</v>
      </c>
      <c r="G13" s="26" t="n">
        <v>9.4</v>
      </c>
      <c r="H13" s="26">
        <f>ROUND(F13*G13,2)</f>
        <v/>
      </c>
      <c r="M13" s="215" t="n"/>
    </row>
    <row r="14">
      <c r="A14" s="191" t="n">
        <v>2</v>
      </c>
      <c r="B14" s="25" t="n"/>
      <c r="C14" s="30" t="inlineStr">
        <is>
          <t>1-4-2</t>
        </is>
      </c>
      <c r="D14" s="31" t="inlineStr">
        <is>
          <t>Затраты труда рабочих (ср 4,2)</t>
        </is>
      </c>
      <c r="E14" s="191" t="inlineStr">
        <is>
          <t>чел.-ч</t>
        </is>
      </c>
      <c r="F14" s="214" t="n">
        <v>27.02</v>
      </c>
      <c r="G14" s="26" t="n">
        <v>9.92</v>
      </c>
      <c r="H14" s="26">
        <f>ROUND(F14*G14,2)</f>
        <v/>
      </c>
      <c r="M14" s="215" t="n"/>
    </row>
    <row r="15">
      <c r="A15" s="191" t="n">
        <v>3</v>
      </c>
      <c r="B15" s="25" t="n"/>
      <c r="C15" s="30" t="inlineStr">
        <is>
          <t>1-4-0</t>
        </is>
      </c>
      <c r="D15" s="31" t="inlineStr">
        <is>
          <t>Затраты труда рабочих (ср 4)</t>
        </is>
      </c>
      <c r="E15" s="191" t="inlineStr">
        <is>
          <t>чел.-ч</t>
        </is>
      </c>
      <c r="F15" s="214" t="n">
        <v>26.6</v>
      </c>
      <c r="G15" s="26" t="n">
        <v>9.619999999999999</v>
      </c>
      <c r="H15" s="26">
        <f>ROUND(F15*G15,2)</f>
        <v/>
      </c>
      <c r="M15" s="215" t="n"/>
    </row>
    <row r="16">
      <c r="A16" s="191" t="n">
        <v>4</v>
      </c>
      <c r="B16" s="25" t="n"/>
      <c r="C16" s="30" t="inlineStr">
        <is>
          <t>1-4-4</t>
        </is>
      </c>
      <c r="D16" s="31" t="inlineStr">
        <is>
          <t>Затраты труда рабочих (ср 4,4)</t>
        </is>
      </c>
      <c r="E16" s="191" t="inlineStr">
        <is>
          <t>чел.-ч</t>
        </is>
      </c>
      <c r="F16" s="214" t="n">
        <v>11.53</v>
      </c>
      <c r="G16" s="26" t="n">
        <v>10.21</v>
      </c>
      <c r="H16" s="26">
        <f>ROUND(F16*G16,2)</f>
        <v/>
      </c>
      <c r="M16" s="215" t="n"/>
    </row>
    <row r="17">
      <c r="A17" s="191" t="n">
        <v>5</v>
      </c>
      <c r="B17" s="25" t="n"/>
      <c r="C17" s="30" t="inlineStr">
        <is>
          <t>1-3-0</t>
        </is>
      </c>
      <c r="D17" s="31" t="inlineStr">
        <is>
          <t>Затраты труда рабочих (ср 3)</t>
        </is>
      </c>
      <c r="E17" s="191" t="inlineStr">
        <is>
          <t>чел.-ч</t>
        </is>
      </c>
      <c r="F17" s="214" t="n">
        <v>8</v>
      </c>
      <c r="G17" s="26" t="n">
        <v>8.529999999999999</v>
      </c>
      <c r="H17" s="26">
        <f>ROUND(F17*G17,2)</f>
        <v/>
      </c>
      <c r="M17" s="215" t="n"/>
    </row>
    <row r="18">
      <c r="A18" s="191" t="n">
        <v>6</v>
      </c>
      <c r="B18" s="25" t="n"/>
      <c r="C18" s="30" t="inlineStr">
        <is>
          <t>1-3-1</t>
        </is>
      </c>
      <c r="D18" s="31" t="inlineStr">
        <is>
          <t>Затраты труда рабочих (ср 3,1)</t>
        </is>
      </c>
      <c r="E18" s="191" t="inlineStr">
        <is>
          <t>чел.-ч</t>
        </is>
      </c>
      <c r="F18" s="214" t="n">
        <v>4.12</v>
      </c>
      <c r="G18" s="26" t="n">
        <v>8.640000000000001</v>
      </c>
      <c r="H18" s="26">
        <f>ROUND(F18*G18,2)</f>
        <v/>
      </c>
      <c r="M18" s="215" t="n"/>
    </row>
    <row r="19">
      <c r="A19" s="191" t="n">
        <v>7</v>
      </c>
      <c r="B19" s="25" t="n"/>
      <c r="C19" s="30" t="inlineStr">
        <is>
          <t>1-2-5</t>
        </is>
      </c>
      <c r="D19" s="31" t="inlineStr">
        <is>
          <t>Затраты труда рабочих (ср 2,5)</t>
        </is>
      </c>
      <c r="E19" s="191" t="inlineStr">
        <is>
          <t>чел.-ч</t>
        </is>
      </c>
      <c r="F19" s="214" t="n">
        <v>2</v>
      </c>
      <c r="G19" s="26" t="n">
        <v>8.17</v>
      </c>
      <c r="H19" s="26">
        <f>ROUND(F19*G19,2)</f>
        <v/>
      </c>
      <c r="M19" s="215" t="n"/>
    </row>
    <row r="20">
      <c r="A20" s="191" t="n">
        <v>8</v>
      </c>
      <c r="B20" s="25" t="n"/>
      <c r="C20" s="30" t="inlineStr">
        <is>
          <t>1-3-5</t>
        </is>
      </c>
      <c r="D20" s="31" t="inlineStr">
        <is>
          <t>Затраты труда рабочих (ср 3,5)</t>
        </is>
      </c>
      <c r="E20" s="191" t="inlineStr">
        <is>
          <t>чел.-ч</t>
        </is>
      </c>
      <c r="F20" s="214" t="n">
        <v>0.5</v>
      </c>
      <c r="G20" s="26" t="n">
        <v>9.07</v>
      </c>
      <c r="H20" s="26">
        <f>ROUND(F20*G20,2)</f>
        <v/>
      </c>
      <c r="M20" s="215" t="n"/>
    </row>
    <row r="21">
      <c r="A21" s="156" t="inlineStr">
        <is>
          <t>Затраты труда машинистов</t>
        </is>
      </c>
      <c r="B21" s="207" t="n"/>
      <c r="C21" s="207" t="n"/>
      <c r="D21" s="207" t="n"/>
      <c r="E21" s="208" t="n"/>
      <c r="F21" s="157" t="n"/>
      <c r="G21" s="27" t="n"/>
      <c r="H21" s="213">
        <f>H22</f>
        <v/>
      </c>
    </row>
    <row r="22">
      <c r="A22" s="191" t="n">
        <v>9</v>
      </c>
      <c r="B22" s="158" t="n"/>
      <c r="C22" s="30" t="n">
        <v>2</v>
      </c>
      <c r="D22" s="31" t="inlineStr">
        <is>
          <t>Затраты труда машинистов</t>
        </is>
      </c>
      <c r="E22" s="191" t="inlineStr">
        <is>
          <t>чел.-ч</t>
        </is>
      </c>
      <c r="F22" s="214" t="n">
        <v>3.17</v>
      </c>
      <c r="G22" s="26" t="n"/>
      <c r="H22" s="216" t="n">
        <v>41.15</v>
      </c>
    </row>
    <row r="23" customFormat="1" s="52">
      <c r="A23" s="157" t="inlineStr">
        <is>
          <t>Машины и механизмы</t>
        </is>
      </c>
      <c r="B23" s="207" t="n"/>
      <c r="C23" s="207" t="n"/>
      <c r="D23" s="207" t="n"/>
      <c r="E23" s="208" t="n"/>
      <c r="F23" s="157" t="n"/>
      <c r="G23" s="27" t="n"/>
      <c r="H23" s="213">
        <f>SUM(H24:H33)</f>
        <v/>
      </c>
      <c r="J23" s="121" t="n"/>
    </row>
    <row r="24" ht="25.5" customHeight="1" s="119">
      <c r="A24" s="191" t="n">
        <v>10</v>
      </c>
      <c r="B24" s="158" t="n"/>
      <c r="C24" s="30" t="inlineStr">
        <is>
          <t>91.05.05-015</t>
        </is>
      </c>
      <c r="D24" s="31" t="inlineStr">
        <is>
          <t>Краны на автомобильном ходу, грузоподъемность 16 т</t>
        </is>
      </c>
      <c r="E24" s="191" t="inlineStr">
        <is>
          <t>маш.час</t>
        </is>
      </c>
      <c r="F24" s="191" t="n">
        <v>1.27</v>
      </c>
      <c r="G24" s="56" t="n">
        <v>115.4</v>
      </c>
      <c r="H24" s="26">
        <f>ROUND(F24*G24,2)</f>
        <v/>
      </c>
      <c r="I24" s="37" t="n"/>
      <c r="J24" s="37" t="n"/>
      <c r="L24" s="37" t="n"/>
    </row>
    <row r="25" ht="25.5" customHeight="1" s="119">
      <c r="A25" s="191" t="n">
        <v>11</v>
      </c>
      <c r="B25" s="158" t="n"/>
      <c r="C25" s="30" t="inlineStr">
        <is>
          <t>91.05.04-010</t>
        </is>
      </c>
      <c r="D25" s="31" t="inlineStr">
        <is>
          <t>Краны мостовые электрические, грузоподъемность 50 т</t>
        </is>
      </c>
      <c r="E25" s="191" t="inlineStr">
        <is>
          <t>маш.час</t>
        </is>
      </c>
      <c r="F25" s="191" t="n">
        <v>0.61</v>
      </c>
      <c r="G25" s="56" t="n">
        <v>197.01</v>
      </c>
      <c r="H25" s="26">
        <f>ROUND(F25*G25,2)</f>
        <v/>
      </c>
      <c r="I25" s="37" t="n"/>
      <c r="J25" s="37" t="n"/>
      <c r="K25" s="37" t="n"/>
      <c r="L25" s="37" t="n"/>
    </row>
    <row r="26">
      <c r="A26" s="191" t="n">
        <v>12</v>
      </c>
      <c r="B26" s="158" t="n"/>
      <c r="C26" s="30" t="inlineStr">
        <is>
          <t>91.14.02-001</t>
        </is>
      </c>
      <c r="D26" s="31" t="inlineStr">
        <is>
          <t>Автомобили бортовые, грузоподъемность до 5 т</t>
        </is>
      </c>
      <c r="E26" s="191" t="inlineStr">
        <is>
          <t>маш.час</t>
        </is>
      </c>
      <c r="F26" s="191" t="n">
        <v>1.29</v>
      </c>
      <c r="G26" s="56" t="n">
        <v>65.70999999999999</v>
      </c>
      <c r="H26" s="26">
        <f>ROUND(F26*G26,2)</f>
        <v/>
      </c>
      <c r="I26" s="37" t="n"/>
      <c r="J26" s="37" t="n"/>
      <c r="K26" s="37" t="n"/>
      <c r="L26" s="37" t="n"/>
    </row>
    <row r="27" ht="25.5" customHeight="1" s="119">
      <c r="A27" s="191" t="n">
        <v>13</v>
      </c>
      <c r="B27" s="158" t="n"/>
      <c r="C27" s="30" t="inlineStr">
        <is>
          <t>91.17.04-233</t>
        </is>
      </c>
      <c r="D27" s="31" t="inlineStr">
        <is>
          <t>Установки для сварки ручной дуговой (постоянного тока)</t>
        </is>
      </c>
      <c r="E27" s="191" t="inlineStr">
        <is>
          <t>маш.час</t>
        </is>
      </c>
      <c r="F27" s="191" t="n">
        <v>9.17</v>
      </c>
      <c r="G27" s="56" t="n">
        <v>8.1</v>
      </c>
      <c r="H27" s="26">
        <f>ROUND(F27*G27,2)</f>
        <v/>
      </c>
      <c r="I27" s="37" t="n"/>
      <c r="J27" s="37" t="n"/>
      <c r="K27" s="37" t="n"/>
      <c r="L27" s="37" t="n"/>
    </row>
    <row r="28" ht="25.5" customHeight="1" s="119">
      <c r="A28" s="191" t="n">
        <v>14</v>
      </c>
      <c r="B28" s="158" t="n"/>
      <c r="C28" s="30" t="inlineStr">
        <is>
          <t>91.06.03-061</t>
        </is>
      </c>
      <c r="D28" s="31" t="inlineStr">
        <is>
          <t>Лебедки электрические тяговым усилием до 12,26 кН (1,25 т)</t>
        </is>
      </c>
      <c r="E28" s="191" t="inlineStr">
        <is>
          <t>маш.час</t>
        </is>
      </c>
      <c r="F28" s="191" t="n">
        <v>3.52</v>
      </c>
      <c r="G28" s="56" t="n">
        <v>3.28</v>
      </c>
      <c r="H28" s="26">
        <f>ROUND(F28*G28,2)</f>
        <v/>
      </c>
      <c r="I28" s="37" t="n"/>
      <c r="J28" s="37" t="n"/>
      <c r="K28" s="37" t="n"/>
      <c r="L28" s="37" t="n"/>
    </row>
    <row r="29" ht="25.5" customHeight="1" s="119">
      <c r="A29" s="191" t="n">
        <v>15</v>
      </c>
      <c r="B29" s="158" t="n"/>
      <c r="C29" s="30" t="inlineStr">
        <is>
          <t>91.17.04-161</t>
        </is>
      </c>
      <c r="D29" s="31" t="inlineStr">
        <is>
          <t>Полуавтоматы сварочные номинальным сварочным током 40-500 А</t>
        </is>
      </c>
      <c r="E29" s="191" t="inlineStr">
        <is>
          <t>маш.час</t>
        </is>
      </c>
      <c r="F29" s="191" t="n">
        <v>0.2</v>
      </c>
      <c r="G29" s="56" t="n">
        <v>16.44</v>
      </c>
      <c r="H29" s="26">
        <f>ROUND(F29*G29,2)</f>
        <v/>
      </c>
      <c r="I29" s="37" t="n"/>
      <c r="J29" s="37" t="n"/>
      <c r="K29" s="37" t="n"/>
      <c r="L29" s="37" t="n"/>
    </row>
    <row r="30" ht="25.5" customHeight="1" s="119">
      <c r="A30" s="191" t="n">
        <v>16</v>
      </c>
      <c r="B30" s="158" t="n"/>
      <c r="C30" s="30" t="inlineStr">
        <is>
          <t>91.06.01-003</t>
        </is>
      </c>
      <c r="D30" s="31" t="inlineStr">
        <is>
          <t>Домкраты гидравлические, грузоподъемность 63-100 т</t>
        </is>
      </c>
      <c r="E30" s="191" t="inlineStr">
        <is>
          <t>маш.час</t>
        </is>
      </c>
      <c r="F30" s="191" t="n">
        <v>3.52</v>
      </c>
      <c r="G30" s="56" t="n">
        <v>0.9</v>
      </c>
      <c r="H30" s="26">
        <f>ROUND(F30*G30,2)</f>
        <v/>
      </c>
      <c r="I30" s="37" t="n"/>
      <c r="J30" s="37" t="n"/>
      <c r="K30" s="37" t="n"/>
      <c r="L30" s="37" t="n"/>
    </row>
    <row r="31" ht="25.5" customHeight="1" s="119">
      <c r="A31" s="191" t="n">
        <v>17</v>
      </c>
      <c r="B31" s="158" t="n"/>
      <c r="C31" s="30" t="inlineStr">
        <is>
          <t>91.17.04-233</t>
        </is>
      </c>
      <c r="D31" s="31" t="inlineStr">
        <is>
          <t>Установки для сварки: ручной дуговой (постоянного тока)</t>
        </is>
      </c>
      <c r="E31" s="191" t="inlineStr">
        <is>
          <t>маш.час</t>
        </is>
      </c>
      <c r="F31" s="191" t="n">
        <v>0.25</v>
      </c>
      <c r="G31" s="56" t="n">
        <v>8.1</v>
      </c>
      <c r="H31" s="26">
        <f>ROUND(F31*G31,2)</f>
        <v/>
      </c>
      <c r="I31" s="37" t="n"/>
      <c r="J31" s="37" t="n"/>
      <c r="K31" s="37" t="n"/>
      <c r="L31" s="37" t="n"/>
    </row>
    <row r="32" ht="25.5" customHeight="1" s="119">
      <c r="A32" s="191" t="n">
        <v>18</v>
      </c>
      <c r="B32" s="158" t="n"/>
      <c r="C32" s="30" t="inlineStr">
        <is>
          <t>91.05.05-014</t>
        </is>
      </c>
      <c r="D32" s="31" t="inlineStr">
        <is>
          <t>Краны на автомобильном ходу, грузоподъемность 10 т</t>
        </is>
      </c>
      <c r="E32" s="191" t="inlineStr">
        <is>
          <t>маш.час</t>
        </is>
      </c>
      <c r="F32" s="191" t="n">
        <v>0.01</v>
      </c>
      <c r="G32" s="56" t="n">
        <v>111.99</v>
      </c>
      <c r="H32" s="26">
        <f>ROUND(F32*G32,2)</f>
        <v/>
      </c>
      <c r="I32" s="37" t="n"/>
      <c r="J32" s="37" t="n"/>
      <c r="K32" s="37" t="n"/>
      <c r="L32" s="37" t="n"/>
    </row>
    <row r="33">
      <c r="A33" s="191" t="n">
        <v>19</v>
      </c>
      <c r="B33" s="158" t="n"/>
      <c r="C33" s="30" t="inlineStr">
        <is>
          <t>91.14.02-001</t>
        </is>
      </c>
      <c r="D33" s="31" t="inlineStr">
        <is>
          <t>Автомобили бортовые, грузоподъемность: до 5 т</t>
        </is>
      </c>
      <c r="E33" s="191" t="inlineStr">
        <is>
          <t>маш.час</t>
        </is>
      </c>
      <c r="F33" s="191" t="n">
        <v>0.01</v>
      </c>
      <c r="G33" s="56" t="n">
        <v>65.70999999999999</v>
      </c>
      <c r="H33" s="26">
        <f>ROUND(F33*G33,2)</f>
        <v/>
      </c>
      <c r="I33" s="37" t="n"/>
      <c r="J33" s="37" t="n"/>
      <c r="K33" s="37" t="n"/>
      <c r="L33" s="37" t="n"/>
    </row>
    <row r="34" ht="15" customHeight="1" s="119">
      <c r="A34" s="160" t="inlineStr">
        <is>
          <t>Оборудование</t>
        </is>
      </c>
      <c r="B34" s="217" t="n"/>
      <c r="C34" s="217" t="n"/>
      <c r="D34" s="217" t="n"/>
      <c r="E34" s="218" t="n"/>
      <c r="F34" s="99" t="n"/>
      <c r="G34" s="99" t="n"/>
      <c r="H34" s="219">
        <f>SUM(H35:H35)</f>
        <v/>
      </c>
    </row>
    <row r="35" ht="409.5" customHeight="1" s="119">
      <c r="A35" s="108" t="n">
        <v>20</v>
      </c>
      <c r="B35" s="161" t="n"/>
      <c r="C35" s="110" t="inlineStr">
        <is>
          <t>Прайс из СД ОП</t>
        </is>
      </c>
      <c r="D35" s="111" t="inlineStr">
        <is>
          <t xml:space="preserve">Шкаф СМиУКЭ в составе: DIN-рейка DR 07.550- 3 шт; Автоматический выключатель iC60N B 4A 1P A9F73104 - 3 шт; безвинтовой оконечный стопор для TS35 249-116 - 2 шт; безвинтовой оконечный стопор для TS35 249-116 - 4 шт; безвинтовой оконечный стопор для TS35 249-116 - 2 шт; безвинтовой оконечный стопор для TS35 249-116 - 2 шт; безвинтовой оконечный стопор для TS35 249-116 - 2 шт; Блок питания 48В, 120Вт DR-120-48 - 2 шт; Блок розеток на 8 подключений, 16A SO 08 ISS - 1 шт; Боковые элементы цоколя ZA 00.60 H - 1 компл; вставная перемычка 2-х канальная 2002-433 - 8 шт; Выключатель нагрузки ISW 1P 20A A9S60120 - 2 шт; Выключатель нагрузки ISW 1P 32A A9S60132 - 2 шт; групповой держатель маркировки 249-120 - 2 шт; групповой держатель маркировки 249-120 - 2 шт; групповой держатель маркировки 249-120 - 2 шт; групповой держатель маркировки 249-120 - 2 шт; групповой держатель маркировки 249-120 - 4 шт; Держатель DIN-реек B 6 DR - 1 уп; измерительная клемма с размыкателем (серая) 2002-1672 - 16 шт; измерительная клемма с размыкателем (серая) 2002-1672 - 12 шт; измерительная клемма с размыкателем (серая) 2002-1672 - 18 шт; измерительная клемма с размыкателем (серая) 2002-1672 - 12 шт; измерительная клемма с размыкателем (серая) 2002-1672 - 6 шт; Измерительный преобразователь качества электроэнергии Ресурс-ПКЭ-1.7-оэ-А - 6 шт; Источник бесперебойного питания Штиль SR1101SL - 1 шт; Коммутатор Ethernet ZES-2010GS - 1 шт; Комплект заземления EK 8 - 1 компл; Коробка испытательная переходная АНПК 687.228.001-04 - 2 шт; Панель с кабельными органайзерами MB 10.48 IC - 3 шт; </t>
        </is>
      </c>
      <c r="E35" s="112" t="inlineStr">
        <is>
          <t>к-т</t>
        </is>
      </c>
      <c r="F35" s="112" t="n">
        <v>1</v>
      </c>
      <c r="G35" s="113" t="n">
        <v>420696.75</v>
      </c>
      <c r="H35" s="114">
        <f>ROUND(F35*G35,2)</f>
        <v/>
      </c>
      <c r="I35" s="37" t="n"/>
      <c r="J35" s="37" t="n"/>
      <c r="K35" s="37" t="n"/>
      <c r="L35" s="37" t="n"/>
    </row>
    <row r="36" ht="216.75" customHeight="1" s="119">
      <c r="A36" s="101" t="n"/>
      <c r="B36" s="102" t="n"/>
      <c r="C36" s="103" t="n"/>
      <c r="D36" s="104" t="inlineStr">
        <is>
          <t>Патч-корд RJ45/RJ45 5м PC-LPM-UTP-RJ45-RJ45-C5e-2M-LSZH-RD - 1 шт; Передние и задние элементы цоколя ZA 80.00 H - 1 компл; Провод заземления, сеч. 4мм2 W 6.04.8.200 - 1 шт; Программное обеспечение для мониторинга «Монитор ПКЭ-1.7» - 1 шт; Программное обеспечение для настройки «Конфигуратор ПКЭ» - 1 шт; промежуточная пластина 2002-1691 - 1 шт; Распределительный корпус для автоматических выключателей MC 03 I - 1 шт; Рвзъем DB-9F - 2 шт; Резистор МЛТ-0,125 - 1 шт; Реле выбора фаз РВФ-02 АС230В УХЛ4 - 1 шт; Светильник, 8 Вт CLG-R238 - 1 шт; Секционная монтажная панель 550х650 (ВхШ) МР 65.55 М - 2 шт; Сервер портов RS-485/Ethernet Nport IA 5450A - 2 шт; Шина заземления, на 7 подключений 507F - 2 шт; Шкаф напольный размерами 2000х600х800мм (ВхШхГ) IPV43.60.80 - 1 компл.</t>
        </is>
      </c>
      <c r="E36" s="105" t="n"/>
      <c r="F36" s="105" t="n"/>
      <c r="G36" s="106" t="n"/>
      <c r="H36" s="107" t="n"/>
      <c r="I36" s="37" t="n"/>
      <c r="J36" s="37" t="n"/>
      <c r="K36" s="37" t="n"/>
      <c r="L36" s="37" t="n"/>
    </row>
    <row r="37">
      <c r="A37" s="157" t="inlineStr">
        <is>
          <t>Материалы</t>
        </is>
      </c>
      <c r="B37" s="207" t="n"/>
      <c r="C37" s="207" t="n"/>
      <c r="D37" s="207" t="n"/>
      <c r="E37" s="208" t="n"/>
      <c r="F37" s="157" t="n"/>
      <c r="G37" s="27" t="n"/>
      <c r="H37" s="213">
        <f>SUM(H38:H93)</f>
        <v/>
      </c>
    </row>
    <row r="38" ht="25.5" customHeight="1" s="119">
      <c r="A38" s="57" t="n">
        <v>21</v>
      </c>
      <c r="B38" s="158" t="n"/>
      <c r="C38" s="30" t="inlineStr">
        <is>
          <t>21.1.06.10-0376</t>
        </is>
      </c>
      <c r="D38" s="31" t="inlineStr">
        <is>
          <t>Кабель силовой с медными жилами ВВГнг(A)-LS 3х2,5ок-1000</t>
        </is>
      </c>
      <c r="E38" s="191" t="inlineStr">
        <is>
          <t>1000 м</t>
        </is>
      </c>
      <c r="F38" s="191" t="n">
        <v>0.1785</v>
      </c>
      <c r="G38" s="26" t="n">
        <v>14498.24</v>
      </c>
      <c r="H38" s="26">
        <f>ROUND(F38*G38,2)</f>
        <v/>
      </c>
      <c r="I38" s="38" t="n"/>
      <c r="J38" s="37" t="n"/>
      <c r="K38" s="37" t="n"/>
    </row>
    <row r="39">
      <c r="A39" s="57" t="n">
        <v>22</v>
      </c>
      <c r="B39" s="158" t="n"/>
      <c r="C39" s="30" t="inlineStr">
        <is>
          <t>21.1.08.03-0582</t>
        </is>
      </c>
      <c r="D39" s="31" t="inlineStr">
        <is>
          <t>Кабель контрольный КВВГЭнг(A)-LS 7х2,5</t>
        </is>
      </c>
      <c r="E39" s="191" t="inlineStr">
        <is>
          <t>1000 м</t>
        </is>
      </c>
      <c r="F39" s="191" t="n">
        <v>0.0408</v>
      </c>
      <c r="G39" s="26" t="n">
        <v>51252.1</v>
      </c>
      <c r="H39" s="26">
        <f>ROUND(F39*G39,2)</f>
        <v/>
      </c>
      <c r="I39" s="38" t="n"/>
      <c r="J39" s="37" t="n"/>
      <c r="K39" s="37" t="n"/>
    </row>
    <row r="40" ht="25.5" customHeight="1" s="119">
      <c r="A40" s="57" t="n">
        <v>23</v>
      </c>
      <c r="B40" s="158" t="n"/>
      <c r="C40" s="30" t="inlineStr">
        <is>
          <t>07.2.07.04-0007</t>
        </is>
      </c>
      <c r="D40" s="31" t="inlineStr">
        <is>
          <t>Конструкции стальные индивидуальные решетчатые сварные, масса до 0,1 т</t>
        </is>
      </c>
      <c r="E40" s="191" t="inlineStr">
        <is>
          <t>т</t>
        </is>
      </c>
      <c r="F40" s="191" t="n">
        <v>0.0486</v>
      </c>
      <c r="G40" s="26" t="n">
        <v>11500</v>
      </c>
      <c r="H40" s="26">
        <f>ROUND(F40*G40,2)</f>
        <v/>
      </c>
      <c r="I40" s="38" t="n"/>
      <c r="J40" s="37" t="n"/>
      <c r="K40" s="37" t="n"/>
    </row>
    <row r="41">
      <c r="A41" s="57" t="n">
        <v>24</v>
      </c>
      <c r="B41" s="158" t="n"/>
      <c r="C41" s="30" t="inlineStr">
        <is>
          <t>14.4.02.09-0001</t>
        </is>
      </c>
      <c r="D41" s="31" t="inlineStr">
        <is>
          <t>Краска</t>
        </is>
      </c>
      <c r="E41" s="191" t="inlineStr">
        <is>
          <t>кг</t>
        </is>
      </c>
      <c r="F41" s="191" t="n">
        <v>5.569</v>
      </c>
      <c r="G41" s="26" t="n">
        <v>28.6</v>
      </c>
      <c r="H41" s="26">
        <f>ROUND(F41*G41,2)</f>
        <v/>
      </c>
      <c r="I41" s="38" t="n"/>
      <c r="J41" s="37" t="n"/>
      <c r="K41" s="37" t="n"/>
    </row>
    <row r="42">
      <c r="A42" s="57" t="n">
        <v>25</v>
      </c>
      <c r="B42" s="158" t="n"/>
      <c r="C42" s="30" t="inlineStr">
        <is>
          <t>21.1.04.01-1024</t>
        </is>
      </c>
      <c r="D42" s="31" t="inlineStr">
        <is>
          <t>Кабель витая пара F/UTP 4х2х0,52, категория 5e</t>
        </is>
      </c>
      <c r="E42" s="191" t="inlineStr">
        <is>
          <t>1000 м</t>
        </is>
      </c>
      <c r="F42" s="191" t="n">
        <v>0.07140000000000001</v>
      </c>
      <c r="G42" s="26" t="n">
        <v>1180</v>
      </c>
      <c r="H42" s="26">
        <f>ROUND(F42*G42,2)</f>
        <v/>
      </c>
      <c r="I42" s="38" t="n"/>
      <c r="J42" s="37" t="n"/>
      <c r="K42" s="37" t="n"/>
    </row>
    <row r="43">
      <c r="A43" s="57" t="n">
        <v>26</v>
      </c>
      <c r="B43" s="158" t="n"/>
      <c r="C43" s="30" t="inlineStr">
        <is>
          <t>01.7.11.07-0034</t>
        </is>
      </c>
      <c r="D43" s="31" t="inlineStr">
        <is>
          <t>Электроды сварочные Э42А, диаметр 4 мм</t>
        </is>
      </c>
      <c r="E43" s="191" t="inlineStr">
        <is>
          <t>кг</t>
        </is>
      </c>
      <c r="F43" s="191" t="n">
        <v>4.77</v>
      </c>
      <c r="G43" s="26" t="n">
        <v>10.57</v>
      </c>
      <c r="H43" s="26">
        <f>ROUND(F43*G43,2)</f>
        <v/>
      </c>
      <c r="I43" s="38" t="n"/>
      <c r="J43" s="37" t="n"/>
      <c r="K43" s="37" t="n"/>
    </row>
    <row r="44">
      <c r="A44" s="57" t="n">
        <v>27</v>
      </c>
      <c r="B44" s="158" t="n"/>
      <c r="C44" s="30" t="inlineStr">
        <is>
          <t>01.7.02.07-0011</t>
        </is>
      </c>
      <c r="D44" s="31" t="inlineStr">
        <is>
          <t>Прессшпан листовой, марка А</t>
        </is>
      </c>
      <c r="E44" s="191" t="inlineStr">
        <is>
          <t>кг</t>
        </is>
      </c>
      <c r="F44" s="191" t="n">
        <v>0.9525</v>
      </c>
      <c r="G44" s="26" t="n">
        <v>47.57</v>
      </c>
      <c r="H44" s="26">
        <f>ROUND(F44*G44,2)</f>
        <v/>
      </c>
      <c r="I44" s="38" t="n"/>
      <c r="J44" s="37" t="n"/>
      <c r="K44" s="37" t="n"/>
    </row>
    <row r="45" ht="25.5" customHeight="1" s="119">
      <c r="A45" s="57" t="n">
        <v>28</v>
      </c>
      <c r="B45" s="158" t="n"/>
      <c r="C45" s="30" t="inlineStr">
        <is>
          <t>10.3.02.03-0011</t>
        </is>
      </c>
      <c r="D45" s="31" t="inlineStr">
        <is>
          <t>Припои оловянно-свинцовые бессурьмянистые, марка ПОС30</t>
        </is>
      </c>
      <c r="E45" s="191" t="inlineStr">
        <is>
          <t>т</t>
        </is>
      </c>
      <c r="F45" s="191" t="n">
        <v>0.0006384</v>
      </c>
      <c r="G45" s="26" t="n">
        <v>68050</v>
      </c>
      <c r="H45" s="26">
        <f>ROUND(F45*G45,2)</f>
        <v/>
      </c>
      <c r="I45" s="38" t="n"/>
      <c r="J45" s="37" t="n"/>
      <c r="K45" s="37" t="n"/>
    </row>
    <row r="46">
      <c r="A46" s="57" t="n">
        <v>29</v>
      </c>
      <c r="B46" s="158" t="n"/>
      <c r="C46" s="30" t="inlineStr">
        <is>
          <t>25.2.01.01-0017</t>
        </is>
      </c>
      <c r="D46" s="31" t="inlineStr">
        <is>
          <t>Бирки маркировочные пластмассовые</t>
        </is>
      </c>
      <c r="E46" s="191" t="inlineStr">
        <is>
          <t>100 шт</t>
        </is>
      </c>
      <c r="F46" s="191" t="n">
        <v>1.26</v>
      </c>
      <c r="G46" s="26" t="n">
        <v>30.74</v>
      </c>
      <c r="H46" s="26">
        <f>ROUND(F46*G46,2)</f>
        <v/>
      </c>
      <c r="I46" s="38" t="n"/>
      <c r="J46" s="37" t="n"/>
      <c r="K46" s="37" t="n"/>
    </row>
    <row r="47" ht="25.5" customHeight="1" s="119">
      <c r="A47" s="57" t="n">
        <v>30</v>
      </c>
      <c r="B47" s="158" t="n"/>
      <c r="C47" s="30" t="inlineStr">
        <is>
          <t>999-9950</t>
        </is>
      </c>
      <c r="D47" s="31" t="inlineStr">
        <is>
          <t>Вспомогательные ненормируемые ресурсы (2% от Оплаты труда рабочих)</t>
        </is>
      </c>
      <c r="E47" s="191" t="inlineStr">
        <is>
          <t>руб.</t>
        </is>
      </c>
      <c r="F47" s="191" t="n">
        <v>31.917</v>
      </c>
      <c r="G47" s="26" t="n">
        <v>1</v>
      </c>
      <c r="H47" s="26">
        <f>ROUND(F47*G47,2)</f>
        <v/>
      </c>
      <c r="I47" s="38" t="n"/>
      <c r="J47" s="37" t="n"/>
      <c r="K47" s="37" t="n"/>
    </row>
    <row r="48">
      <c r="A48" s="57" t="n">
        <v>31</v>
      </c>
      <c r="B48" s="158" t="n"/>
      <c r="C48" s="30" t="inlineStr">
        <is>
          <t>01.3.01.01-0001</t>
        </is>
      </c>
      <c r="D48" s="31" t="inlineStr">
        <is>
          <t>Бензин авиационный Б-70</t>
        </is>
      </c>
      <c r="E48" s="191" t="inlineStr">
        <is>
          <t>т</t>
        </is>
      </c>
      <c r="F48" s="191" t="n">
        <v>0.0064</v>
      </c>
      <c r="G48" s="26" t="n">
        <v>4488.4</v>
      </c>
      <c r="H48" s="26">
        <f>ROUND(F48*G48,2)</f>
        <v/>
      </c>
      <c r="I48" s="38" t="n"/>
      <c r="J48" s="37" t="n"/>
      <c r="K48" s="37" t="n"/>
    </row>
    <row r="49" ht="25.5" customHeight="1" s="119">
      <c r="A49" s="57" t="n">
        <v>32</v>
      </c>
      <c r="B49" s="158" t="n"/>
      <c r="C49" s="30" t="inlineStr">
        <is>
          <t>21.2.03.05-0045</t>
        </is>
      </c>
      <c r="D49" s="31" t="inlineStr">
        <is>
          <t>Провод силовой установочный с медными жилами ПВ1 1,5-450</t>
        </is>
      </c>
      <c r="E49" s="191" t="inlineStr">
        <is>
          <t>1000 м</t>
        </is>
      </c>
      <c r="F49" s="191" t="n">
        <v>0.0206</v>
      </c>
      <c r="G49" s="26" t="n">
        <v>1335.52</v>
      </c>
      <c r="H49" s="26">
        <f>ROUND(F49*G49,2)</f>
        <v/>
      </c>
      <c r="I49" s="38" t="n"/>
      <c r="J49" s="37" t="n"/>
      <c r="K49" s="37" t="n"/>
    </row>
    <row r="50" ht="25.5" customHeight="1" s="119">
      <c r="A50" s="57" t="n">
        <v>33</v>
      </c>
      <c r="B50" s="158" t="n"/>
      <c r="C50" s="30" t="inlineStr">
        <is>
          <t>21.2.03.05-0051</t>
        </is>
      </c>
      <c r="D50" s="31" t="inlineStr">
        <is>
          <t>Провод силовой установочный с медными жилами ПВ1 6-450</t>
        </is>
      </c>
      <c r="E50" s="191" t="inlineStr">
        <is>
          <t>1000 м</t>
        </is>
      </c>
      <c r="F50" s="191" t="n">
        <v>0.00515</v>
      </c>
      <c r="G50" s="26" t="n">
        <v>4645.43</v>
      </c>
      <c r="H50" s="26">
        <f>ROUND(F50*G50,2)</f>
        <v/>
      </c>
      <c r="I50" s="38" t="n"/>
      <c r="J50" s="37" t="n"/>
      <c r="K50" s="37" t="n"/>
    </row>
    <row r="51" ht="25.5" customHeight="1" s="119">
      <c r="A51" s="57" t="n">
        <v>34</v>
      </c>
      <c r="B51" s="158" t="n"/>
      <c r="C51" s="30" t="inlineStr">
        <is>
          <t>21.2.03.05-0047</t>
        </is>
      </c>
      <c r="D51" s="31" t="inlineStr">
        <is>
          <t>Провод силовой установочный с медными жилами ПВ1 2,5-450</t>
        </is>
      </c>
      <c r="E51" s="191" t="inlineStr">
        <is>
          <t>1000 м</t>
        </is>
      </c>
      <c r="F51" s="191" t="n">
        <v>0.0103</v>
      </c>
      <c r="G51" s="26" t="n">
        <v>2079.72</v>
      </c>
      <c r="H51" s="26">
        <f>ROUND(F51*G51,2)</f>
        <v/>
      </c>
      <c r="I51" s="38" t="n"/>
      <c r="J51" s="37" t="n"/>
      <c r="K51" s="37" t="n"/>
    </row>
    <row r="52">
      <c r="A52" s="57" t="n">
        <v>35</v>
      </c>
      <c r="B52" s="158" t="n"/>
      <c r="C52" s="30" t="inlineStr">
        <is>
          <t>25.2.01.01-0001</t>
        </is>
      </c>
      <c r="D52" s="31" t="inlineStr">
        <is>
          <t>Бирки-оконцеватели</t>
        </is>
      </c>
      <c r="E52" s="191" t="inlineStr">
        <is>
          <t>100 шт</t>
        </is>
      </c>
      <c r="F52" s="191" t="n">
        <v>0.2856</v>
      </c>
      <c r="G52" s="26" t="n">
        <v>63</v>
      </c>
      <c r="H52" s="26">
        <f>ROUND(F52*G52,2)</f>
        <v/>
      </c>
      <c r="I52" s="38" t="n"/>
      <c r="J52" s="37" t="n"/>
      <c r="K52" s="37" t="n"/>
    </row>
    <row r="53" ht="25.5" customHeight="1" s="119">
      <c r="A53" s="57" t="n">
        <v>36</v>
      </c>
      <c r="B53" s="158" t="n"/>
      <c r="C53" s="30" t="inlineStr">
        <is>
          <t>10.3.02.03-0013</t>
        </is>
      </c>
      <c r="D53" s="31" t="inlineStr">
        <is>
          <t>Припои оловянно-свинцовые бессурьмянистые, марка ПОС61</t>
        </is>
      </c>
      <c r="E53" s="191" t="inlineStr">
        <is>
          <t>т</t>
        </is>
      </c>
      <c r="F53" s="191" t="n">
        <v>0.0001518</v>
      </c>
      <c r="G53" s="26" t="n">
        <v>114220</v>
      </c>
      <c r="H53" s="26">
        <f>ROUND(F53*G53,2)</f>
        <v/>
      </c>
      <c r="I53" s="38" t="n"/>
      <c r="J53" s="37" t="n"/>
      <c r="K53" s="37" t="n"/>
    </row>
    <row r="54">
      <c r="A54" s="57" t="n">
        <v>37</v>
      </c>
      <c r="B54" s="158" t="n"/>
      <c r="C54" s="30" t="inlineStr">
        <is>
          <t>01.7.20.04-0003</t>
        </is>
      </c>
      <c r="D54" s="31" t="inlineStr">
        <is>
          <t>Нитки суровые</t>
        </is>
      </c>
      <c r="E54" s="191" t="inlineStr">
        <is>
          <t>кг</t>
        </is>
      </c>
      <c r="F54" s="191" t="n">
        <v>0.1</v>
      </c>
      <c r="G54" s="26" t="n">
        <v>155</v>
      </c>
      <c r="H54" s="26">
        <f>ROUND(F54*G54,2)</f>
        <v/>
      </c>
      <c r="I54" s="38" t="n"/>
      <c r="J54" s="37" t="n"/>
      <c r="K54" s="37" t="n"/>
    </row>
    <row r="55">
      <c r="A55" s="57" t="n">
        <v>38</v>
      </c>
      <c r="B55" s="158" t="n"/>
      <c r="C55" s="30" t="inlineStr">
        <is>
          <t>01.7.15.04-0011</t>
        </is>
      </c>
      <c r="D55" s="31" t="inlineStr">
        <is>
          <t>Винты с полукруглой головкой, длина 50 мм</t>
        </is>
      </c>
      <c r="E55" s="191" t="inlineStr">
        <is>
          <t>т</t>
        </is>
      </c>
      <c r="F55" s="191" t="n">
        <v>0.000899</v>
      </c>
      <c r="G55" s="26" t="n">
        <v>12430</v>
      </c>
      <c r="H55" s="26">
        <f>ROUND(F55*G55,2)</f>
        <v/>
      </c>
      <c r="I55" s="38" t="n"/>
      <c r="J55" s="37" t="n"/>
      <c r="K55" s="37" t="n"/>
    </row>
    <row r="56" ht="25.5" customHeight="1" s="119">
      <c r="A56" s="57" t="n">
        <v>39</v>
      </c>
      <c r="B56" s="158" t="n"/>
      <c r="C56" s="30" t="inlineStr">
        <is>
          <t>08.3.07.01-0076</t>
        </is>
      </c>
      <c r="D56" s="31" t="inlineStr">
        <is>
          <t>Прокат полосовой, горячекатаный, марка стали Ст3сп, ширина 50-200 мм, толщина 4-5 мм</t>
        </is>
      </c>
      <c r="E56" s="191" t="inlineStr">
        <is>
          <t>т</t>
        </is>
      </c>
      <c r="F56" s="191" t="n">
        <v>0.00216</v>
      </c>
      <c r="G56" s="26" t="n">
        <v>5000</v>
      </c>
      <c r="H56" s="26">
        <f>ROUND(F56*G56,2)</f>
        <v/>
      </c>
      <c r="I56" s="38" t="n"/>
      <c r="J56" s="37" t="n"/>
      <c r="K56" s="37" t="n"/>
    </row>
    <row r="57">
      <c r="A57" s="57" t="n">
        <v>40</v>
      </c>
      <c r="B57" s="158" t="n"/>
      <c r="C57" s="30" t="inlineStr">
        <is>
          <t>14.4.03.03-0002</t>
        </is>
      </c>
      <c r="D57" s="31" t="inlineStr">
        <is>
          <t>Лак битумный БТ-123</t>
        </is>
      </c>
      <c r="E57" s="191" t="inlineStr">
        <is>
          <t>т</t>
        </is>
      </c>
      <c r="F57" s="191" t="n">
        <v>0.001152</v>
      </c>
      <c r="G57" s="26" t="n">
        <v>7826.9</v>
      </c>
      <c r="H57" s="26">
        <f>ROUND(F57*G57,2)</f>
        <v/>
      </c>
      <c r="I57" s="38" t="n"/>
      <c r="J57" s="37" t="n"/>
      <c r="K57" s="37" t="n"/>
    </row>
    <row r="58">
      <c r="A58" s="57" t="n">
        <v>41</v>
      </c>
      <c r="B58" s="158" t="n"/>
      <c r="C58" s="30" t="inlineStr">
        <is>
          <t>20.1.02.06-0001</t>
        </is>
      </c>
      <c r="D58" s="31" t="inlineStr">
        <is>
          <t>Жир паяльный</t>
        </is>
      </c>
      <c r="E58" s="191" t="inlineStr">
        <is>
          <t>кг</t>
        </is>
      </c>
      <c r="F58" s="191" t="n">
        <v>0.08</v>
      </c>
      <c r="G58" s="26" t="n">
        <v>100.8</v>
      </c>
      <c r="H58" s="26">
        <f>ROUND(F58*G58,2)</f>
        <v/>
      </c>
      <c r="I58" s="38" t="n"/>
      <c r="J58" s="37" t="n"/>
      <c r="K58" s="37" t="n"/>
    </row>
    <row r="59">
      <c r="A59" s="57" t="n">
        <v>42</v>
      </c>
      <c r="B59" s="158" t="n"/>
      <c r="C59" s="30" t="inlineStr">
        <is>
          <t>01.7.15.03-0042</t>
        </is>
      </c>
      <c r="D59" s="31" t="inlineStr">
        <is>
          <t>Болты с гайками и шайбами строительные</t>
        </is>
      </c>
      <c r="E59" s="191" t="inlineStr">
        <is>
          <t>кг</t>
        </is>
      </c>
      <c r="F59" s="191" t="n">
        <v>0.89</v>
      </c>
      <c r="G59" s="26" t="n">
        <v>9.039999999999999</v>
      </c>
      <c r="H59" s="26">
        <f>ROUND(F59*G59,2)</f>
        <v/>
      </c>
      <c r="I59" s="38" t="n"/>
      <c r="J59" s="37" t="n"/>
      <c r="K59" s="37" t="n"/>
    </row>
    <row r="60" ht="25.5" customHeight="1" s="119">
      <c r="A60" s="57" t="n">
        <v>43</v>
      </c>
      <c r="B60" s="158" t="n"/>
      <c r="C60" s="30" t="inlineStr">
        <is>
          <t>10.3.02.03-0012</t>
        </is>
      </c>
      <c r="D60" s="31" t="inlineStr">
        <is>
          <t>Припои оловянно-свинцовые бессурьмянистые, марка ПОС40</t>
        </is>
      </c>
      <c r="E60" s="191" t="inlineStr">
        <is>
          <t>т</t>
        </is>
      </c>
      <c r="F60" s="191" t="n">
        <v>0.00012</v>
      </c>
      <c r="G60" s="26" t="n">
        <v>65750</v>
      </c>
      <c r="H60" s="26">
        <f>ROUND(F60*G60,2)</f>
        <v/>
      </c>
      <c r="I60" s="38" t="n"/>
      <c r="J60" s="37" t="n"/>
      <c r="K60" s="37" t="n"/>
    </row>
    <row r="61">
      <c r="A61" s="57" t="n">
        <v>44</v>
      </c>
      <c r="B61" s="158" t="n"/>
      <c r="C61" s="30" t="inlineStr">
        <is>
          <t>01.3.02.09-0022</t>
        </is>
      </c>
      <c r="D61" s="31" t="inlineStr">
        <is>
          <t>Пропан-бутан смесь техническая</t>
        </is>
      </c>
      <c r="E61" s="191" t="inlineStr">
        <is>
          <t>кг</t>
        </is>
      </c>
      <c r="F61" s="191" t="n">
        <v>1.2</v>
      </c>
      <c r="G61" s="26" t="n">
        <v>6.09</v>
      </c>
      <c r="H61" s="26">
        <f>ROUND(F61*G61,2)</f>
        <v/>
      </c>
      <c r="I61" s="38" t="n"/>
      <c r="J61" s="37" t="n"/>
      <c r="K61" s="37" t="n"/>
    </row>
    <row r="62">
      <c r="A62" s="57" t="n">
        <v>45</v>
      </c>
      <c r="B62" s="158" t="n"/>
      <c r="C62" s="30" t="inlineStr">
        <is>
          <t>20.2.10.03-0006</t>
        </is>
      </c>
      <c r="D62" s="31" t="inlineStr">
        <is>
          <t>Наконечники кабельные медные соединительные</t>
        </is>
      </c>
      <c r="E62" s="191" t="inlineStr">
        <is>
          <t>100 шт</t>
        </is>
      </c>
      <c r="F62" s="191" t="n">
        <v>0.02</v>
      </c>
      <c r="G62" s="26" t="n">
        <v>365</v>
      </c>
      <c r="H62" s="26">
        <f>ROUND(F62*G62,2)</f>
        <v/>
      </c>
      <c r="I62" s="38" t="n"/>
      <c r="J62" s="37" t="n"/>
      <c r="K62" s="37" t="n"/>
    </row>
    <row r="63">
      <c r="A63" s="57" t="n">
        <v>46</v>
      </c>
      <c r="B63" s="158" t="n"/>
      <c r="C63" s="30" t="inlineStr">
        <is>
          <t>01.7.06.07-0002</t>
        </is>
      </c>
      <c r="D63" s="31" t="inlineStr">
        <is>
          <t>Лента монтажная, тип ЛМ-5</t>
        </is>
      </c>
      <c r="E63" s="191" t="inlineStr">
        <is>
          <t>10 м</t>
        </is>
      </c>
      <c r="F63" s="191" t="n">
        <v>0.864</v>
      </c>
      <c r="G63" s="26" t="n">
        <v>6.9</v>
      </c>
      <c r="H63" s="26">
        <f>ROUND(F63*G63,2)</f>
        <v/>
      </c>
      <c r="I63" s="38" t="n"/>
      <c r="J63" s="37" t="n"/>
      <c r="K63" s="37" t="n"/>
    </row>
    <row r="64" ht="25.5" customHeight="1" s="119">
      <c r="A64" s="57" t="n">
        <v>47</v>
      </c>
      <c r="B64" s="158" t="n"/>
      <c r="C64" s="30" t="inlineStr">
        <is>
          <t>01.7.15.03-0031</t>
        </is>
      </c>
      <c r="D64" s="31" t="inlineStr">
        <is>
          <t>Болты с гайками и шайбами оцинкованные, диаметр 6 мм</t>
        </is>
      </c>
      <c r="E64" s="191" t="inlineStr">
        <is>
          <t>кг</t>
        </is>
      </c>
      <c r="F64" s="191" t="n">
        <v>0.21</v>
      </c>
      <c r="G64" s="26" t="n">
        <v>28.22</v>
      </c>
      <c r="H64" s="26">
        <f>ROUND(F64*G64,2)</f>
        <v/>
      </c>
      <c r="I64" s="38" t="n"/>
      <c r="J64" s="37" t="n"/>
      <c r="K64" s="37" t="n"/>
    </row>
    <row r="65" ht="38.25" customHeight="1" s="119">
      <c r="A65" s="57" t="n">
        <v>48</v>
      </c>
      <c r="B65" s="158" t="n"/>
      <c r="C65" s="30" t="inlineStr">
        <is>
          <t>01.7.06.05-0042</t>
        </is>
      </c>
      <c r="D65" s="31" t="inlineStr">
        <is>
          <t>Лента липкая изоляционная на поликасиновом компаунде, ширина 20-30 мм, толщина от 0,14 до 0,19 мм</t>
        </is>
      </c>
      <c r="E65" s="191" t="inlineStr">
        <is>
          <t>кг</t>
        </is>
      </c>
      <c r="F65" s="191" t="n">
        <v>0.05</v>
      </c>
      <c r="G65" s="26" t="n">
        <v>91.29000000000001</v>
      </c>
      <c r="H65" s="26">
        <f>ROUND(F65*G65,2)</f>
        <v/>
      </c>
      <c r="I65" s="38" t="n"/>
      <c r="J65" s="37" t="n"/>
      <c r="K65" s="37" t="n"/>
    </row>
    <row r="66">
      <c r="A66" s="57" t="n">
        <v>49</v>
      </c>
      <c r="B66" s="158" t="n"/>
      <c r="C66" s="30" t="inlineStr">
        <is>
          <t>24.3.01.01-0002</t>
        </is>
      </c>
      <c r="D66" s="31" t="inlineStr">
        <is>
          <t>Трубка полихлорвиниловая</t>
        </is>
      </c>
      <c r="E66" s="191" t="inlineStr">
        <is>
          <t>кг</t>
        </is>
      </c>
      <c r="F66" s="191" t="n">
        <v>0.0992</v>
      </c>
      <c r="G66" s="26" t="n">
        <v>35.7</v>
      </c>
      <c r="H66" s="26">
        <f>ROUND(F66*G66,2)</f>
        <v/>
      </c>
      <c r="I66" s="38" t="n"/>
      <c r="J66" s="37" t="n"/>
      <c r="K66" s="37" t="n"/>
    </row>
    <row r="67">
      <c r="A67" s="57" t="n">
        <v>50</v>
      </c>
      <c r="B67" s="158" t="n"/>
      <c r="C67" s="30" t="inlineStr">
        <is>
          <t>14.4.03.11-0005</t>
        </is>
      </c>
      <c r="D67" s="31" t="inlineStr">
        <is>
          <t>Лак нитроцеллюлозный НЦ-62</t>
        </is>
      </c>
      <c r="E67" s="191" t="inlineStr">
        <is>
          <t>т</t>
        </is>
      </c>
      <c r="F67" s="191" t="n">
        <v>0.00011</v>
      </c>
      <c r="G67" s="26" t="n">
        <v>27921.97</v>
      </c>
      <c r="H67" s="26">
        <f>ROUND(F67*G67,2)</f>
        <v/>
      </c>
      <c r="I67" s="38" t="n"/>
      <c r="J67" s="37" t="n"/>
      <c r="K67" s="37" t="n"/>
    </row>
    <row r="68" ht="25.5" customHeight="1" s="119">
      <c r="A68" s="57" t="n">
        <v>51</v>
      </c>
      <c r="B68" s="158" t="n"/>
      <c r="C68" s="30" t="inlineStr">
        <is>
          <t>01.7.06.05-0041</t>
        </is>
      </c>
      <c r="D68" s="31" t="inlineStr">
        <is>
          <t>Лента изоляционная прорезиненная односторонняя, ширина 20 мм, толщина 0,25-0,35 мм</t>
        </is>
      </c>
      <c r="E68" s="191" t="inlineStr">
        <is>
          <t>кг</t>
        </is>
      </c>
      <c r="F68" s="191" t="n">
        <v>0.096</v>
      </c>
      <c r="G68" s="26" t="n">
        <v>30.4</v>
      </c>
      <c r="H68" s="26">
        <f>ROUND(F68*G68,2)</f>
        <v/>
      </c>
      <c r="I68" s="38" t="n"/>
      <c r="J68" s="37" t="n"/>
      <c r="K68" s="37" t="n"/>
    </row>
    <row r="69" ht="25.5" customHeight="1" s="119">
      <c r="A69" s="57" t="n">
        <v>52</v>
      </c>
      <c r="B69" s="158" t="n"/>
      <c r="C69" s="30" t="inlineStr">
        <is>
          <t>10.3.02.03-0028</t>
        </is>
      </c>
      <c r="D69" s="31" t="inlineStr">
        <is>
          <t>Припои оловянно-свинцовые малосурьмянистые, марка ПОССу 61-0,5</t>
        </is>
      </c>
      <c r="E69" s="191" t="inlineStr">
        <is>
          <t>кг</t>
        </is>
      </c>
      <c r="F69" s="191" t="n">
        <v>0.0192</v>
      </c>
      <c r="G69" s="26" t="n">
        <v>125.46</v>
      </c>
      <c r="H69" s="26">
        <f>ROUND(F69*G69,2)</f>
        <v/>
      </c>
      <c r="I69" s="38" t="n"/>
      <c r="J69" s="37" t="n"/>
      <c r="K69" s="37" t="n"/>
    </row>
    <row r="70">
      <c r="A70" s="57" t="n">
        <v>53</v>
      </c>
      <c r="B70" s="158" t="n"/>
      <c r="C70" s="30" t="inlineStr">
        <is>
          <t>20.1.02.23-0082</t>
        </is>
      </c>
      <c r="D70" s="31" t="inlineStr">
        <is>
          <t>Перемычки гибкие, тип ПГС-50</t>
        </is>
      </c>
      <c r="E70" s="191" t="inlineStr">
        <is>
          <t>10 шт</t>
        </is>
      </c>
      <c r="F70" s="191" t="n">
        <v>0.06</v>
      </c>
      <c r="G70" s="26" t="n">
        <v>39</v>
      </c>
      <c r="H70" s="26">
        <f>ROUND(F70*G70,2)</f>
        <v/>
      </c>
      <c r="I70" s="38" t="n"/>
      <c r="J70" s="37" t="n"/>
      <c r="K70" s="37" t="n"/>
    </row>
    <row r="71">
      <c r="A71" s="57" t="n">
        <v>54</v>
      </c>
      <c r="B71" s="158" t="n"/>
      <c r="C71" s="30" t="inlineStr">
        <is>
          <t>01.3.01.07-0009</t>
        </is>
      </c>
      <c r="D71" s="31" t="inlineStr">
        <is>
          <t>Спирт этиловый ректификованный технический, сорт I</t>
        </is>
      </c>
      <c r="E71" s="191" t="inlineStr">
        <is>
          <t>кг</t>
        </is>
      </c>
      <c r="F71" s="191" t="n">
        <v>0.05948</v>
      </c>
      <c r="G71" s="26" t="n">
        <v>38.89</v>
      </c>
      <c r="H71" s="26">
        <f>ROUND(F71*G71,2)</f>
        <v/>
      </c>
      <c r="I71" s="38" t="n"/>
      <c r="J71" s="37" t="n"/>
      <c r="K71" s="37" t="n"/>
    </row>
    <row r="72">
      <c r="A72" s="57" t="n">
        <v>55</v>
      </c>
      <c r="B72" s="158" t="n"/>
      <c r="C72" s="30" t="inlineStr">
        <is>
          <t>01.7.15.14-0165</t>
        </is>
      </c>
      <c r="D72" s="31" t="inlineStr">
        <is>
          <t>Шурупы с полукруглой головкой 4х40 мм</t>
        </is>
      </c>
      <c r="E72" s="191" t="inlineStr">
        <is>
          <t>т</t>
        </is>
      </c>
      <c r="F72" s="191" t="n">
        <v>0.000176</v>
      </c>
      <c r="G72" s="26" t="n">
        <v>12430</v>
      </c>
      <c r="H72" s="26">
        <f>ROUND(F72*G72,2)</f>
        <v/>
      </c>
      <c r="I72" s="38" t="n"/>
      <c r="J72" s="37" t="n"/>
      <c r="K72" s="37" t="n"/>
    </row>
    <row r="73">
      <c r="A73" s="57" t="n">
        <v>56</v>
      </c>
      <c r="B73" s="158" t="n"/>
      <c r="C73" s="30" t="inlineStr">
        <is>
          <t>14.4.03.17-0101</t>
        </is>
      </c>
      <c r="D73" s="31" t="inlineStr">
        <is>
          <t>Лак канифольный КФ-965</t>
        </is>
      </c>
      <c r="E73" s="191" t="inlineStr">
        <is>
          <t>т</t>
        </is>
      </c>
      <c r="F73" s="191" t="n">
        <v>2.8e-05</v>
      </c>
      <c r="G73" s="26" t="n">
        <v>70200</v>
      </c>
      <c r="H73" s="26">
        <f>ROUND(F73*G73,2)</f>
        <v/>
      </c>
      <c r="I73" s="38" t="n"/>
      <c r="J73" s="37" t="n"/>
      <c r="K73" s="37" t="n"/>
    </row>
    <row r="74">
      <c r="A74" s="57" t="n">
        <v>57</v>
      </c>
      <c r="B74" s="158" t="n"/>
      <c r="C74" s="30" t="inlineStr">
        <is>
          <t>01.7.11.07-0034</t>
        </is>
      </c>
      <c r="D74" s="31" t="inlineStr">
        <is>
          <t>Электроды диаметром: 4 мм Э42А</t>
        </is>
      </c>
      <c r="E74" s="191" t="inlineStr">
        <is>
          <t>кг</t>
        </is>
      </c>
      <c r="F74" s="191" t="n">
        <v>0.15</v>
      </c>
      <c r="G74" s="26" t="n">
        <v>10.57</v>
      </c>
      <c r="H74" s="26">
        <f>ROUND(F74*G74,2)</f>
        <v/>
      </c>
      <c r="I74" s="38" t="n"/>
      <c r="J74" s="37" t="n"/>
      <c r="K74" s="37" t="n"/>
    </row>
    <row r="75">
      <c r="A75" s="57" t="n">
        <v>58</v>
      </c>
      <c r="B75" s="158" t="n"/>
      <c r="C75" s="30" t="inlineStr">
        <is>
          <t>01.7.02.07-0011</t>
        </is>
      </c>
      <c r="D75" s="31" t="inlineStr">
        <is>
          <t>Прессшпан листовой, марки А</t>
        </is>
      </c>
      <c r="E75" s="191" t="inlineStr">
        <is>
          <t>кг</t>
        </is>
      </c>
      <c r="F75" s="191" t="n">
        <v>0.0275</v>
      </c>
      <c r="G75" s="26" t="n">
        <v>47.57</v>
      </c>
      <c r="H75" s="26">
        <f>ROUND(F75*G75,2)</f>
        <v/>
      </c>
      <c r="I75" s="38" t="n"/>
      <c r="J75" s="37" t="n"/>
      <c r="K75" s="37" t="n"/>
    </row>
    <row r="76">
      <c r="A76" s="57" t="n">
        <v>59</v>
      </c>
      <c r="B76" s="158" t="n"/>
      <c r="C76" s="30" t="inlineStr">
        <is>
          <t>01.3.01.02-0002</t>
        </is>
      </c>
      <c r="D76" s="31" t="inlineStr">
        <is>
          <t>Вазелин технический</t>
        </is>
      </c>
      <c r="E76" s="191" t="inlineStr">
        <is>
          <t>кг</t>
        </is>
      </c>
      <c r="F76" s="191" t="n">
        <v>0.028</v>
      </c>
      <c r="G76" s="26" t="n">
        <v>44.97</v>
      </c>
      <c r="H76" s="26">
        <f>ROUND(F76*G76,2)</f>
        <v/>
      </c>
      <c r="I76" s="38" t="n"/>
      <c r="J76" s="37" t="n"/>
      <c r="K76" s="37" t="n"/>
    </row>
    <row r="77">
      <c r="A77" s="57" t="n">
        <v>60</v>
      </c>
      <c r="B77" s="158" t="n"/>
      <c r="C77" s="30" t="inlineStr">
        <is>
          <t>01.3.01.05-0009</t>
        </is>
      </c>
      <c r="D77" s="31" t="inlineStr">
        <is>
          <t>Парафин нефтяной твердый Т-1</t>
        </is>
      </c>
      <c r="E77" s="191" t="inlineStr">
        <is>
          <t>т</t>
        </is>
      </c>
      <c r="F77" s="191" t="n">
        <v>0.00012</v>
      </c>
      <c r="G77" s="26" t="n">
        <v>8105.71</v>
      </c>
      <c r="H77" s="26">
        <f>ROUND(F77*G77,2)</f>
        <v/>
      </c>
      <c r="I77" s="38" t="n"/>
      <c r="J77" s="37" t="n"/>
      <c r="K77" s="37" t="n"/>
    </row>
    <row r="78">
      <c r="A78" s="57" t="n">
        <v>61</v>
      </c>
      <c r="B78" s="158" t="n"/>
      <c r="C78" s="30" t="inlineStr">
        <is>
          <t>01.3.05.17-0002</t>
        </is>
      </c>
      <c r="D78" s="31" t="inlineStr">
        <is>
          <t>Канифоль сосновая</t>
        </is>
      </c>
      <c r="E78" s="191" t="inlineStr">
        <is>
          <t>кг</t>
        </is>
      </c>
      <c r="F78" s="191" t="n">
        <v>0.03428</v>
      </c>
      <c r="G78" s="26" t="n">
        <v>27.74</v>
      </c>
      <c r="H78" s="26">
        <f>ROUND(F78*G78,2)</f>
        <v/>
      </c>
      <c r="I78" s="38" t="n"/>
      <c r="J78" s="37" t="n"/>
      <c r="K78" s="37" t="n"/>
    </row>
    <row r="79" ht="25.5" customHeight="1" s="119">
      <c r="A79" s="57" t="n">
        <v>62</v>
      </c>
      <c r="B79" s="158" t="n"/>
      <c r="C79" s="30" t="inlineStr">
        <is>
          <t>14.4.02.09-0402</t>
        </is>
      </c>
      <c r="D79" s="31" t="inlineStr">
        <is>
          <t>Краска маркировочная для электротехнических изделий</t>
        </is>
      </c>
      <c r="E79" s="191" t="inlineStr">
        <is>
          <t>кг</t>
        </is>
      </c>
      <c r="F79" s="191" t="n">
        <v>0.012</v>
      </c>
      <c r="G79" s="26" t="n">
        <v>68.87</v>
      </c>
      <c r="H79" s="26">
        <f>ROUND(F79*G79,2)</f>
        <v/>
      </c>
      <c r="I79" s="38" t="n"/>
      <c r="J79" s="37" t="n"/>
      <c r="K79" s="37" t="n"/>
    </row>
    <row r="80" ht="25.5" customHeight="1" s="119">
      <c r="A80" s="57" t="n">
        <v>63</v>
      </c>
      <c r="B80" s="158" t="n"/>
      <c r="C80" s="30" t="inlineStr">
        <is>
          <t>10.2.02.08-0001</t>
        </is>
      </c>
      <c r="D80" s="31" t="inlineStr">
        <is>
          <t>Проволока медная, круглая, мягкая, электротехническая, диаметр 1,0-3,0 мм и выше</t>
        </is>
      </c>
      <c r="E80" s="191" t="inlineStr">
        <is>
          <t>т</t>
        </is>
      </c>
      <c r="F80" s="191" t="n">
        <v>2e-05</v>
      </c>
      <c r="G80" s="26" t="n">
        <v>37517</v>
      </c>
      <c r="H80" s="26">
        <f>ROUND(F80*G80,2)</f>
        <v/>
      </c>
      <c r="I80" s="38" t="n"/>
      <c r="J80" s="37" t="n"/>
      <c r="K80" s="37" t="n"/>
    </row>
    <row r="81">
      <c r="A81" s="57" t="n">
        <v>64</v>
      </c>
      <c r="B81" s="158" t="n"/>
      <c r="C81" s="30" t="inlineStr">
        <is>
          <t>14.4.03.17-0011</t>
        </is>
      </c>
      <c r="D81" s="31" t="inlineStr">
        <is>
          <t>Лак электроизоляционный 318</t>
        </is>
      </c>
      <c r="E81" s="191" t="inlineStr">
        <is>
          <t>кг</t>
        </is>
      </c>
      <c r="F81" s="191" t="n">
        <v>0.02</v>
      </c>
      <c r="G81" s="26" t="n">
        <v>35.63</v>
      </c>
      <c r="H81" s="26">
        <f>ROUND(F81*G81,2)</f>
        <v/>
      </c>
      <c r="I81" s="38" t="n"/>
      <c r="J81" s="37" t="n"/>
      <c r="K81" s="37" t="n"/>
    </row>
    <row r="82">
      <c r="A82" s="57" t="n">
        <v>65</v>
      </c>
      <c r="B82" s="158" t="n"/>
      <c r="C82" s="30" t="inlineStr">
        <is>
          <t>01.7.19.04-0002</t>
        </is>
      </c>
      <c r="D82" s="31" t="inlineStr">
        <is>
          <t>Пластина резиновая рулонная вулканизированная</t>
        </is>
      </c>
      <c r="E82" s="191" t="inlineStr">
        <is>
          <t>кг</t>
        </is>
      </c>
      <c r="F82" s="191" t="n">
        <v>0.03</v>
      </c>
      <c r="G82" s="26" t="n">
        <v>13.56</v>
      </c>
      <c r="H82" s="26">
        <f>ROUND(F82*G82,2)</f>
        <v/>
      </c>
      <c r="I82" s="38" t="n"/>
      <c r="J82" s="37" t="n"/>
      <c r="K82" s="37" t="n"/>
    </row>
    <row r="83">
      <c r="A83" s="57" t="n">
        <v>66</v>
      </c>
      <c r="B83" s="158" t="n"/>
      <c r="C83" s="30" t="inlineStr">
        <is>
          <t>01.7.20.04-0005</t>
        </is>
      </c>
      <c r="D83" s="31" t="inlineStr">
        <is>
          <t>Нитки швейные</t>
        </is>
      </c>
      <c r="E83" s="191" t="inlineStr">
        <is>
          <t>кг</t>
        </is>
      </c>
      <c r="F83" s="191" t="n">
        <v>0.0028</v>
      </c>
      <c r="G83" s="26" t="n">
        <v>133.05</v>
      </c>
      <c r="H83" s="26">
        <f>ROUND(F83*G83,2)</f>
        <v/>
      </c>
      <c r="I83" s="38" t="n"/>
      <c r="J83" s="37" t="n"/>
      <c r="K83" s="37" t="n"/>
    </row>
    <row r="84">
      <c r="A84" s="57" t="n">
        <v>67</v>
      </c>
      <c r="B84" s="158" t="n"/>
      <c r="C84" s="30" t="inlineStr">
        <is>
          <t>01.7.15.04-0011</t>
        </is>
      </c>
      <c r="D84" s="31" t="inlineStr">
        <is>
          <t>Винты с полукруглой головкой длиной: 50 мм</t>
        </is>
      </c>
      <c r="E84" s="191" t="inlineStr">
        <is>
          <t>т</t>
        </is>
      </c>
      <c r="F84" s="191" t="n">
        <v>2.9e-05</v>
      </c>
      <c r="G84" s="26" t="n">
        <v>12430</v>
      </c>
      <c r="H84" s="26">
        <f>ROUND(F84*G84,2)</f>
        <v/>
      </c>
      <c r="I84" s="38" t="n"/>
      <c r="J84" s="37" t="n"/>
      <c r="K84" s="37" t="n"/>
    </row>
    <row r="85">
      <c r="A85" s="57" t="n">
        <v>68</v>
      </c>
      <c r="B85" s="158" t="n"/>
      <c r="C85" s="30" t="inlineStr">
        <is>
          <t>01.7.11.06-0028</t>
        </is>
      </c>
      <c r="D85" s="31" t="inlineStr">
        <is>
          <t>Флюс ФКДТ</t>
        </is>
      </c>
      <c r="E85" s="191" t="inlineStr">
        <is>
          <t>кг</t>
        </is>
      </c>
      <c r="F85" s="191" t="n">
        <v>0.002</v>
      </c>
      <c r="G85" s="26" t="n">
        <v>138.76</v>
      </c>
      <c r="H85" s="26">
        <f>ROUND(F85*G85,2)</f>
        <v/>
      </c>
      <c r="I85" s="38" t="n"/>
      <c r="J85" s="37" t="n"/>
      <c r="K85" s="37" t="n"/>
    </row>
    <row r="86">
      <c r="A86" s="57" t="n">
        <v>69</v>
      </c>
      <c r="B86" s="158" t="n"/>
      <c r="C86" s="30" t="inlineStr">
        <is>
          <t>01.7.11.06-0029</t>
        </is>
      </c>
      <c r="D86" s="31" t="inlineStr">
        <is>
          <t>Флюс ФКСП</t>
        </is>
      </c>
      <c r="E86" s="191" t="inlineStr">
        <is>
          <t>кг</t>
        </is>
      </c>
      <c r="F86" s="191" t="n">
        <v>0.0018</v>
      </c>
      <c r="G86" s="26" t="n">
        <v>135.6</v>
      </c>
      <c r="H86" s="26">
        <f>ROUND(F86*G86,2)</f>
        <v/>
      </c>
      <c r="I86" s="38" t="n"/>
      <c r="J86" s="37" t="n"/>
      <c r="K86" s="37" t="n"/>
    </row>
    <row r="87">
      <c r="A87" s="57" t="n">
        <v>70</v>
      </c>
      <c r="B87" s="158" t="n"/>
      <c r="C87" s="30" t="inlineStr">
        <is>
          <t>14.4.02.09-0001</t>
        </is>
      </c>
      <c r="D87" s="31" t="inlineStr">
        <is>
          <t>Краска</t>
        </is>
      </c>
      <c r="E87" s="191" t="inlineStr">
        <is>
          <t>кг</t>
        </is>
      </c>
      <c r="F87" s="191" t="n">
        <v>0.005</v>
      </c>
      <c r="G87" s="26" t="n">
        <v>28.6</v>
      </c>
      <c r="H87" s="26">
        <f>ROUND(F87*G87,2)</f>
        <v/>
      </c>
      <c r="I87" s="38" t="n"/>
      <c r="J87" s="37" t="n"/>
      <c r="K87" s="37" t="n"/>
    </row>
    <row r="88">
      <c r="A88" s="57" t="n">
        <v>71</v>
      </c>
      <c r="B88" s="158" t="n"/>
      <c r="C88" s="30" t="inlineStr">
        <is>
          <t>01.3.05.11-0001</t>
        </is>
      </c>
      <c r="D88" s="31" t="inlineStr">
        <is>
          <t>Дихлорэтан технический, сорт I</t>
        </is>
      </c>
      <c r="E88" s="191" t="inlineStr">
        <is>
          <t>т</t>
        </is>
      </c>
      <c r="F88" s="191" t="n">
        <v>2.24e-05</v>
      </c>
      <c r="G88" s="26" t="n">
        <v>4934.48</v>
      </c>
      <c r="H88" s="26">
        <f>ROUND(F88*G88,2)</f>
        <v/>
      </c>
      <c r="I88" s="38" t="n"/>
      <c r="J88" s="37" t="n"/>
      <c r="K88" s="37" t="n"/>
    </row>
    <row r="89" ht="25.5" customHeight="1" s="119">
      <c r="A89" s="57" t="n">
        <v>72</v>
      </c>
      <c r="B89" s="158" t="n"/>
      <c r="C89" s="30" t="inlineStr">
        <is>
          <t>01.7.06.03-0004</t>
        </is>
      </c>
      <c r="D89" s="31" t="inlineStr">
        <is>
          <t>Лента поливинилхлоридная техническая с липким слоем, толщина 0,4 мм</t>
        </is>
      </c>
      <c r="E89" s="191" t="inlineStr">
        <is>
          <t>кг</t>
        </is>
      </c>
      <c r="F89" s="191" t="n">
        <v>0.004</v>
      </c>
      <c r="G89" s="26" t="n">
        <v>21.3</v>
      </c>
      <c r="H89" s="26">
        <f>ROUND(F89*G89,2)</f>
        <v/>
      </c>
      <c r="I89" s="38" t="n"/>
      <c r="J89" s="37" t="n"/>
      <c r="K89" s="37" t="n"/>
    </row>
    <row r="90">
      <c r="A90" s="57" t="n">
        <v>73</v>
      </c>
      <c r="B90" s="158" t="n"/>
      <c r="C90" s="30" t="inlineStr">
        <is>
          <t>01.7.02.09-0002</t>
        </is>
      </c>
      <c r="D90" s="31" t="inlineStr">
        <is>
          <t>Шпагат бумажный</t>
        </is>
      </c>
      <c r="E90" s="191" t="inlineStr">
        <is>
          <t>кг</t>
        </is>
      </c>
      <c r="F90" s="191" t="n">
        <v>0.0056</v>
      </c>
      <c r="G90" s="26" t="n">
        <v>11.5</v>
      </c>
      <c r="H90" s="26">
        <f>ROUND(F90*G90,2)</f>
        <v/>
      </c>
      <c r="I90" s="38" t="n"/>
      <c r="J90" s="37" t="n"/>
      <c r="K90" s="37" t="n"/>
    </row>
    <row r="91">
      <c r="A91" s="57" t="n">
        <v>74</v>
      </c>
      <c r="B91" s="158" t="n"/>
      <c r="C91" s="30" t="inlineStr">
        <is>
          <t>01.7.03.04-0001</t>
        </is>
      </c>
      <c r="D91" s="31" t="inlineStr">
        <is>
          <t>Электроэнергия</t>
        </is>
      </c>
      <c r="E91" s="191" t="inlineStr">
        <is>
          <t>кВт-ч</t>
        </is>
      </c>
      <c r="F91" s="191" t="n">
        <v>0.12</v>
      </c>
      <c r="G91" s="26" t="n">
        <v>0.4</v>
      </c>
      <c r="H91" s="26">
        <f>ROUND(F91*G91,2)</f>
        <v/>
      </c>
      <c r="I91" s="38" t="n"/>
      <c r="J91" s="37" t="n"/>
      <c r="K91" s="37" t="n"/>
    </row>
    <row r="92">
      <c r="A92" s="57" t="n">
        <v>75</v>
      </c>
      <c r="B92" s="158" t="n"/>
      <c r="C92" s="30" t="inlineStr">
        <is>
          <t>01.7.20.04-0004</t>
        </is>
      </c>
      <c r="D92" s="31" t="inlineStr">
        <is>
          <t>Нитки хлопчатобумажные швейные</t>
        </is>
      </c>
      <c r="E92" s="191" t="inlineStr">
        <is>
          <t>кг</t>
        </is>
      </c>
      <c r="F92" s="191" t="n">
        <v>0.0002</v>
      </c>
      <c r="G92" s="26" t="n">
        <v>100.12</v>
      </c>
      <c r="H92" s="26">
        <f>ROUND(F92*G92,2)</f>
        <v/>
      </c>
      <c r="I92" s="38" t="n"/>
      <c r="J92" s="37" t="n"/>
      <c r="K92" s="37" t="n"/>
    </row>
    <row r="93">
      <c r="A93" s="57" t="n">
        <v>76</v>
      </c>
      <c r="B93" s="158" t="n"/>
      <c r="C93" s="30" t="inlineStr">
        <is>
          <t>999-0005</t>
        </is>
      </c>
      <c r="D93" s="31" t="inlineStr">
        <is>
          <t>Масса</t>
        </is>
      </c>
      <c r="E93" s="191" t="inlineStr">
        <is>
          <t>т</t>
        </is>
      </c>
      <c r="F93" s="191" t="n">
        <v>0.004</v>
      </c>
      <c r="G93" s="26" t="n"/>
      <c r="H93" s="26">
        <f>ROUND(F93*G93,2)</f>
        <v/>
      </c>
      <c r="I93" s="38" t="n"/>
      <c r="J93" s="37" t="n"/>
      <c r="K93" s="37" t="n"/>
    </row>
    <row r="96">
      <c r="B96" s="121" t="inlineStr">
        <is>
          <t>Составил ______________________     Д.Ю. Нефедова</t>
        </is>
      </c>
    </row>
    <row r="97">
      <c r="B97" s="15" t="inlineStr">
        <is>
          <t xml:space="preserve">                         (подпись, инициалы, фамилия)</t>
        </is>
      </c>
    </row>
    <row r="99">
      <c r="B99" s="121" t="inlineStr">
        <is>
          <t>Проверил ______________________        А.В. Костянецкая</t>
        </is>
      </c>
    </row>
    <row r="100">
      <c r="B100" s="15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A34:E34"/>
    <mergeCell ref="A12:E12"/>
    <mergeCell ref="D9:D10"/>
    <mergeCell ref="E9:E10"/>
    <mergeCell ref="A3:H3"/>
    <mergeCell ref="B9:B10"/>
    <mergeCell ref="F9:F10"/>
    <mergeCell ref="A9:A10"/>
    <mergeCell ref="A2:H2"/>
    <mergeCell ref="A37:E37"/>
    <mergeCell ref="A23:E23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19" min="1" max="1"/>
    <col width="36.28515625" customWidth="1" style="119" min="2" max="2"/>
    <col width="18.85546875" customWidth="1" style="119" min="3" max="3"/>
    <col width="18.28515625" customWidth="1" style="119" min="4" max="4"/>
    <col width="18.85546875" customWidth="1" style="119" min="5" max="5"/>
    <col width="11.42578125" customWidth="1" style="119" min="6" max="6"/>
    <col width="14.42578125" customWidth="1" style="119" min="7" max="7"/>
    <col width="13.5703125" customWidth="1" style="119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86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63" t="inlineStr">
        <is>
          <t>Ресурсная модель</t>
        </is>
      </c>
    </row>
    <row r="6">
      <c r="B6" s="59" t="n"/>
      <c r="C6" s="2" t="n"/>
      <c r="D6" s="2" t="n"/>
      <c r="E6" s="2" t="n"/>
    </row>
    <row r="7" ht="38.25" customHeight="1" s="119">
      <c r="B7" s="164" t="inlineStr">
        <is>
          <t>Наименование разрабатываемого показателя УНЦ — Установка ПТК СМиУКЭ</t>
        </is>
      </c>
    </row>
    <row r="8">
      <c r="B8" s="165" t="inlineStr">
        <is>
          <t>Единица измерения  — 1 ед.</t>
        </is>
      </c>
    </row>
    <row r="9">
      <c r="B9" s="59" t="n"/>
      <c r="C9" s="2" t="n"/>
      <c r="D9" s="2" t="n"/>
      <c r="E9" s="2" t="n"/>
    </row>
    <row r="10" ht="51" customHeight="1" s="119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>
      <c r="B11" s="17" t="inlineStr">
        <is>
          <t>Оплата труда рабочих</t>
        </is>
      </c>
      <c r="C11" s="60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17" t="inlineStr">
        <is>
          <t>Эксплуатация машин основных</t>
        </is>
      </c>
      <c r="C12" s="60">
        <f>'Прил.5 Расчет СМР и ОБ'!J23</f>
        <v/>
      </c>
      <c r="D12" s="61">
        <f>C12/$C$24</f>
        <v/>
      </c>
      <c r="E12" s="61">
        <f>C12/$C$40</f>
        <v/>
      </c>
    </row>
    <row r="13">
      <c r="B13" s="17" t="inlineStr">
        <is>
          <t>Эксплуатация машин прочих</t>
        </is>
      </c>
      <c r="C13" s="60">
        <f>'Прил.5 Расчет СМР и ОБ'!J30</f>
        <v/>
      </c>
      <c r="D13" s="61">
        <f>C13/$C$24</f>
        <v/>
      </c>
      <c r="E13" s="61">
        <f>C13/$C$40</f>
        <v/>
      </c>
    </row>
    <row r="14">
      <c r="B14" s="17" t="inlineStr">
        <is>
          <t>ЭКСПЛУАТАЦИЯ МАШИН, ВСЕГО:</t>
        </is>
      </c>
      <c r="C14" s="60">
        <f>C13+C12</f>
        <v/>
      </c>
      <c r="D14" s="61">
        <f>C14/$C$24</f>
        <v/>
      </c>
      <c r="E14" s="61">
        <f>C14/$C$40</f>
        <v/>
      </c>
    </row>
    <row r="15">
      <c r="B15" s="17" t="inlineStr">
        <is>
          <t>в том числе зарплата машинистов</t>
        </is>
      </c>
      <c r="C15" s="60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17" t="inlineStr">
        <is>
          <t>Материалы основные</t>
        </is>
      </c>
      <c r="C16" s="60">
        <f>'Прил.5 Расчет СМР и ОБ'!J44</f>
        <v/>
      </c>
      <c r="D16" s="61">
        <f>C16/$C$24</f>
        <v/>
      </c>
      <c r="E16" s="61">
        <f>C16/$C$40</f>
        <v/>
      </c>
    </row>
    <row r="17">
      <c r="B17" s="17" t="inlineStr">
        <is>
          <t>Материалы прочие</t>
        </is>
      </c>
      <c r="C17" s="60">
        <f>'Прил.5 Расчет СМР и ОБ'!J98</f>
        <v/>
      </c>
      <c r="D17" s="61">
        <f>C17/$C$24</f>
        <v/>
      </c>
      <c r="E17" s="61">
        <f>C17/$C$40</f>
        <v/>
      </c>
      <c r="G17" s="220" t="n"/>
    </row>
    <row r="18">
      <c r="B18" s="17" t="inlineStr">
        <is>
          <t>МАТЕРИАЛЫ, ВСЕГО:</t>
        </is>
      </c>
      <c r="C18" s="60">
        <f>C17+C16</f>
        <v/>
      </c>
      <c r="D18" s="61">
        <f>C18/$C$24</f>
        <v/>
      </c>
      <c r="E18" s="61">
        <f>C18/$C$40</f>
        <v/>
      </c>
    </row>
    <row r="19">
      <c r="B19" s="17" t="inlineStr">
        <is>
          <t>ИТОГО</t>
        </is>
      </c>
      <c r="C19" s="60">
        <f>C18+C14+C11</f>
        <v/>
      </c>
      <c r="D19" s="61" t="n"/>
      <c r="E19" s="17" t="n"/>
    </row>
    <row r="20">
      <c r="B20" s="17" t="inlineStr">
        <is>
          <t>Сметная прибыль, руб.</t>
        </is>
      </c>
      <c r="C20" s="60">
        <f>ROUND(C21*(C11+C15),2)</f>
        <v/>
      </c>
      <c r="D20" s="61">
        <f>C20/$C$24</f>
        <v/>
      </c>
      <c r="E20" s="61">
        <f>C20/$C$40</f>
        <v/>
      </c>
    </row>
    <row r="21">
      <c r="B21" s="17" t="inlineStr">
        <is>
          <t>Сметная прибыль, %</t>
        </is>
      </c>
      <c r="C21" s="63">
        <f>'Прил.5 Расчет СМР и ОБ'!D102</f>
        <v/>
      </c>
      <c r="D21" s="61" t="n"/>
      <c r="E21" s="17" t="n"/>
    </row>
    <row r="22">
      <c r="B22" s="17" t="inlineStr">
        <is>
          <t>Накладные расходы, руб.</t>
        </is>
      </c>
      <c r="C22" s="60">
        <f>ROUND(C23*(C11+C15),2)</f>
        <v/>
      </c>
      <c r="D22" s="61">
        <f>C22/$C$24</f>
        <v/>
      </c>
      <c r="E22" s="61">
        <f>C22/$C$40</f>
        <v/>
      </c>
    </row>
    <row r="23">
      <c r="B23" s="17" t="inlineStr">
        <is>
          <t>Накладные расходы, %</t>
        </is>
      </c>
      <c r="C23" s="63">
        <f>'Прил.5 Расчет СМР и ОБ'!D101</f>
        <v/>
      </c>
      <c r="D23" s="61" t="n"/>
      <c r="E23" s="17" t="n"/>
    </row>
    <row r="24">
      <c r="B24" s="17" t="inlineStr">
        <is>
          <t>ВСЕГО СМР с НР и СП</t>
        </is>
      </c>
      <c r="C24" s="60">
        <f>C19+C20+C22</f>
        <v/>
      </c>
      <c r="D24" s="61">
        <f>C24/$C$24</f>
        <v/>
      </c>
      <c r="E24" s="61">
        <f>C24/$C$40</f>
        <v/>
      </c>
    </row>
    <row r="25" ht="25.5" customHeight="1" s="119">
      <c r="B25" s="17" t="inlineStr">
        <is>
          <t>ВСЕГО стоимость оборудования, в том числе</t>
        </is>
      </c>
      <c r="C25" s="60">
        <f>'Прил.5 Расчет СМР и ОБ'!J37</f>
        <v/>
      </c>
      <c r="D25" s="61" t="n"/>
      <c r="E25" s="61">
        <f>C25/$C$40</f>
        <v/>
      </c>
    </row>
    <row r="26" ht="25.5" customHeight="1" s="119">
      <c r="B26" s="17" t="inlineStr">
        <is>
          <t>стоимость оборудования технологического</t>
        </is>
      </c>
      <c r="C26" s="60">
        <f>'Прил.5 Расчет СМР и ОБ'!J38</f>
        <v/>
      </c>
      <c r="D26" s="61" t="n"/>
      <c r="E26" s="61">
        <f>C26/$C$40</f>
        <v/>
      </c>
    </row>
    <row r="27">
      <c r="B27" s="17" t="inlineStr">
        <is>
          <t>ИТОГО (СМР + ОБОРУДОВАНИЕ)</t>
        </is>
      </c>
      <c r="C27" s="11">
        <f>C24+C25</f>
        <v/>
      </c>
      <c r="D27" s="61" t="n"/>
      <c r="E27" s="61">
        <f>C27/$C$40</f>
        <v/>
      </c>
    </row>
    <row r="28" ht="33" customHeight="1" s="119">
      <c r="B28" s="17" t="inlineStr">
        <is>
          <t>ПРОЧ. ЗАТР., УЧТЕННЫЕ ПОКАЗАТЕЛЕМ,  в том числе</t>
        </is>
      </c>
      <c r="C28" s="17" t="n"/>
      <c r="D28" s="17" t="n"/>
      <c r="E28" s="17" t="n"/>
      <c r="F28" s="64" t="n"/>
    </row>
    <row r="29" ht="25.5" customHeight="1" s="119">
      <c r="B29" s="17" t="inlineStr">
        <is>
          <t>Временные здания и сооружения - 3,9%</t>
        </is>
      </c>
      <c r="C29" s="11">
        <f>ROUND(C24*3.9%,2)</f>
        <v/>
      </c>
      <c r="D29" s="17" t="n"/>
      <c r="E29" s="61">
        <f>C29/$C$40</f>
        <v/>
      </c>
    </row>
    <row r="30" ht="38.25" customHeight="1" s="119">
      <c r="B30" s="17" t="inlineStr">
        <is>
          <t>Дополнительные затраты при производстве строительно-монтажных работ в зимнее время - 2,1%</t>
        </is>
      </c>
      <c r="C30" s="11">
        <f>ROUND((C24+C29)*2.1%,2)</f>
        <v/>
      </c>
      <c r="D30" s="17" t="n"/>
      <c r="E30" s="61">
        <f>C30/$C$40</f>
        <v/>
      </c>
      <c r="F30" s="64" t="n"/>
    </row>
    <row r="31">
      <c r="B31" s="17" t="inlineStr">
        <is>
          <t>Пусконаладочные работы</t>
        </is>
      </c>
      <c r="C31" s="11" t="n">
        <v>316144.1</v>
      </c>
      <c r="D31" s="17" t="n"/>
      <c r="E31" s="61">
        <f>C31/$C$40</f>
        <v/>
      </c>
    </row>
    <row r="32" ht="25.5" customHeight="1" s="119">
      <c r="B32" s="17" t="inlineStr">
        <is>
          <t>Затраты по перевозке работников к месту работы и обратно</t>
        </is>
      </c>
      <c r="C32" s="11" t="n">
        <v>0</v>
      </c>
      <c r="D32" s="17" t="n"/>
      <c r="E32" s="61">
        <f>C32/$C$40</f>
        <v/>
      </c>
    </row>
    <row r="33" ht="25.5" customHeight="1" s="119">
      <c r="B33" s="17" t="inlineStr">
        <is>
          <t>Затраты, связанные с осуществлением работ вахтовым методом</t>
        </is>
      </c>
      <c r="C33" s="11" t="n">
        <v>0</v>
      </c>
      <c r="D33" s="17" t="n"/>
      <c r="E33" s="61">
        <f>C33/$C$40</f>
        <v/>
      </c>
    </row>
    <row r="34" ht="51" customHeight="1" s="119">
      <c r="B34" s="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" t="n">
        <v>0</v>
      </c>
      <c r="D34" s="17" t="n"/>
      <c r="E34" s="61">
        <f>C34/$C$40</f>
        <v/>
      </c>
      <c r="H34" s="38" t="n"/>
    </row>
    <row r="35" ht="76.5" customHeight="1" s="119">
      <c r="B35" s="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" t="n">
        <v>0</v>
      </c>
      <c r="D35" s="17" t="n"/>
      <c r="E35" s="61">
        <f>C35/$C$40</f>
        <v/>
      </c>
    </row>
    <row r="36" ht="25.5" customHeight="1" s="119">
      <c r="B36" s="17" t="inlineStr">
        <is>
          <t>Строительный контроль и содержание службы заказчика - 2,14%</t>
        </is>
      </c>
      <c r="C36" s="11">
        <f>ROUND((C27+C32+C33+C34+C35+C29+C31+C30)*2.14%,2)</f>
        <v/>
      </c>
      <c r="D36" s="17" t="n"/>
      <c r="E36" s="61">
        <f>C36/$C$40</f>
        <v/>
      </c>
      <c r="L36" s="64" t="n"/>
    </row>
    <row r="37">
      <c r="B37" s="17" t="inlineStr">
        <is>
          <t>Авторский надзор - 0,2%</t>
        </is>
      </c>
      <c r="C37" s="11">
        <f>ROUND((C27+C32+C33+C34+C35+C29+C31+C30)*0.2%,2)</f>
        <v/>
      </c>
      <c r="D37" s="17" t="n"/>
      <c r="E37" s="61">
        <f>C37/$C$40</f>
        <v/>
      </c>
      <c r="L37" s="64" t="n"/>
    </row>
    <row r="38" ht="38.25" customHeight="1" s="119">
      <c r="B38" s="17" t="inlineStr">
        <is>
          <t>ИТОГО (СМР+ОБОРУДОВАНИЕ+ПРОЧ. ЗАТР., УЧТЕННЫЕ ПОКАЗАТЕЛЕМ)</t>
        </is>
      </c>
      <c r="C38" s="60">
        <f>C27+C32+C33+C34+C35+C29+C31+C30+C36+C37</f>
        <v/>
      </c>
      <c r="D38" s="17" t="n"/>
      <c r="E38" s="61">
        <f>C38/$C$40</f>
        <v/>
      </c>
    </row>
    <row r="39" ht="13.7" customHeight="1" s="119">
      <c r="B39" s="17" t="inlineStr">
        <is>
          <t>Непредвиденные расходы</t>
        </is>
      </c>
      <c r="C39" s="60">
        <f>ROUND(C38*3%,2)</f>
        <v/>
      </c>
      <c r="D39" s="17" t="n"/>
      <c r="E39" s="61">
        <f>C39/$C$38</f>
        <v/>
      </c>
    </row>
    <row r="40">
      <c r="B40" s="17" t="inlineStr">
        <is>
          <t>ВСЕГО:</t>
        </is>
      </c>
      <c r="C40" s="60">
        <f>C39+C38</f>
        <v/>
      </c>
      <c r="D40" s="17" t="n"/>
      <c r="E40" s="61">
        <f>C40/$C$40</f>
        <v/>
      </c>
    </row>
    <row r="41">
      <c r="B41" s="17" t="inlineStr">
        <is>
          <t>ИТОГО ПОКАЗАТЕЛЬ НА ЕД. ИЗМ.</t>
        </is>
      </c>
      <c r="C41" s="60">
        <f>C40/'Прил.5 Расчет СМР и ОБ'!E105</f>
        <v/>
      </c>
      <c r="D41" s="17" t="n"/>
      <c r="E41" s="17" t="n"/>
    </row>
    <row r="42">
      <c r="B42" s="16" t="n"/>
      <c r="C42" s="2" t="n"/>
      <c r="D42" s="2" t="n"/>
      <c r="E42" s="2" t="n"/>
    </row>
    <row r="43">
      <c r="B43" s="16" t="inlineStr">
        <is>
          <t>Составил ____________________________ Д.Ю. Нефедова</t>
        </is>
      </c>
      <c r="C43" s="2" t="n"/>
      <c r="D43" s="2" t="n"/>
      <c r="E43" s="2" t="n"/>
    </row>
    <row r="44">
      <c r="B44" s="1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16" t="n"/>
      <c r="C45" s="2" t="n"/>
      <c r="D45" s="2" t="n"/>
      <c r="E45" s="2" t="n"/>
    </row>
    <row r="46">
      <c r="B46" s="1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65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11"/>
  <sheetViews>
    <sheetView view="pageBreakPreview" topLeftCell="A98" zoomScale="70" workbookViewId="0">
      <selection activeCell="C43" sqref="C43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64" customWidth="1" style="4" min="3" max="3"/>
    <col width="10.7109375" customWidth="1" style="4" min="4" max="4"/>
    <col width="12.7109375" customWidth="1" style="4" min="5" max="5"/>
    <col width="1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9.140625" customWidth="1" style="4" min="12" max="12"/>
  </cols>
  <sheetData>
    <row r="1">
      <c r="M1" s="4" t="n"/>
      <c r="N1" s="4" t="n"/>
    </row>
    <row r="2" ht="15.75" customHeight="1" s="119">
      <c r="H2" s="180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63" t="inlineStr">
        <is>
          <t>Расчет стоимости СМР и оборудования</t>
        </is>
      </c>
    </row>
    <row r="5" ht="12.75" customFormat="1" customHeight="1" s="2">
      <c r="A5" s="163" t="n"/>
      <c r="B5" s="163" t="n"/>
      <c r="C5" s="65" t="n"/>
      <c r="D5" s="163" t="n"/>
      <c r="E5" s="163" t="n"/>
      <c r="F5" s="163" t="n"/>
      <c r="G5" s="163" t="n"/>
      <c r="H5" s="163" t="n"/>
      <c r="I5" s="163" t="n"/>
      <c r="J5" s="163" t="n"/>
    </row>
    <row r="6" ht="27.75" customFormat="1" customHeight="1" s="2">
      <c r="A6" s="66" t="inlineStr">
        <is>
          <t>Наименование разрабатываемого показателя УНЦ</t>
        </is>
      </c>
      <c r="B6" s="67" t="n"/>
      <c r="C6" s="67" t="n"/>
      <c r="D6" s="185" t="inlineStr">
        <is>
          <t>Установка ПТК СМиУКЭ</t>
        </is>
      </c>
    </row>
    <row r="7" ht="12.75" customFormat="1" customHeight="1" s="2">
      <c r="A7" s="181" t="inlineStr">
        <is>
          <t>Единица измерения  — 1 ед.</t>
        </is>
      </c>
      <c r="I7" s="164" t="n"/>
      <c r="J7" s="164" t="n"/>
    </row>
    <row r="8" ht="13.7" customFormat="1" customHeight="1" s="2">
      <c r="A8" s="181" t="n"/>
    </row>
    <row r="9" ht="27" customHeight="1" s="119">
      <c r="A9" s="172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208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208" t="n"/>
      <c r="M9" s="4" t="n"/>
      <c r="N9" s="4" t="n"/>
    </row>
    <row r="10" ht="28.5" customHeight="1" s="119">
      <c r="A10" s="210" t="n"/>
      <c r="B10" s="210" t="n"/>
      <c r="C10" s="210" t="n"/>
      <c r="D10" s="210" t="n"/>
      <c r="E10" s="210" t="n"/>
      <c r="F10" s="172" t="inlineStr">
        <is>
          <t>на ед. изм.</t>
        </is>
      </c>
      <c r="G10" s="172" t="inlineStr">
        <is>
          <t>общая</t>
        </is>
      </c>
      <c r="H10" s="210" t="n"/>
      <c r="I10" s="172" t="inlineStr">
        <is>
          <t>на ед. изм.</t>
        </is>
      </c>
      <c r="J10" s="172" t="inlineStr">
        <is>
          <t>общая</t>
        </is>
      </c>
      <c r="M10" s="4" t="n"/>
      <c r="N10" s="4" t="n"/>
    </row>
    <row r="11">
      <c r="A11" s="172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67" t="n">
        <v>9</v>
      </c>
      <c r="J11" s="167" t="n">
        <v>10</v>
      </c>
      <c r="M11" s="4" t="n"/>
      <c r="N11" s="4" t="n"/>
    </row>
    <row r="12">
      <c r="A12" s="172" t="n"/>
      <c r="B12" s="156" t="inlineStr">
        <is>
          <t>Затраты труда рабочих-строителей</t>
        </is>
      </c>
      <c r="C12" s="207" t="n"/>
      <c r="D12" s="207" t="n"/>
      <c r="E12" s="207" t="n"/>
      <c r="F12" s="207" t="n"/>
      <c r="G12" s="207" t="n"/>
      <c r="H12" s="208" t="n"/>
      <c r="I12" s="34" t="n"/>
      <c r="J12" s="34" t="n"/>
    </row>
    <row r="13">
      <c r="A13" s="172" t="n">
        <v>1</v>
      </c>
      <c r="B13" s="39" t="inlineStr">
        <is>
          <t>1-3-9</t>
        </is>
      </c>
      <c r="C13" s="171" t="inlineStr">
        <is>
          <t>Затраты труда рабочих-строителей среднего разряда (3,9)</t>
        </is>
      </c>
      <c r="D13" s="172" t="inlineStr">
        <is>
          <t>чел.-ч.</t>
        </is>
      </c>
      <c r="E13" s="221">
        <f>G13/F13</f>
        <v/>
      </c>
      <c r="F13" s="5" t="n">
        <v>9.51</v>
      </c>
      <c r="G13" s="5">
        <f>'Прил. 3'!H12</f>
        <v/>
      </c>
      <c r="H13" s="68">
        <f>G13/$G$14</f>
        <v/>
      </c>
      <c r="I13" s="5">
        <f>'ФОТр.тек.'!E13</f>
        <v/>
      </c>
      <c r="J13" s="5">
        <f>ROUND(I13*E13,2)</f>
        <v/>
      </c>
    </row>
    <row r="14" ht="28.5" customFormat="1" customHeight="1" s="4">
      <c r="A14" s="172" t="n"/>
      <c r="B14" s="172" t="n"/>
      <c r="C14" s="156" t="inlineStr">
        <is>
          <t>Итого по разделу "Затраты труда рабочих-строителей"</t>
        </is>
      </c>
      <c r="D14" s="172" t="inlineStr">
        <is>
          <t>чел.-ч.</t>
        </is>
      </c>
      <c r="E14" s="221">
        <f>SUM(E13:E13)</f>
        <v/>
      </c>
      <c r="F14" s="5" t="n"/>
      <c r="G14" s="5">
        <f>SUM(G13:G13)</f>
        <v/>
      </c>
      <c r="H14" s="175">
        <f>SUM(H13:H13)</f>
        <v/>
      </c>
      <c r="I14" s="34" t="n"/>
      <c r="J14" s="5">
        <f>SUM(J13:J13)</f>
        <v/>
      </c>
    </row>
    <row r="15" ht="14.25" customFormat="1" customHeight="1" s="4">
      <c r="A15" s="172" t="n"/>
      <c r="B15" s="171" t="inlineStr">
        <is>
          <t>Затраты труда машинистов</t>
        </is>
      </c>
      <c r="C15" s="207" t="n"/>
      <c r="D15" s="207" t="n"/>
      <c r="E15" s="207" t="n"/>
      <c r="F15" s="207" t="n"/>
      <c r="G15" s="207" t="n"/>
      <c r="H15" s="208" t="n"/>
      <c r="I15" s="34" t="n"/>
      <c r="J15" s="34" t="n"/>
    </row>
    <row r="16" ht="14.25" customFormat="1" customHeight="1" s="4">
      <c r="A16" s="172" t="n">
        <v>2</v>
      </c>
      <c r="B16" s="172" t="n">
        <v>2</v>
      </c>
      <c r="C16" s="171" t="inlineStr">
        <is>
          <t>Затраты труда машинистов</t>
        </is>
      </c>
      <c r="D16" s="172" t="inlineStr">
        <is>
          <t>чел.-ч.</t>
        </is>
      </c>
      <c r="E16" s="221">
        <f>'Прил. 3'!F22</f>
        <v/>
      </c>
      <c r="F16" s="5">
        <f>G16/E16</f>
        <v/>
      </c>
      <c r="G16" s="5">
        <f>'Прил. 3'!H21</f>
        <v/>
      </c>
      <c r="H16" s="175" t="n">
        <v>1</v>
      </c>
      <c r="I16" s="5">
        <f>ROUND(F16*'Прил. 10'!D11,2)</f>
        <v/>
      </c>
      <c r="J16" s="5">
        <f>ROUND(I16*E16,2)</f>
        <v/>
      </c>
    </row>
    <row r="17" ht="14.25" customFormat="1" customHeight="1" s="4">
      <c r="A17" s="172" t="n"/>
      <c r="B17" s="156" t="inlineStr">
        <is>
          <t>Машины и механизмы</t>
        </is>
      </c>
      <c r="C17" s="207" t="n"/>
      <c r="D17" s="207" t="n"/>
      <c r="E17" s="207" t="n"/>
      <c r="F17" s="207" t="n"/>
      <c r="G17" s="207" t="n"/>
      <c r="H17" s="208" t="n"/>
      <c r="I17" s="34" t="n"/>
      <c r="J17" s="34" t="n"/>
    </row>
    <row r="18" ht="14.25" customFormat="1" customHeight="1" s="4">
      <c r="A18" s="172" t="n"/>
      <c r="B18" s="171" t="inlineStr">
        <is>
          <t>Основные машины и механизмы</t>
        </is>
      </c>
      <c r="C18" s="207" t="n"/>
      <c r="D18" s="207" t="n"/>
      <c r="E18" s="207" t="n"/>
      <c r="F18" s="207" t="n"/>
      <c r="G18" s="207" t="n"/>
      <c r="H18" s="208" t="n"/>
      <c r="I18" s="34" t="n"/>
      <c r="J18" s="34" t="n"/>
    </row>
    <row r="19" ht="14.25" customFormat="1" customHeight="1" s="4">
      <c r="A19" s="172" t="n">
        <v>3</v>
      </c>
      <c r="B19" s="39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172" t="inlineStr">
        <is>
          <t>маш.час</t>
        </is>
      </c>
      <c r="E19" s="221" t="n">
        <v>1.27</v>
      </c>
      <c r="F19" s="174" t="n">
        <v>115.4</v>
      </c>
      <c r="G19" s="5">
        <f>ROUND(E19*F19,2)</f>
        <v/>
      </c>
      <c r="H19" s="68">
        <f>G19/$G$31</f>
        <v/>
      </c>
      <c r="I19" s="5">
        <f>ROUND(F19*'Прил. 10'!$D$12,2)</f>
        <v/>
      </c>
      <c r="J19" s="5">
        <f>ROUND(I19*E19,2)</f>
        <v/>
      </c>
    </row>
    <row r="20" ht="14.25" customFormat="1" customHeight="1" s="4">
      <c r="A20" s="172" t="n">
        <v>4</v>
      </c>
      <c r="B20" s="39" t="inlineStr">
        <is>
          <t>91.05.04-010</t>
        </is>
      </c>
      <c r="C20" s="171" t="inlineStr">
        <is>
          <t>Краны мостовые электрические, грузоподъемность 50 т</t>
        </is>
      </c>
      <c r="D20" s="172" t="inlineStr">
        <is>
          <t>маш.час</t>
        </is>
      </c>
      <c r="E20" s="221" t="n">
        <v>0.61</v>
      </c>
      <c r="F20" s="174" t="n">
        <v>197.01</v>
      </c>
      <c r="G20" s="5">
        <f>ROUND(E20*F20,2)</f>
        <v/>
      </c>
      <c r="H20" s="68">
        <f>G20/$G$31</f>
        <v/>
      </c>
      <c r="I20" s="5">
        <f>ROUND(F20*'Прил. 10'!$D$12,2)</f>
        <v/>
      </c>
      <c r="J20" s="5">
        <f>ROUND(I20*E20,2)</f>
        <v/>
      </c>
    </row>
    <row r="21" ht="14.25" customFormat="1" customHeight="1" s="4">
      <c r="A21" s="172" t="n">
        <v>5</v>
      </c>
      <c r="B21" s="3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172" t="inlineStr">
        <is>
          <t>маш.час</t>
        </is>
      </c>
      <c r="E21" s="221" t="n">
        <v>1.29</v>
      </c>
      <c r="F21" s="174" t="n">
        <v>65.70999999999999</v>
      </c>
      <c r="G21" s="5">
        <f>ROUND(E21*F21,2)</f>
        <v/>
      </c>
      <c r="H21" s="68">
        <f>G21/$G$31</f>
        <v/>
      </c>
      <c r="I21" s="5">
        <f>ROUND(F21*'Прил. 10'!$D$12,2)</f>
        <v/>
      </c>
      <c r="J21" s="5">
        <f>ROUND(I21*E21,2)</f>
        <v/>
      </c>
    </row>
    <row r="22" ht="14.25" customFormat="1" customHeight="1" s="4">
      <c r="A22" s="172" t="n">
        <v>6</v>
      </c>
      <c r="B22" s="39" t="inlineStr">
        <is>
          <t>91.17.04-233</t>
        </is>
      </c>
      <c r="C22" s="171" t="inlineStr">
        <is>
          <t>Установки для сварки ручной дуговой (постоянного тока)</t>
        </is>
      </c>
      <c r="D22" s="172" t="inlineStr">
        <is>
          <t>маш.час</t>
        </is>
      </c>
      <c r="E22" s="221" t="n">
        <v>9.17</v>
      </c>
      <c r="F22" s="174" t="n">
        <v>8.1</v>
      </c>
      <c r="G22" s="5">
        <f>ROUND(E22*F22,2)</f>
        <v/>
      </c>
      <c r="H22" s="68">
        <f>G22/$G$31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72" t="n"/>
      <c r="B23" s="172" t="n"/>
      <c r="C23" s="171" t="inlineStr">
        <is>
          <t>Итого основные машины и механизмы</t>
        </is>
      </c>
      <c r="D23" s="172" t="n"/>
      <c r="E23" s="221" t="n"/>
      <c r="F23" s="5" t="n"/>
      <c r="G23" s="5">
        <f>SUM(G19:G22)</f>
        <v/>
      </c>
      <c r="H23" s="175">
        <f>G23/G31</f>
        <v/>
      </c>
      <c r="I23" s="35" t="n"/>
      <c r="J23" s="5">
        <f>SUM(J19:J22)</f>
        <v/>
      </c>
    </row>
    <row r="24" hidden="1" outlineLevel="1" ht="14.25" customFormat="1" customHeight="1" s="4">
      <c r="A24" s="172" t="n">
        <v>7</v>
      </c>
      <c r="B24" s="39" t="inlineStr">
        <is>
          <t>91.06.03-061</t>
        </is>
      </c>
      <c r="C24" s="171" t="inlineStr">
        <is>
          <t>Лебедки электрические тяговым усилием до 12,26 кН (1,25 т)</t>
        </is>
      </c>
      <c r="D24" s="172" t="inlineStr">
        <is>
          <t>маш.час</t>
        </is>
      </c>
      <c r="E24" s="221" t="n">
        <v>3.52</v>
      </c>
      <c r="F24" s="174" t="n">
        <v>3.28</v>
      </c>
      <c r="G24" s="5">
        <f>ROUND(E24*F24,2)</f>
        <v/>
      </c>
      <c r="H24" s="68">
        <f>G24/$G$31</f>
        <v/>
      </c>
      <c r="I24" s="5">
        <f>ROUND(F24*'Прил. 10'!$D$12,2)</f>
        <v/>
      </c>
      <c r="J24" s="5">
        <f>ROUND(I24*E24,2)</f>
        <v/>
      </c>
    </row>
    <row r="25" hidden="1" outlineLevel="1" ht="14.25" customFormat="1" customHeight="1" s="4">
      <c r="A25" s="172" t="n">
        <v>8</v>
      </c>
      <c r="B25" s="39" t="inlineStr">
        <is>
          <t>91.17.04-161</t>
        </is>
      </c>
      <c r="C25" s="171" t="inlineStr">
        <is>
          <t>Полуавтоматы сварочные номинальным сварочным током 40-500 А</t>
        </is>
      </c>
      <c r="D25" s="172" t="inlineStr">
        <is>
          <t>маш.час</t>
        </is>
      </c>
      <c r="E25" s="221" t="n">
        <v>0.2</v>
      </c>
      <c r="F25" s="174" t="n">
        <v>16.44</v>
      </c>
      <c r="G25" s="5">
        <f>ROUND(E25*F25,2)</f>
        <v/>
      </c>
      <c r="H25" s="68">
        <f>G25/$G$31</f>
        <v/>
      </c>
      <c r="I25" s="5">
        <f>ROUND(F25*'Прил. 10'!$D$12,2)</f>
        <v/>
      </c>
      <c r="J25" s="5">
        <f>ROUND(I25*E25,2)</f>
        <v/>
      </c>
    </row>
    <row r="26" hidden="1" outlineLevel="1" ht="14.25" customFormat="1" customHeight="1" s="4">
      <c r="A26" s="172" t="n">
        <v>9</v>
      </c>
      <c r="B26" s="39" t="inlineStr">
        <is>
          <t>91.06.01-003</t>
        </is>
      </c>
      <c r="C26" s="171" t="inlineStr">
        <is>
          <t>Домкраты гидравлические, грузоподъемность 63-100 т</t>
        </is>
      </c>
      <c r="D26" s="172" t="inlineStr">
        <is>
          <t>маш.час</t>
        </is>
      </c>
      <c r="E26" s="221" t="n">
        <v>3.52</v>
      </c>
      <c r="F26" s="174" t="n">
        <v>0.9</v>
      </c>
      <c r="G26" s="5">
        <f>ROUND(E26*F26,2)</f>
        <v/>
      </c>
      <c r="H26" s="68">
        <f>G26/$G$31</f>
        <v/>
      </c>
      <c r="I26" s="5">
        <f>ROUND(F26*'Прил. 10'!$D$12,2)</f>
        <v/>
      </c>
      <c r="J26" s="5">
        <f>ROUND(I26*E26,2)</f>
        <v/>
      </c>
    </row>
    <row r="27" hidden="1" outlineLevel="1" ht="14.25" customFormat="1" customHeight="1" s="4">
      <c r="A27" s="172" t="n">
        <v>10</v>
      </c>
      <c r="B27" s="39" t="inlineStr">
        <is>
          <t>91.17.04-233</t>
        </is>
      </c>
      <c r="C27" s="171" t="inlineStr">
        <is>
          <t>Установки для сварки: ручной дуговой (постоянного тока)</t>
        </is>
      </c>
      <c r="D27" s="172" t="inlineStr">
        <is>
          <t>маш.час</t>
        </is>
      </c>
      <c r="E27" s="221" t="n">
        <v>0.25</v>
      </c>
      <c r="F27" s="174" t="n">
        <v>8.1</v>
      </c>
      <c r="G27" s="5">
        <f>ROUND(E27*F27,2)</f>
        <v/>
      </c>
      <c r="H27" s="68">
        <f>G27/$G$31</f>
        <v/>
      </c>
      <c r="I27" s="5">
        <f>ROUND(F27*'Прил. 10'!$D$12,2)</f>
        <v/>
      </c>
      <c r="J27" s="5">
        <f>ROUND(I27*E27,2)</f>
        <v/>
      </c>
    </row>
    <row r="28" hidden="1" outlineLevel="1" ht="14.25" customFormat="1" customHeight="1" s="4">
      <c r="A28" s="172" t="n">
        <v>11</v>
      </c>
      <c r="B28" s="39" t="inlineStr">
        <is>
          <t>91.05.05-014</t>
        </is>
      </c>
      <c r="C28" s="171" t="inlineStr">
        <is>
          <t>Краны на автомобильном ходу, грузоподъемность 10 т</t>
        </is>
      </c>
      <c r="D28" s="172" t="inlineStr">
        <is>
          <t>маш.час</t>
        </is>
      </c>
      <c r="E28" s="221" t="n">
        <v>0.01</v>
      </c>
      <c r="F28" s="174" t="n">
        <v>111.99</v>
      </c>
      <c r="G28" s="5">
        <f>ROUND(E28*F28,2)</f>
        <v/>
      </c>
      <c r="H28" s="68">
        <f>G28/$G$31</f>
        <v/>
      </c>
      <c r="I28" s="5">
        <f>ROUND(F28*'Прил. 10'!$D$12,2)</f>
        <v/>
      </c>
      <c r="J28" s="5">
        <f>ROUND(I28*E28,2)</f>
        <v/>
      </c>
    </row>
    <row r="29" hidden="1" outlineLevel="1" ht="14.25" customFormat="1" customHeight="1" s="4">
      <c r="A29" s="172" t="n">
        <v>12</v>
      </c>
      <c r="B29" s="39" t="inlineStr">
        <is>
          <t>91.14.02-001</t>
        </is>
      </c>
      <c r="C29" s="171" t="inlineStr">
        <is>
          <t>Автомобили бортовые, грузоподъемность: до 5 т</t>
        </is>
      </c>
      <c r="D29" s="172" t="inlineStr">
        <is>
          <t>маш.час</t>
        </is>
      </c>
      <c r="E29" s="221" t="n">
        <v>0.01</v>
      </c>
      <c r="F29" s="174" t="n">
        <v>65.70999999999999</v>
      </c>
      <c r="G29" s="5">
        <f>ROUND(E29*F29,2)</f>
        <v/>
      </c>
      <c r="H29" s="68">
        <f>G29/$G$31</f>
        <v/>
      </c>
      <c r="I29" s="5">
        <f>ROUND(F29*'Прил. 10'!$D$12,2)</f>
        <v/>
      </c>
      <c r="J29" s="5">
        <f>ROUND(I29*E29,2)</f>
        <v/>
      </c>
    </row>
    <row r="30" collapsed="1" ht="14.25" customFormat="1" customHeight="1" s="4">
      <c r="A30" s="172" t="n"/>
      <c r="B30" s="172" t="n"/>
      <c r="C30" s="171" t="inlineStr">
        <is>
          <t>Итого прочие машины и механизмы</t>
        </is>
      </c>
      <c r="D30" s="172" t="n"/>
      <c r="E30" s="173" t="n"/>
      <c r="F30" s="5" t="n"/>
      <c r="G30" s="35">
        <f>SUM(G24:G29)</f>
        <v/>
      </c>
      <c r="H30" s="68">
        <f>G30/G31</f>
        <v/>
      </c>
      <c r="I30" s="5" t="n"/>
      <c r="J30" s="35">
        <f>SUM(J24:J29)</f>
        <v/>
      </c>
    </row>
    <row r="31" ht="24" customFormat="1" customHeight="1" s="4">
      <c r="A31" s="172" t="n"/>
      <c r="B31" s="172" t="n"/>
      <c r="C31" s="156" t="inlineStr">
        <is>
          <t>Итого по разделу «Машины и механизмы»</t>
        </is>
      </c>
      <c r="D31" s="172" t="n"/>
      <c r="E31" s="173" t="n"/>
      <c r="F31" s="5" t="n"/>
      <c r="G31" s="5">
        <f>G23+G30</f>
        <v/>
      </c>
      <c r="H31" s="175">
        <f>H23+H30</f>
        <v/>
      </c>
      <c r="I31" s="33" t="n"/>
      <c r="J31" s="5">
        <f>J23+J30</f>
        <v/>
      </c>
    </row>
    <row r="32" ht="14.25" customFormat="1" customHeight="1" s="4">
      <c r="A32" s="172" t="n"/>
      <c r="B32" s="156" t="inlineStr">
        <is>
          <t>Оборудование</t>
        </is>
      </c>
      <c r="C32" s="207" t="n"/>
      <c r="D32" s="207" t="n"/>
      <c r="E32" s="207" t="n"/>
      <c r="F32" s="207" t="n"/>
      <c r="G32" s="207" t="n"/>
      <c r="H32" s="208" t="n"/>
      <c r="I32" s="34" t="n"/>
      <c r="J32" s="34" t="n"/>
    </row>
    <row r="33">
      <c r="A33" s="167" t="n"/>
      <c r="B33" s="166" t="inlineStr">
        <is>
          <t>Основное оборудование</t>
        </is>
      </c>
      <c r="C33" s="217" t="n"/>
      <c r="D33" s="217" t="n"/>
      <c r="E33" s="217" t="n"/>
      <c r="F33" s="217" t="n"/>
      <c r="G33" s="217" t="n"/>
      <c r="H33" s="218" t="n"/>
      <c r="I33" s="69" t="n"/>
      <c r="J33" s="69" t="n"/>
    </row>
    <row r="34" ht="24.75" customFormat="1" customHeight="1" s="4">
      <c r="A34" s="201" t="n">
        <v>13</v>
      </c>
      <c r="B34" s="201" t="inlineStr">
        <is>
          <t>БЦ.47.24</t>
        </is>
      </c>
      <c r="C34" s="202" t="inlineStr">
        <is>
          <t xml:space="preserve">Шкаф СМиУКЭ </t>
        </is>
      </c>
      <c r="D34" s="201" t="inlineStr">
        <is>
          <t>компл.</t>
        </is>
      </c>
      <c r="E34" s="222" t="n">
        <v>1</v>
      </c>
      <c r="F34" s="204">
        <f>ROUND(I34/'Прил. 10'!$D$14,2)</f>
        <v/>
      </c>
      <c r="G34" s="205">
        <f>ROUND(E34*F34,2)</f>
        <v/>
      </c>
      <c r="H34" s="206" t="n">
        <v>0</v>
      </c>
      <c r="I34" s="205" t="n">
        <v>4500000</v>
      </c>
      <c r="J34" s="205">
        <f>ROUND(I34*E34,2)</f>
        <v/>
      </c>
    </row>
    <row r="35">
      <c r="A35" s="184" t="n"/>
      <c r="B35" s="184" t="n"/>
      <c r="C35" s="72" t="inlineStr">
        <is>
          <t>Итого основное оборудование</t>
        </is>
      </c>
      <c r="D35" s="184" t="n"/>
      <c r="E35" s="223" t="n"/>
      <c r="F35" s="115" t="n"/>
      <c r="G35" s="74">
        <f>SUM(G34:G34)</f>
        <v/>
      </c>
      <c r="H35" s="74">
        <f>SUM(H34:H34)</f>
        <v/>
      </c>
      <c r="I35" s="33" t="n"/>
      <c r="J35" s="74">
        <f>SUM(J34:J34)</f>
        <v/>
      </c>
    </row>
    <row r="36">
      <c r="A36" s="172" t="n"/>
      <c r="B36" s="172" t="n"/>
      <c r="C36" s="171" t="inlineStr">
        <is>
          <t>Итого прочее оборудование</t>
        </is>
      </c>
      <c r="D36" s="172" t="n"/>
      <c r="E36" s="221" t="n"/>
      <c r="F36" s="174" t="n"/>
      <c r="G36" s="5" t="n">
        <v>0</v>
      </c>
      <c r="H36" s="68" t="n">
        <v>0</v>
      </c>
      <c r="I36" s="35" t="n"/>
      <c r="J36" s="5" t="n">
        <v>0</v>
      </c>
    </row>
    <row r="37" ht="23.25" customHeight="1" s="119">
      <c r="A37" s="172" t="n"/>
      <c r="B37" s="172" t="n"/>
      <c r="C37" s="156" t="inlineStr">
        <is>
          <t>Итого по разделу «Оборудование»</t>
        </is>
      </c>
      <c r="D37" s="172" t="n"/>
      <c r="E37" s="173" t="n"/>
      <c r="F37" s="174" t="n"/>
      <c r="G37" s="5">
        <f>G35+G36</f>
        <v/>
      </c>
      <c r="H37" s="68">
        <f>H35+H36</f>
        <v/>
      </c>
      <c r="I37" s="35" t="n"/>
      <c r="J37" s="5">
        <f>J36+J35</f>
        <v/>
      </c>
    </row>
    <row r="38">
      <c r="A38" s="172" t="n"/>
      <c r="B38" s="172" t="n"/>
      <c r="C38" s="171" t="inlineStr">
        <is>
          <t>в том числе технологическое оборудование</t>
        </is>
      </c>
      <c r="D38" s="172" t="n"/>
      <c r="E38" s="224" t="n"/>
      <c r="F38" s="174" t="n"/>
      <c r="G38" s="5">
        <f>'Прил.6 Расчет ОБ'!G13</f>
        <v/>
      </c>
      <c r="H38" s="175" t="n"/>
      <c r="I38" s="35" t="n"/>
      <c r="J38" s="5">
        <f>J37</f>
        <v/>
      </c>
    </row>
    <row r="39" ht="29.25" customFormat="1" customHeight="1" s="4">
      <c r="A39" s="172" t="n"/>
      <c r="B39" s="156" t="inlineStr">
        <is>
          <t>Материалы</t>
        </is>
      </c>
      <c r="C39" s="207" t="n"/>
      <c r="D39" s="207" t="n"/>
      <c r="E39" s="207" t="n"/>
      <c r="F39" s="207" t="n"/>
      <c r="G39" s="207" t="n"/>
      <c r="H39" s="208" t="n"/>
      <c r="I39" s="34" t="n"/>
      <c r="J39" s="34" t="n"/>
    </row>
    <row r="40" ht="24" customFormat="1" customHeight="1" s="4">
      <c r="A40" s="167" t="n"/>
      <c r="B40" s="166" t="inlineStr">
        <is>
          <t>Основные материалы</t>
        </is>
      </c>
      <c r="C40" s="217" t="n"/>
      <c r="D40" s="217" t="n"/>
      <c r="E40" s="217" t="n"/>
      <c r="F40" s="217" t="n"/>
      <c r="G40" s="217" t="n"/>
      <c r="H40" s="218" t="n"/>
      <c r="I40" s="69" t="n"/>
      <c r="J40" s="69" t="n"/>
    </row>
    <row r="41" ht="28.5" customFormat="1" customHeight="1" s="4">
      <c r="A41" s="172" t="n">
        <v>14</v>
      </c>
      <c r="B41" s="172" t="inlineStr">
        <is>
          <t>21.1.06.10-0376</t>
        </is>
      </c>
      <c r="C41" s="171" t="inlineStr">
        <is>
          <t>Кабель силовой с медными жилами ВВГнг(A)-LS 3х2,5ок-1000</t>
        </is>
      </c>
      <c r="D41" s="172" t="inlineStr">
        <is>
          <t>1000 м</t>
        </is>
      </c>
      <c r="E41" s="224" t="n">
        <v>0.1785</v>
      </c>
      <c r="F41" s="174" t="n">
        <v>14498.24</v>
      </c>
      <c r="G41" s="5">
        <f>ROUND(E41*F41,2)</f>
        <v/>
      </c>
      <c r="H41" s="68">
        <f>G41/$G$99</f>
        <v/>
      </c>
      <c r="I41" s="5">
        <f>ROUND(F41*'Прил. 10'!$D$13,2)</f>
        <v/>
      </c>
      <c r="J41" s="5">
        <f>ROUND(I41*E41,2)</f>
        <v/>
      </c>
    </row>
    <row r="42" ht="27" customFormat="1" customHeight="1" s="4">
      <c r="A42" s="172" t="n">
        <v>15</v>
      </c>
      <c r="B42" s="172" t="inlineStr">
        <is>
          <t>21.1.08.03-0582</t>
        </is>
      </c>
      <c r="C42" s="171" t="inlineStr">
        <is>
          <t>Кабель контрольный КВВГЭнг(A)-LS 7х2,5</t>
        </is>
      </c>
      <c r="D42" s="172" t="inlineStr">
        <is>
          <t>1000 м</t>
        </is>
      </c>
      <c r="E42" s="224" t="n">
        <v>0.0408</v>
      </c>
      <c r="F42" s="174" t="n">
        <v>51252.1</v>
      </c>
      <c r="G42" s="5">
        <f>ROUND(E42*F42,2)</f>
        <v/>
      </c>
      <c r="H42" s="68">
        <f>G42/$G$99</f>
        <v/>
      </c>
      <c r="I42" s="5">
        <f>ROUND(F42*'Прил. 10'!$D$13,2)</f>
        <v/>
      </c>
      <c r="J42" s="5">
        <f>ROUND(I42*E42,2)</f>
        <v/>
      </c>
    </row>
    <row r="43" ht="33.75" customFormat="1" customHeight="1" s="4">
      <c r="A43" s="172" t="n">
        <v>16</v>
      </c>
      <c r="B43" s="172" t="inlineStr">
        <is>
          <t>07.2.07.04-0007</t>
        </is>
      </c>
      <c r="C43" s="171" t="inlineStr">
        <is>
          <t>Конструкции стальные индивидуальные решетчатые сварные, масса до 0,1 т</t>
        </is>
      </c>
      <c r="D43" s="172" t="inlineStr">
        <is>
          <t>т</t>
        </is>
      </c>
      <c r="E43" s="224" t="n">
        <v>0.0486</v>
      </c>
      <c r="F43" s="174" t="n">
        <v>11500</v>
      </c>
      <c r="G43" s="5">
        <f>ROUND(E43*F43,2)</f>
        <v/>
      </c>
      <c r="H43" s="68">
        <f>G43/$G$99</f>
        <v/>
      </c>
      <c r="I43" s="5">
        <f>ROUND(F43*'Прил. 10'!$D$13,2)</f>
        <v/>
      </c>
      <c r="J43" s="5">
        <f>ROUND(I43*E43,2)</f>
        <v/>
      </c>
    </row>
    <row r="44" ht="14.25" customFormat="1" customHeight="1" s="4">
      <c r="A44" s="184" t="n"/>
      <c r="B44" s="71" t="n"/>
      <c r="C44" s="72" t="inlineStr">
        <is>
          <t>Итого основные материалы</t>
        </is>
      </c>
      <c r="D44" s="184" t="n"/>
      <c r="E44" s="223" t="n"/>
      <c r="F44" s="74" t="n"/>
      <c r="G44" s="74">
        <f>SUM(G41:G43)</f>
        <v/>
      </c>
      <c r="H44" s="68">
        <f>G44/$G$99</f>
        <v/>
      </c>
      <c r="I44" s="5" t="n"/>
      <c r="J44" s="74">
        <f>SUM(J41:J43)</f>
        <v/>
      </c>
    </row>
    <row r="45" hidden="1" outlineLevel="1" ht="14.25" customFormat="1" customHeight="1" s="4">
      <c r="A45" s="172" t="n">
        <v>17</v>
      </c>
      <c r="B45" s="172" t="inlineStr">
        <is>
          <t>14.4.02.09-0001</t>
        </is>
      </c>
      <c r="C45" s="171" t="inlineStr">
        <is>
          <t>Краска</t>
        </is>
      </c>
      <c r="D45" s="172" t="inlineStr">
        <is>
          <t>кг</t>
        </is>
      </c>
      <c r="E45" s="224" t="n">
        <v>5.569</v>
      </c>
      <c r="F45" s="174" t="n">
        <v>28.6</v>
      </c>
      <c r="G45" s="5">
        <f>ROUND(E45*F45,2)</f>
        <v/>
      </c>
      <c r="H45" s="68">
        <f>G45/$G$99</f>
        <v/>
      </c>
      <c r="I45" s="5">
        <f>ROUND(F45*'Прил. 10'!$D$13,2)</f>
        <v/>
      </c>
      <c r="J45" s="5">
        <f>ROUND(I45*E45,2)</f>
        <v/>
      </c>
    </row>
    <row r="46" hidden="1" outlineLevel="1" ht="14.25" customFormat="1" customHeight="1" s="4">
      <c r="A46" s="172" t="n">
        <v>18</v>
      </c>
      <c r="B46" s="172" t="inlineStr">
        <is>
          <t>21.1.04.01-1024</t>
        </is>
      </c>
      <c r="C46" s="171" t="inlineStr">
        <is>
          <t>Кабель витая пара F/UTP 4х2х0,52, категория 5e</t>
        </is>
      </c>
      <c r="D46" s="172" t="inlineStr">
        <is>
          <t>1000 м</t>
        </is>
      </c>
      <c r="E46" s="224" t="n">
        <v>0.07140000000000001</v>
      </c>
      <c r="F46" s="174" t="n">
        <v>1180</v>
      </c>
      <c r="G46" s="5">
        <f>ROUND(E46*F46,2)</f>
        <v/>
      </c>
      <c r="H46" s="68">
        <f>G46/$G$99</f>
        <v/>
      </c>
      <c r="I46" s="5">
        <f>ROUND(F46*'Прил. 10'!$D$13,2)</f>
        <v/>
      </c>
      <c r="J46" s="5">
        <f>ROUND(I46*E46,2)</f>
        <v/>
      </c>
    </row>
    <row r="47" hidden="1" outlineLevel="1" ht="14.25" customFormat="1" customHeight="1" s="4">
      <c r="A47" s="172" t="n">
        <v>19</v>
      </c>
      <c r="B47" s="172" t="inlineStr">
        <is>
          <t>01.7.11.07-0034</t>
        </is>
      </c>
      <c r="C47" s="171" t="inlineStr">
        <is>
          <t>Электроды сварочные Э42А, диаметр 4 мм</t>
        </is>
      </c>
      <c r="D47" s="172" t="inlineStr">
        <is>
          <t>кг</t>
        </is>
      </c>
      <c r="E47" s="224" t="n">
        <v>4.77</v>
      </c>
      <c r="F47" s="174" t="n">
        <v>10.57</v>
      </c>
      <c r="G47" s="5">
        <f>ROUND(E47*F47,2)</f>
        <v/>
      </c>
      <c r="H47" s="68">
        <f>G47/$G$99</f>
        <v/>
      </c>
      <c r="I47" s="5">
        <f>ROUND(F47*'Прил. 10'!$D$13,2)</f>
        <v/>
      </c>
      <c r="J47" s="5">
        <f>ROUND(I47*E47,2)</f>
        <v/>
      </c>
    </row>
    <row r="48" hidden="1" outlineLevel="1" ht="14.25" customFormat="1" customHeight="1" s="4">
      <c r="A48" s="172" t="n">
        <v>20</v>
      </c>
      <c r="B48" s="172" t="inlineStr">
        <is>
          <t>01.7.02.07-0011</t>
        </is>
      </c>
      <c r="C48" s="171" t="inlineStr">
        <is>
          <t>Прессшпан листовой, марка А</t>
        </is>
      </c>
      <c r="D48" s="172" t="inlineStr">
        <is>
          <t>кг</t>
        </is>
      </c>
      <c r="E48" s="224" t="n">
        <v>0.9525</v>
      </c>
      <c r="F48" s="174" t="n">
        <v>47.57</v>
      </c>
      <c r="G48" s="5">
        <f>ROUND(E48*F48,2)</f>
        <v/>
      </c>
      <c r="H48" s="68">
        <f>G48/$G$99</f>
        <v/>
      </c>
      <c r="I48" s="5">
        <f>ROUND(F48*'Прил. 10'!$D$13,2)</f>
        <v/>
      </c>
      <c r="J48" s="5">
        <f>ROUND(I48*E48,2)</f>
        <v/>
      </c>
    </row>
    <row r="49" hidden="1" outlineLevel="1" ht="14.25" customFormat="1" customHeight="1" s="4">
      <c r="A49" s="172" t="n">
        <v>21</v>
      </c>
      <c r="B49" s="172" t="inlineStr">
        <is>
          <t>10.3.02.03-0011</t>
        </is>
      </c>
      <c r="C49" s="171" t="inlineStr">
        <is>
          <t>Припои оловянно-свинцовые бессурьмянистые, марка ПОС30</t>
        </is>
      </c>
      <c r="D49" s="172" t="inlineStr">
        <is>
          <t>т</t>
        </is>
      </c>
      <c r="E49" s="224" t="n">
        <v>0.0006384</v>
      </c>
      <c r="F49" s="174" t="n">
        <v>68050</v>
      </c>
      <c r="G49" s="5">
        <f>ROUND(E49*F49,2)</f>
        <v/>
      </c>
      <c r="H49" s="68">
        <f>G49/$G$99</f>
        <v/>
      </c>
      <c r="I49" s="5">
        <f>ROUND(F49*'Прил. 10'!$D$13,2)</f>
        <v/>
      </c>
      <c r="J49" s="5">
        <f>ROUND(I49*E49,2)</f>
        <v/>
      </c>
    </row>
    <row r="50" hidden="1" outlineLevel="1" ht="14.25" customFormat="1" customHeight="1" s="4">
      <c r="A50" s="172" t="n">
        <v>22</v>
      </c>
      <c r="B50" s="172" t="inlineStr">
        <is>
          <t>25.2.01.01-0017</t>
        </is>
      </c>
      <c r="C50" s="171" t="inlineStr">
        <is>
          <t>Бирки маркировочные пластмассовые</t>
        </is>
      </c>
      <c r="D50" s="172" t="inlineStr">
        <is>
          <t>100 шт</t>
        </is>
      </c>
      <c r="E50" s="224" t="n">
        <v>1.26</v>
      </c>
      <c r="F50" s="174" t="n">
        <v>30.74</v>
      </c>
      <c r="G50" s="5">
        <f>ROUND(E50*F50,2)</f>
        <v/>
      </c>
      <c r="H50" s="68">
        <f>G50/$G$99</f>
        <v/>
      </c>
      <c r="I50" s="5">
        <f>ROUND(F50*'Прил. 10'!$D$13,2)</f>
        <v/>
      </c>
      <c r="J50" s="5">
        <f>ROUND(I50*E50,2)</f>
        <v/>
      </c>
    </row>
    <row r="51" hidden="1" outlineLevel="1" ht="25.5" customFormat="1" customHeight="1" s="4">
      <c r="A51" s="172" t="n">
        <v>23</v>
      </c>
      <c r="B51" s="172" t="inlineStr">
        <is>
          <t>999-9950</t>
        </is>
      </c>
      <c r="C51" s="171" t="inlineStr">
        <is>
          <t>Вспомогательные ненормируемые ресурсы (2% от Оплаты труда рабочих)</t>
        </is>
      </c>
      <c r="D51" s="172" t="inlineStr">
        <is>
          <t>руб.</t>
        </is>
      </c>
      <c r="E51" s="224" t="n">
        <v>31.917</v>
      </c>
      <c r="F51" s="174" t="n">
        <v>1</v>
      </c>
      <c r="G51" s="5">
        <f>ROUND(E51*F51,2)</f>
        <v/>
      </c>
      <c r="H51" s="68">
        <f>G51/$G$99</f>
        <v/>
      </c>
      <c r="I51" s="5">
        <f>ROUND(F51*'Прил. 10'!$D$13,2)</f>
        <v/>
      </c>
      <c r="J51" s="5">
        <f>ROUND(I51*E51,2)</f>
        <v/>
      </c>
    </row>
    <row r="52" hidden="1" outlineLevel="1" ht="14.25" customFormat="1" customHeight="1" s="4">
      <c r="A52" s="172" t="n">
        <v>24</v>
      </c>
      <c r="B52" s="172" t="inlineStr">
        <is>
          <t>01.3.01.01-0001</t>
        </is>
      </c>
      <c r="C52" s="171" t="inlineStr">
        <is>
          <t>Бензин авиационный Б-70</t>
        </is>
      </c>
      <c r="D52" s="172" t="inlineStr">
        <is>
          <t>т</t>
        </is>
      </c>
      <c r="E52" s="224" t="n">
        <v>0.0064</v>
      </c>
      <c r="F52" s="174" t="n">
        <v>4488.4</v>
      </c>
      <c r="G52" s="5">
        <f>ROUND(E52*F52,2)</f>
        <v/>
      </c>
      <c r="H52" s="68">
        <f>G52/$G$99</f>
        <v/>
      </c>
      <c r="I52" s="5">
        <f>ROUND(F52*'Прил. 10'!$D$13,2)</f>
        <v/>
      </c>
      <c r="J52" s="5">
        <f>ROUND(I52*E52,2)</f>
        <v/>
      </c>
    </row>
    <row r="53" hidden="1" outlineLevel="1" ht="14.25" customFormat="1" customHeight="1" s="4">
      <c r="A53" s="172" t="n">
        <v>25</v>
      </c>
      <c r="B53" s="172" t="inlineStr">
        <is>
          <t>21.2.03.05-0045</t>
        </is>
      </c>
      <c r="C53" s="171" t="inlineStr">
        <is>
          <t>Провод силовой установочный с медными жилами ПВ1 1,5-450</t>
        </is>
      </c>
      <c r="D53" s="172" t="inlineStr">
        <is>
          <t>1000 м</t>
        </is>
      </c>
      <c r="E53" s="224" t="n">
        <v>0.0206</v>
      </c>
      <c r="F53" s="174" t="n">
        <v>1335.52</v>
      </c>
      <c r="G53" s="5">
        <f>ROUND(E53*F53,2)</f>
        <v/>
      </c>
      <c r="H53" s="68">
        <f>G53/$G$99</f>
        <v/>
      </c>
      <c r="I53" s="5">
        <f>ROUND(F53*'Прил. 10'!$D$13,2)</f>
        <v/>
      </c>
      <c r="J53" s="5">
        <f>ROUND(I53*E53,2)</f>
        <v/>
      </c>
    </row>
    <row r="54" hidden="1" outlineLevel="1" ht="14.25" customFormat="1" customHeight="1" s="4">
      <c r="A54" s="172" t="n">
        <v>26</v>
      </c>
      <c r="B54" s="172" t="inlineStr">
        <is>
          <t>21.2.03.05-0051</t>
        </is>
      </c>
      <c r="C54" s="171" t="inlineStr">
        <is>
          <t>Провод силовой установочный с медными жилами ПВ1 6-450</t>
        </is>
      </c>
      <c r="D54" s="172" t="inlineStr">
        <is>
          <t>1000 м</t>
        </is>
      </c>
      <c r="E54" s="224" t="n">
        <v>0.00515</v>
      </c>
      <c r="F54" s="174" t="n">
        <v>4645.43</v>
      </c>
      <c r="G54" s="5">
        <f>ROUND(E54*F54,2)</f>
        <v/>
      </c>
      <c r="H54" s="68">
        <f>G54/$G$99</f>
        <v/>
      </c>
      <c r="I54" s="5">
        <f>ROUND(F54*'Прил. 10'!$D$13,2)</f>
        <v/>
      </c>
      <c r="J54" s="5">
        <f>ROUND(I54*E54,2)</f>
        <v/>
      </c>
    </row>
    <row r="55" hidden="1" outlineLevel="1" ht="14.25" customFormat="1" customHeight="1" s="4">
      <c r="A55" s="172" t="n">
        <v>27</v>
      </c>
      <c r="B55" s="172" t="inlineStr">
        <is>
          <t>21.2.03.05-0047</t>
        </is>
      </c>
      <c r="C55" s="171" t="inlineStr">
        <is>
          <t>Провод силовой установочный с медными жилами ПВ1 2,5-450</t>
        </is>
      </c>
      <c r="D55" s="172" t="inlineStr">
        <is>
          <t>1000 м</t>
        </is>
      </c>
      <c r="E55" s="224" t="n">
        <v>0.0103</v>
      </c>
      <c r="F55" s="174" t="n">
        <v>2079.72</v>
      </c>
      <c r="G55" s="5">
        <f>ROUND(E55*F55,2)</f>
        <v/>
      </c>
      <c r="H55" s="68">
        <f>G55/$G$99</f>
        <v/>
      </c>
      <c r="I55" s="5">
        <f>ROUND(F55*'Прил. 10'!$D$13,2)</f>
        <v/>
      </c>
      <c r="J55" s="5">
        <f>ROUND(I55*E55,2)</f>
        <v/>
      </c>
    </row>
    <row r="56" hidden="1" outlineLevel="1" ht="14.25" customFormat="1" customHeight="1" s="4">
      <c r="A56" s="172" t="n">
        <v>28</v>
      </c>
      <c r="B56" s="172" t="inlineStr">
        <is>
          <t>25.2.01.01-0001</t>
        </is>
      </c>
      <c r="C56" s="171" t="inlineStr">
        <is>
          <t>Бирки-оконцеватели</t>
        </is>
      </c>
      <c r="D56" s="172" t="inlineStr">
        <is>
          <t>100 шт</t>
        </is>
      </c>
      <c r="E56" s="224" t="n">
        <v>0.2856</v>
      </c>
      <c r="F56" s="174" t="n">
        <v>63</v>
      </c>
      <c r="G56" s="5">
        <f>ROUND(E56*F56,2)</f>
        <v/>
      </c>
      <c r="H56" s="68">
        <f>G56/$G$99</f>
        <v/>
      </c>
      <c r="I56" s="5">
        <f>ROUND(F56*'Прил. 10'!$D$13,2)</f>
        <v/>
      </c>
      <c r="J56" s="5">
        <f>ROUND(I56*E56,2)</f>
        <v/>
      </c>
    </row>
    <row r="57" hidden="1" outlineLevel="1" ht="14.25" customFormat="1" customHeight="1" s="4">
      <c r="A57" s="172" t="n">
        <v>29</v>
      </c>
      <c r="B57" s="172" t="inlineStr">
        <is>
          <t>10.3.02.03-0013</t>
        </is>
      </c>
      <c r="C57" s="171" t="inlineStr">
        <is>
          <t>Припои оловянно-свинцовые бессурьмянистые, марка ПОС61</t>
        </is>
      </c>
      <c r="D57" s="172" t="inlineStr">
        <is>
          <t>т</t>
        </is>
      </c>
      <c r="E57" s="224" t="n">
        <v>0.0001518</v>
      </c>
      <c r="F57" s="174" t="n">
        <v>114220</v>
      </c>
      <c r="G57" s="5">
        <f>ROUND(E57*F57,2)</f>
        <v/>
      </c>
      <c r="H57" s="68">
        <f>G57/$G$99</f>
        <v/>
      </c>
      <c r="I57" s="5">
        <f>ROUND(F57*'Прил. 10'!$D$13,2)</f>
        <v/>
      </c>
      <c r="J57" s="5">
        <f>ROUND(I57*E57,2)</f>
        <v/>
      </c>
    </row>
    <row r="58" hidden="1" outlineLevel="1" ht="14.25" customFormat="1" customHeight="1" s="4">
      <c r="A58" s="172" t="n">
        <v>30</v>
      </c>
      <c r="B58" s="172" t="inlineStr">
        <is>
          <t>01.7.20.04-0003</t>
        </is>
      </c>
      <c r="C58" s="171" t="inlineStr">
        <is>
          <t>Нитки суровые</t>
        </is>
      </c>
      <c r="D58" s="172" t="inlineStr">
        <is>
          <t>кг</t>
        </is>
      </c>
      <c r="E58" s="224" t="n">
        <v>0.1</v>
      </c>
      <c r="F58" s="174" t="n">
        <v>155</v>
      </c>
      <c r="G58" s="5">
        <f>ROUND(E58*F58,2)</f>
        <v/>
      </c>
      <c r="H58" s="68">
        <f>G58/$G$99</f>
        <v/>
      </c>
      <c r="I58" s="5">
        <f>ROUND(F58*'Прил. 10'!$D$13,2)</f>
        <v/>
      </c>
      <c r="J58" s="5">
        <f>ROUND(I58*E58,2)</f>
        <v/>
      </c>
    </row>
    <row r="59" hidden="1" outlineLevel="1" ht="14.25" customFormat="1" customHeight="1" s="4">
      <c r="A59" s="172" t="n">
        <v>31</v>
      </c>
      <c r="B59" s="172" t="inlineStr">
        <is>
          <t>01.7.15.04-0011</t>
        </is>
      </c>
      <c r="C59" s="171" t="inlineStr">
        <is>
          <t>Винты с полукруглой головкой, длина 50 мм</t>
        </is>
      </c>
      <c r="D59" s="172" t="inlineStr">
        <is>
          <t>т</t>
        </is>
      </c>
      <c r="E59" s="224" t="n">
        <v>0.000899</v>
      </c>
      <c r="F59" s="174" t="n">
        <v>12430</v>
      </c>
      <c r="G59" s="5">
        <f>ROUND(E59*F59,2)</f>
        <v/>
      </c>
      <c r="H59" s="68">
        <f>G59/$G$99</f>
        <v/>
      </c>
      <c r="I59" s="5">
        <f>ROUND(F59*'Прил. 10'!$D$13,2)</f>
        <v/>
      </c>
      <c r="J59" s="5">
        <f>ROUND(I59*E59,2)</f>
        <v/>
      </c>
    </row>
    <row r="60" hidden="1" outlineLevel="1" ht="25.5" customFormat="1" customHeight="1" s="4">
      <c r="A60" s="172" t="n">
        <v>32</v>
      </c>
      <c r="B60" s="172" t="inlineStr">
        <is>
          <t>08.3.07.01-0076</t>
        </is>
      </c>
      <c r="C60" s="171" t="inlineStr">
        <is>
          <t>Прокат полосовой, горячекатаный, марка стали Ст3сп, ширина 50-200 мм, толщина 4-5 мм</t>
        </is>
      </c>
      <c r="D60" s="172" t="inlineStr">
        <is>
          <t>т</t>
        </is>
      </c>
      <c r="E60" s="224" t="n">
        <v>0.00216</v>
      </c>
      <c r="F60" s="174" t="n">
        <v>5000</v>
      </c>
      <c r="G60" s="5">
        <f>ROUND(E60*F60,2)</f>
        <v/>
      </c>
      <c r="H60" s="68">
        <f>G60/$G$99</f>
        <v/>
      </c>
      <c r="I60" s="5">
        <f>ROUND(F60*'Прил. 10'!$D$13,2)</f>
        <v/>
      </c>
      <c r="J60" s="5">
        <f>ROUND(I60*E60,2)</f>
        <v/>
      </c>
    </row>
    <row r="61" hidden="1" outlineLevel="1" ht="14.25" customFormat="1" customHeight="1" s="4">
      <c r="A61" s="172" t="n">
        <v>33</v>
      </c>
      <c r="B61" s="172" t="inlineStr">
        <is>
          <t>14.4.03.03-0002</t>
        </is>
      </c>
      <c r="C61" s="171" t="inlineStr">
        <is>
          <t>Лак битумный БТ-123</t>
        </is>
      </c>
      <c r="D61" s="172" t="inlineStr">
        <is>
          <t>т</t>
        </is>
      </c>
      <c r="E61" s="224" t="n">
        <v>0.001152</v>
      </c>
      <c r="F61" s="174" t="n">
        <v>7826.9</v>
      </c>
      <c r="G61" s="5">
        <f>ROUND(E61*F61,2)</f>
        <v/>
      </c>
      <c r="H61" s="68">
        <f>G61/$G$99</f>
        <v/>
      </c>
      <c r="I61" s="5">
        <f>ROUND(F61*'Прил. 10'!$D$13,2)</f>
        <v/>
      </c>
      <c r="J61" s="5">
        <f>ROUND(I61*E61,2)</f>
        <v/>
      </c>
    </row>
    <row r="62" hidden="1" outlineLevel="1" ht="14.25" customFormat="1" customHeight="1" s="4">
      <c r="A62" s="172" t="n">
        <v>34</v>
      </c>
      <c r="B62" s="172" t="inlineStr">
        <is>
          <t>20.1.02.06-0001</t>
        </is>
      </c>
      <c r="C62" s="171" t="inlineStr">
        <is>
          <t>Жир паяльный</t>
        </is>
      </c>
      <c r="D62" s="172" t="inlineStr">
        <is>
          <t>кг</t>
        </is>
      </c>
      <c r="E62" s="224" t="n">
        <v>0.08</v>
      </c>
      <c r="F62" s="174" t="n">
        <v>100.8</v>
      </c>
      <c r="G62" s="5">
        <f>ROUND(E62*F62,2)</f>
        <v/>
      </c>
      <c r="H62" s="68">
        <f>G62/$G$99</f>
        <v/>
      </c>
      <c r="I62" s="5">
        <f>ROUND(F62*'Прил. 10'!$D$13,2)</f>
        <v/>
      </c>
      <c r="J62" s="5">
        <f>ROUND(I62*E62,2)</f>
        <v/>
      </c>
    </row>
    <row r="63" hidden="1" outlineLevel="1" ht="14.25" customFormat="1" customHeight="1" s="4">
      <c r="A63" s="172" t="n">
        <v>35</v>
      </c>
      <c r="B63" s="172" t="inlineStr">
        <is>
          <t>01.7.15.03-0042</t>
        </is>
      </c>
      <c r="C63" s="171" t="inlineStr">
        <is>
          <t>Болты с гайками и шайбами строительные</t>
        </is>
      </c>
      <c r="D63" s="172" t="inlineStr">
        <is>
          <t>кг</t>
        </is>
      </c>
      <c r="E63" s="224" t="n">
        <v>0.89</v>
      </c>
      <c r="F63" s="174" t="n">
        <v>9.039999999999999</v>
      </c>
      <c r="G63" s="5">
        <f>ROUND(E63*F63,2)</f>
        <v/>
      </c>
      <c r="H63" s="68">
        <f>G63/$G$99</f>
        <v/>
      </c>
      <c r="I63" s="5">
        <f>ROUND(F63*'Прил. 10'!$D$13,2)</f>
        <v/>
      </c>
      <c r="J63" s="5">
        <f>ROUND(I63*E63,2)</f>
        <v/>
      </c>
    </row>
    <row r="64" hidden="1" outlineLevel="1" ht="14.25" customFormat="1" customHeight="1" s="4">
      <c r="A64" s="172" t="n">
        <v>36</v>
      </c>
      <c r="B64" s="172" t="inlineStr">
        <is>
          <t>10.3.02.03-0012</t>
        </is>
      </c>
      <c r="C64" s="171" t="inlineStr">
        <is>
          <t>Припои оловянно-свинцовые бессурьмянистые, марка ПОС40</t>
        </is>
      </c>
      <c r="D64" s="172" t="inlineStr">
        <is>
          <t>т</t>
        </is>
      </c>
      <c r="E64" s="224" t="n">
        <v>0.00012</v>
      </c>
      <c r="F64" s="174" t="n">
        <v>65750</v>
      </c>
      <c r="G64" s="5">
        <f>ROUND(E64*F64,2)</f>
        <v/>
      </c>
      <c r="H64" s="68">
        <f>G64/$G$99</f>
        <v/>
      </c>
      <c r="I64" s="5">
        <f>ROUND(F64*'Прил. 10'!$D$13,2)</f>
        <v/>
      </c>
      <c r="J64" s="5">
        <f>ROUND(I64*E64,2)</f>
        <v/>
      </c>
    </row>
    <row r="65" hidden="1" outlineLevel="1" ht="14.25" customFormat="1" customHeight="1" s="4">
      <c r="A65" s="172" t="n">
        <v>37</v>
      </c>
      <c r="B65" s="172" t="inlineStr">
        <is>
          <t>01.3.02.09-0022</t>
        </is>
      </c>
      <c r="C65" s="171" t="inlineStr">
        <is>
          <t>Пропан-бутан смесь техническая</t>
        </is>
      </c>
      <c r="D65" s="172" t="inlineStr">
        <is>
          <t>кг</t>
        </is>
      </c>
      <c r="E65" s="224" t="n">
        <v>1.2</v>
      </c>
      <c r="F65" s="174" t="n">
        <v>6.09</v>
      </c>
      <c r="G65" s="5">
        <f>ROUND(E65*F65,2)</f>
        <v/>
      </c>
      <c r="H65" s="68">
        <f>G65/$G$99</f>
        <v/>
      </c>
      <c r="I65" s="5">
        <f>ROUND(F65*'Прил. 10'!$D$13,2)</f>
        <v/>
      </c>
      <c r="J65" s="5">
        <f>ROUND(I65*E65,2)</f>
        <v/>
      </c>
    </row>
    <row r="66" hidden="1" outlineLevel="1" ht="14.25" customFormat="1" customHeight="1" s="4">
      <c r="A66" s="172" t="n">
        <v>38</v>
      </c>
      <c r="B66" s="172" t="inlineStr">
        <is>
          <t>20.2.10.03-0006</t>
        </is>
      </c>
      <c r="C66" s="171" t="inlineStr">
        <is>
          <t>Наконечники кабельные медные соединительные</t>
        </is>
      </c>
      <c r="D66" s="172" t="inlineStr">
        <is>
          <t>100 шт</t>
        </is>
      </c>
      <c r="E66" s="224" t="n">
        <v>0.02</v>
      </c>
      <c r="F66" s="174" t="n">
        <v>365</v>
      </c>
      <c r="G66" s="5">
        <f>ROUND(E66*F66,2)</f>
        <v/>
      </c>
      <c r="H66" s="68">
        <f>G66/$G$99</f>
        <v/>
      </c>
      <c r="I66" s="5">
        <f>ROUND(F66*'Прил. 10'!$D$13,2)</f>
        <v/>
      </c>
      <c r="J66" s="5">
        <f>ROUND(I66*E66,2)</f>
        <v/>
      </c>
    </row>
    <row r="67" hidden="1" outlineLevel="1" ht="14.25" customFormat="1" customHeight="1" s="4">
      <c r="A67" s="172" t="n">
        <v>39</v>
      </c>
      <c r="B67" s="172" t="inlineStr">
        <is>
          <t>01.7.06.07-0002</t>
        </is>
      </c>
      <c r="C67" s="171" t="inlineStr">
        <is>
          <t>Лента монтажная, тип ЛМ-5</t>
        </is>
      </c>
      <c r="D67" s="172" t="inlineStr">
        <is>
          <t>10 м</t>
        </is>
      </c>
      <c r="E67" s="224" t="n">
        <v>0.864</v>
      </c>
      <c r="F67" s="174" t="n">
        <v>6.9</v>
      </c>
      <c r="G67" s="5">
        <f>ROUND(E67*F67,2)</f>
        <v/>
      </c>
      <c r="H67" s="68">
        <f>G67/$G$99</f>
        <v/>
      </c>
      <c r="I67" s="5">
        <f>ROUND(F67*'Прил. 10'!$D$13,2)</f>
        <v/>
      </c>
      <c r="J67" s="5">
        <f>ROUND(I67*E67,2)</f>
        <v/>
      </c>
    </row>
    <row r="68" hidden="1" outlineLevel="1" ht="14.25" customFormat="1" customHeight="1" s="4">
      <c r="A68" s="172" t="n">
        <v>40</v>
      </c>
      <c r="B68" s="172" t="inlineStr">
        <is>
          <t>01.7.15.03-0031</t>
        </is>
      </c>
      <c r="C68" s="171" t="inlineStr">
        <is>
          <t>Болты с гайками и шайбами оцинкованные, диаметр 6 мм</t>
        </is>
      </c>
      <c r="D68" s="172" t="inlineStr">
        <is>
          <t>кг</t>
        </is>
      </c>
      <c r="E68" s="224" t="n">
        <v>0.21</v>
      </c>
      <c r="F68" s="174" t="n">
        <v>28.22</v>
      </c>
      <c r="G68" s="5">
        <f>ROUND(E68*F68,2)</f>
        <v/>
      </c>
      <c r="H68" s="68">
        <f>G68/$G$99</f>
        <v/>
      </c>
      <c r="I68" s="5">
        <f>ROUND(F68*'Прил. 10'!$D$13,2)</f>
        <v/>
      </c>
      <c r="J68" s="5">
        <f>ROUND(I68*E68,2)</f>
        <v/>
      </c>
    </row>
    <row r="69" hidden="1" outlineLevel="1" ht="25.5" customFormat="1" customHeight="1" s="4">
      <c r="A69" s="172" t="n">
        <v>41</v>
      </c>
      <c r="B69" s="172" t="inlineStr">
        <is>
          <t>01.7.06.05-0042</t>
        </is>
      </c>
      <c r="C69" s="171" t="inlineStr">
        <is>
          <t>Лента липкая изоляционная на поликасиновом компаунде, ширина 20-30 мм, толщина от 0,14 до 0,19 мм</t>
        </is>
      </c>
      <c r="D69" s="172" t="inlineStr">
        <is>
          <t>кг</t>
        </is>
      </c>
      <c r="E69" s="224" t="n">
        <v>0.05</v>
      </c>
      <c r="F69" s="174" t="n">
        <v>91.29000000000001</v>
      </c>
      <c r="G69" s="5">
        <f>ROUND(E69*F69,2)</f>
        <v/>
      </c>
      <c r="H69" s="68">
        <f>G69/$G$99</f>
        <v/>
      </c>
      <c r="I69" s="5">
        <f>ROUND(F69*'Прил. 10'!$D$13,2)</f>
        <v/>
      </c>
      <c r="J69" s="5">
        <f>ROUND(I69*E69,2)</f>
        <v/>
      </c>
    </row>
    <row r="70" hidden="1" outlineLevel="1" ht="14.25" customFormat="1" customHeight="1" s="4">
      <c r="A70" s="172" t="n">
        <v>42</v>
      </c>
      <c r="B70" s="172" t="inlineStr">
        <is>
          <t>24.3.01.01-0002</t>
        </is>
      </c>
      <c r="C70" s="171" t="inlineStr">
        <is>
          <t>Трубка полихлорвиниловая</t>
        </is>
      </c>
      <c r="D70" s="172" t="inlineStr">
        <is>
          <t>кг</t>
        </is>
      </c>
      <c r="E70" s="224" t="n">
        <v>0.0992</v>
      </c>
      <c r="F70" s="174" t="n">
        <v>35.7</v>
      </c>
      <c r="G70" s="5">
        <f>ROUND(E70*F70,2)</f>
        <v/>
      </c>
      <c r="H70" s="68">
        <f>G70/$G$99</f>
        <v/>
      </c>
      <c r="I70" s="5">
        <f>ROUND(F70*'Прил. 10'!$D$13,2)</f>
        <v/>
      </c>
      <c r="J70" s="5">
        <f>ROUND(I70*E70,2)</f>
        <v/>
      </c>
    </row>
    <row r="71" hidden="1" outlineLevel="1" ht="14.25" customFormat="1" customHeight="1" s="4">
      <c r="A71" s="172" t="n">
        <v>43</v>
      </c>
      <c r="B71" s="172" t="inlineStr">
        <is>
          <t>14.4.03.11-0005</t>
        </is>
      </c>
      <c r="C71" s="171" t="inlineStr">
        <is>
          <t>Лак нитроцеллюлозный НЦ-62</t>
        </is>
      </c>
      <c r="D71" s="172" t="inlineStr">
        <is>
          <t>т</t>
        </is>
      </c>
      <c r="E71" s="224" t="n">
        <v>0.00011</v>
      </c>
      <c r="F71" s="174" t="n">
        <v>27921.97</v>
      </c>
      <c r="G71" s="5">
        <f>ROUND(E71*F71,2)</f>
        <v/>
      </c>
      <c r="H71" s="68">
        <f>G71/$G$99</f>
        <v/>
      </c>
      <c r="I71" s="5">
        <f>ROUND(F71*'Прил. 10'!$D$13,2)</f>
        <v/>
      </c>
      <c r="J71" s="5">
        <f>ROUND(I71*E71,2)</f>
        <v/>
      </c>
    </row>
    <row r="72" hidden="1" outlineLevel="1" ht="25.5" customFormat="1" customHeight="1" s="4">
      <c r="A72" s="172" t="n">
        <v>44</v>
      </c>
      <c r="B72" s="172" t="inlineStr">
        <is>
          <t>01.7.06.05-0041</t>
        </is>
      </c>
      <c r="C72" s="171" t="inlineStr">
        <is>
          <t>Лента изоляционная прорезиненная односторонняя, ширина 20 мм, толщина 0,25-0,35 мм</t>
        </is>
      </c>
      <c r="D72" s="172" t="inlineStr">
        <is>
          <t>кг</t>
        </is>
      </c>
      <c r="E72" s="224" t="n">
        <v>0.096</v>
      </c>
      <c r="F72" s="174" t="n">
        <v>30.4</v>
      </c>
      <c r="G72" s="5">
        <f>ROUND(E72*F72,2)</f>
        <v/>
      </c>
      <c r="H72" s="68">
        <f>G72/$G$99</f>
        <v/>
      </c>
      <c r="I72" s="5">
        <f>ROUND(F72*'Прил. 10'!$D$13,2)</f>
        <v/>
      </c>
      <c r="J72" s="5">
        <f>ROUND(I72*E72,2)</f>
        <v/>
      </c>
    </row>
    <row r="73" hidden="1" outlineLevel="1" ht="25.5" customFormat="1" customHeight="1" s="4">
      <c r="A73" s="172" t="n">
        <v>45</v>
      </c>
      <c r="B73" s="172" t="inlineStr">
        <is>
          <t>10.3.02.03-0028</t>
        </is>
      </c>
      <c r="C73" s="171" t="inlineStr">
        <is>
          <t>Припои оловянно-свинцовые малосурьмянистые, марка ПОССу 61-0,5</t>
        </is>
      </c>
      <c r="D73" s="172" t="inlineStr">
        <is>
          <t>кг</t>
        </is>
      </c>
      <c r="E73" s="224" t="n">
        <v>0.0192</v>
      </c>
      <c r="F73" s="174" t="n">
        <v>125.46</v>
      </c>
      <c r="G73" s="5">
        <f>ROUND(E73*F73,2)</f>
        <v/>
      </c>
      <c r="H73" s="68">
        <f>G73/$G$99</f>
        <v/>
      </c>
      <c r="I73" s="5">
        <f>ROUND(F73*'Прил. 10'!$D$13,2)</f>
        <v/>
      </c>
      <c r="J73" s="5">
        <f>ROUND(I73*E73,2)</f>
        <v/>
      </c>
    </row>
    <row r="74" hidden="1" outlineLevel="1" ht="14.25" customFormat="1" customHeight="1" s="4">
      <c r="A74" s="172" t="n">
        <v>46</v>
      </c>
      <c r="B74" s="172" t="inlineStr">
        <is>
          <t>20.1.02.23-0082</t>
        </is>
      </c>
      <c r="C74" s="171" t="inlineStr">
        <is>
          <t>Перемычки гибкие, тип ПГС-50</t>
        </is>
      </c>
      <c r="D74" s="172" t="inlineStr">
        <is>
          <t>10 шт</t>
        </is>
      </c>
      <c r="E74" s="224" t="n">
        <v>0.06</v>
      </c>
      <c r="F74" s="174" t="n">
        <v>39</v>
      </c>
      <c r="G74" s="5">
        <f>ROUND(E74*F74,2)</f>
        <v/>
      </c>
      <c r="H74" s="68">
        <f>G74/$G$99</f>
        <v/>
      </c>
      <c r="I74" s="5">
        <f>ROUND(F74*'Прил. 10'!$D$13,2)</f>
        <v/>
      </c>
      <c r="J74" s="5">
        <f>ROUND(I74*E74,2)</f>
        <v/>
      </c>
    </row>
    <row r="75" hidden="1" outlineLevel="1" ht="14.25" customFormat="1" customHeight="1" s="4">
      <c r="A75" s="172" t="n">
        <v>47</v>
      </c>
      <c r="B75" s="172" t="inlineStr">
        <is>
          <t>01.3.01.07-0009</t>
        </is>
      </c>
      <c r="C75" s="171" t="inlineStr">
        <is>
          <t>Спирт этиловый ректификованный технический, сорт I</t>
        </is>
      </c>
      <c r="D75" s="172" t="inlineStr">
        <is>
          <t>кг</t>
        </is>
      </c>
      <c r="E75" s="224" t="n">
        <v>0.05948</v>
      </c>
      <c r="F75" s="174" t="n">
        <v>38.89</v>
      </c>
      <c r="G75" s="5">
        <f>ROUND(E75*F75,2)</f>
        <v/>
      </c>
      <c r="H75" s="68">
        <f>G75/$G$99</f>
        <v/>
      </c>
      <c r="I75" s="5">
        <f>ROUND(F75*'Прил. 10'!$D$13,2)</f>
        <v/>
      </c>
      <c r="J75" s="5">
        <f>ROUND(I75*E75,2)</f>
        <v/>
      </c>
    </row>
    <row r="76" hidden="1" outlineLevel="1" ht="14.25" customFormat="1" customHeight="1" s="4">
      <c r="A76" s="172" t="n">
        <v>48</v>
      </c>
      <c r="B76" s="172" t="inlineStr">
        <is>
          <t>01.7.15.14-0165</t>
        </is>
      </c>
      <c r="C76" s="171" t="inlineStr">
        <is>
          <t>Шурупы с полукруглой головкой 4х40 мм</t>
        </is>
      </c>
      <c r="D76" s="172" t="inlineStr">
        <is>
          <t>т</t>
        </is>
      </c>
      <c r="E76" s="224" t="n">
        <v>0.000176</v>
      </c>
      <c r="F76" s="174" t="n">
        <v>12430</v>
      </c>
      <c r="G76" s="5">
        <f>ROUND(E76*F76,2)</f>
        <v/>
      </c>
      <c r="H76" s="68">
        <f>G76/$G$99</f>
        <v/>
      </c>
      <c r="I76" s="5">
        <f>ROUND(F76*'Прил. 10'!$D$13,2)</f>
        <v/>
      </c>
      <c r="J76" s="5">
        <f>ROUND(I76*E76,2)</f>
        <v/>
      </c>
    </row>
    <row r="77" hidden="1" outlineLevel="1" ht="14.25" customFormat="1" customHeight="1" s="4">
      <c r="A77" s="172" t="n">
        <v>49</v>
      </c>
      <c r="B77" s="172" t="inlineStr">
        <is>
          <t>14.4.03.17-0101</t>
        </is>
      </c>
      <c r="C77" s="171" t="inlineStr">
        <is>
          <t>Лак канифольный КФ-965</t>
        </is>
      </c>
      <c r="D77" s="172" t="inlineStr">
        <is>
          <t>т</t>
        </is>
      </c>
      <c r="E77" s="224" t="n">
        <v>2.8e-05</v>
      </c>
      <c r="F77" s="174" t="n">
        <v>70200</v>
      </c>
      <c r="G77" s="5">
        <f>ROUND(E77*F77,2)</f>
        <v/>
      </c>
      <c r="H77" s="68">
        <f>G77/$G$99</f>
        <v/>
      </c>
      <c r="I77" s="5">
        <f>ROUND(F77*'Прил. 10'!$D$13,2)</f>
        <v/>
      </c>
      <c r="J77" s="5">
        <f>ROUND(I77*E77,2)</f>
        <v/>
      </c>
    </row>
    <row r="78" hidden="1" outlineLevel="1" ht="14.25" customFormat="1" customHeight="1" s="4">
      <c r="A78" s="172" t="n">
        <v>50</v>
      </c>
      <c r="B78" s="172" t="inlineStr">
        <is>
          <t>01.7.11.07-0034</t>
        </is>
      </c>
      <c r="C78" s="171" t="inlineStr">
        <is>
          <t>Электроды диаметром: 4 мм Э42А</t>
        </is>
      </c>
      <c r="D78" s="172" t="inlineStr">
        <is>
          <t>кг</t>
        </is>
      </c>
      <c r="E78" s="224" t="n">
        <v>0.15</v>
      </c>
      <c r="F78" s="174" t="n">
        <v>10.57</v>
      </c>
      <c r="G78" s="5">
        <f>ROUND(E78*F78,2)</f>
        <v/>
      </c>
      <c r="H78" s="68">
        <f>G78/$G$99</f>
        <v/>
      </c>
      <c r="I78" s="5">
        <f>ROUND(F78*'Прил. 10'!$D$13,2)</f>
        <v/>
      </c>
      <c r="J78" s="5">
        <f>ROUND(I78*E78,2)</f>
        <v/>
      </c>
    </row>
    <row r="79" hidden="1" outlineLevel="1" ht="14.25" customFormat="1" customHeight="1" s="4">
      <c r="A79" s="172" t="n">
        <v>51</v>
      </c>
      <c r="B79" s="172" t="inlineStr">
        <is>
          <t>01.7.02.07-0011</t>
        </is>
      </c>
      <c r="C79" s="171" t="inlineStr">
        <is>
          <t>Прессшпан листовой, марки А</t>
        </is>
      </c>
      <c r="D79" s="172" t="inlineStr">
        <is>
          <t>кг</t>
        </is>
      </c>
      <c r="E79" s="224" t="n">
        <v>0.0275</v>
      </c>
      <c r="F79" s="174" t="n">
        <v>47.57</v>
      </c>
      <c r="G79" s="5">
        <f>ROUND(E79*F79,2)</f>
        <v/>
      </c>
      <c r="H79" s="68">
        <f>G79/$G$99</f>
        <v/>
      </c>
      <c r="I79" s="5">
        <f>ROUND(F79*'Прил. 10'!$D$13,2)</f>
        <v/>
      </c>
      <c r="J79" s="5">
        <f>ROUND(I79*E79,2)</f>
        <v/>
      </c>
    </row>
    <row r="80" hidden="1" outlineLevel="1" ht="14.25" customFormat="1" customHeight="1" s="4">
      <c r="A80" s="172" t="n">
        <v>52</v>
      </c>
      <c r="B80" s="172" t="inlineStr">
        <is>
          <t>01.3.01.02-0002</t>
        </is>
      </c>
      <c r="C80" s="171" t="inlineStr">
        <is>
          <t>Вазелин технический</t>
        </is>
      </c>
      <c r="D80" s="172" t="inlineStr">
        <is>
          <t>кг</t>
        </is>
      </c>
      <c r="E80" s="224" t="n">
        <v>0.028</v>
      </c>
      <c r="F80" s="174" t="n">
        <v>44.97</v>
      </c>
      <c r="G80" s="5">
        <f>ROUND(E80*F80,2)</f>
        <v/>
      </c>
      <c r="H80" s="68">
        <f>G80/$G$99</f>
        <v/>
      </c>
      <c r="I80" s="5">
        <f>ROUND(F80*'Прил. 10'!$D$13,2)</f>
        <v/>
      </c>
      <c r="J80" s="5">
        <f>ROUND(I80*E80,2)</f>
        <v/>
      </c>
    </row>
    <row r="81" hidden="1" outlineLevel="1" ht="14.25" customFormat="1" customHeight="1" s="4">
      <c r="A81" s="172" t="n">
        <v>53</v>
      </c>
      <c r="B81" s="172" t="inlineStr">
        <is>
          <t>01.3.01.05-0009</t>
        </is>
      </c>
      <c r="C81" s="171" t="inlineStr">
        <is>
          <t>Парафин нефтяной твердый Т-1</t>
        </is>
      </c>
      <c r="D81" s="172" t="inlineStr">
        <is>
          <t>т</t>
        </is>
      </c>
      <c r="E81" s="224" t="n">
        <v>0.00012</v>
      </c>
      <c r="F81" s="174" t="n">
        <v>8105.71</v>
      </c>
      <c r="G81" s="5">
        <f>ROUND(E81*F81,2)</f>
        <v/>
      </c>
      <c r="H81" s="68">
        <f>G81/$G$99</f>
        <v/>
      </c>
      <c r="I81" s="5">
        <f>ROUND(F81*'Прил. 10'!$D$13,2)</f>
        <v/>
      </c>
      <c r="J81" s="5">
        <f>ROUND(I81*E81,2)</f>
        <v/>
      </c>
    </row>
    <row r="82" hidden="1" outlineLevel="1" ht="14.25" customFormat="1" customHeight="1" s="4">
      <c r="A82" s="172" t="n">
        <v>54</v>
      </c>
      <c r="B82" s="172" t="inlineStr">
        <is>
          <t>01.3.05.17-0002</t>
        </is>
      </c>
      <c r="C82" s="171" t="inlineStr">
        <is>
          <t>Канифоль сосновая</t>
        </is>
      </c>
      <c r="D82" s="172" t="inlineStr">
        <is>
          <t>кг</t>
        </is>
      </c>
      <c r="E82" s="224" t="n">
        <v>0.03428</v>
      </c>
      <c r="F82" s="174" t="n">
        <v>27.74</v>
      </c>
      <c r="G82" s="5">
        <f>ROUND(E82*F82,2)</f>
        <v/>
      </c>
      <c r="H82" s="68">
        <f>G82/$G$99</f>
        <v/>
      </c>
      <c r="I82" s="5">
        <f>ROUND(F82*'Прил. 10'!$D$13,2)</f>
        <v/>
      </c>
      <c r="J82" s="5">
        <f>ROUND(I82*E82,2)</f>
        <v/>
      </c>
    </row>
    <row r="83" hidden="1" outlineLevel="1" ht="14.25" customFormat="1" customHeight="1" s="4">
      <c r="A83" s="172" t="n">
        <v>55</v>
      </c>
      <c r="B83" s="172" t="inlineStr">
        <is>
          <t>14.4.02.09-0402</t>
        </is>
      </c>
      <c r="C83" s="171" t="inlineStr">
        <is>
          <t>Краска маркировочная для электротехнических изделий</t>
        </is>
      </c>
      <c r="D83" s="172" t="inlineStr">
        <is>
          <t>кг</t>
        </is>
      </c>
      <c r="E83" s="224" t="n">
        <v>0.012</v>
      </c>
      <c r="F83" s="174" t="n">
        <v>68.87</v>
      </c>
      <c r="G83" s="5">
        <f>ROUND(E83*F83,2)</f>
        <v/>
      </c>
      <c r="H83" s="68">
        <f>G83/$G$99</f>
        <v/>
      </c>
      <c r="I83" s="5">
        <f>ROUND(F83*'Прил. 10'!$D$13,2)</f>
        <v/>
      </c>
      <c r="J83" s="5">
        <f>ROUND(I83*E83,2)</f>
        <v/>
      </c>
    </row>
    <row r="84" hidden="1" outlineLevel="1" ht="25.5" customFormat="1" customHeight="1" s="4">
      <c r="A84" s="172" t="n">
        <v>56</v>
      </c>
      <c r="B84" s="172" t="inlineStr">
        <is>
          <t>10.2.02.08-0001</t>
        </is>
      </c>
      <c r="C84" s="171" t="inlineStr">
        <is>
          <t>Проволока медная, круглая, мягкая, электротехническая, диаметр 1,0-3,0 мм и выше</t>
        </is>
      </c>
      <c r="D84" s="172" t="inlineStr">
        <is>
          <t>т</t>
        </is>
      </c>
      <c r="E84" s="224" t="n">
        <v>2e-05</v>
      </c>
      <c r="F84" s="174" t="n">
        <v>37517</v>
      </c>
      <c r="G84" s="5">
        <f>ROUND(E84*F84,2)</f>
        <v/>
      </c>
      <c r="H84" s="68">
        <f>G84/$G$99</f>
        <v/>
      </c>
      <c r="I84" s="5">
        <f>ROUND(F84*'Прил. 10'!$D$13,2)</f>
        <v/>
      </c>
      <c r="J84" s="5">
        <f>ROUND(I84*E84,2)</f>
        <v/>
      </c>
    </row>
    <row r="85" hidden="1" outlineLevel="1" ht="14.25" customFormat="1" customHeight="1" s="4">
      <c r="A85" s="172" t="n">
        <v>57</v>
      </c>
      <c r="B85" s="172" t="inlineStr">
        <is>
          <t>14.4.03.17-0011</t>
        </is>
      </c>
      <c r="C85" s="171" t="inlineStr">
        <is>
          <t>Лак электроизоляционный 318</t>
        </is>
      </c>
      <c r="D85" s="172" t="inlineStr">
        <is>
          <t>кг</t>
        </is>
      </c>
      <c r="E85" s="224" t="n">
        <v>0.02</v>
      </c>
      <c r="F85" s="174" t="n">
        <v>35.63</v>
      </c>
      <c r="G85" s="5">
        <f>ROUND(E85*F85,2)</f>
        <v/>
      </c>
      <c r="H85" s="68">
        <f>G85/$G$99</f>
        <v/>
      </c>
      <c r="I85" s="5">
        <f>ROUND(F85*'Прил. 10'!$D$13,2)</f>
        <v/>
      </c>
      <c r="J85" s="5">
        <f>ROUND(I85*E85,2)</f>
        <v/>
      </c>
    </row>
    <row r="86" hidden="1" outlineLevel="1" ht="14.25" customFormat="1" customHeight="1" s="4">
      <c r="A86" s="172" t="n">
        <v>58</v>
      </c>
      <c r="B86" s="172" t="inlineStr">
        <is>
          <t>01.7.19.04-0002</t>
        </is>
      </c>
      <c r="C86" s="171" t="inlineStr">
        <is>
          <t>Пластина резиновая рулонная вулканизированная</t>
        </is>
      </c>
      <c r="D86" s="172" t="inlineStr">
        <is>
          <t>кг</t>
        </is>
      </c>
      <c r="E86" s="224" t="n">
        <v>0.03</v>
      </c>
      <c r="F86" s="174" t="n">
        <v>13.56</v>
      </c>
      <c r="G86" s="5">
        <f>ROUND(E86*F86,2)</f>
        <v/>
      </c>
      <c r="H86" s="68">
        <f>G86/$G$99</f>
        <v/>
      </c>
      <c r="I86" s="5">
        <f>ROUND(F86*'Прил. 10'!$D$13,2)</f>
        <v/>
      </c>
      <c r="J86" s="5">
        <f>ROUND(I86*E86,2)</f>
        <v/>
      </c>
    </row>
    <row r="87" hidden="1" outlineLevel="1" ht="14.25" customFormat="1" customHeight="1" s="4">
      <c r="A87" s="172" t="n">
        <v>59</v>
      </c>
      <c r="B87" s="172" t="inlineStr">
        <is>
          <t>01.7.20.04-0005</t>
        </is>
      </c>
      <c r="C87" s="171" t="inlineStr">
        <is>
          <t>Нитки швейные</t>
        </is>
      </c>
      <c r="D87" s="172" t="inlineStr">
        <is>
          <t>кг</t>
        </is>
      </c>
      <c r="E87" s="224" t="n">
        <v>0.0028</v>
      </c>
      <c r="F87" s="174" t="n">
        <v>133.05</v>
      </c>
      <c r="G87" s="5">
        <f>ROUND(E87*F87,2)</f>
        <v/>
      </c>
      <c r="H87" s="68">
        <f>G87/$G$99</f>
        <v/>
      </c>
      <c r="I87" s="5">
        <f>ROUND(F87*'Прил. 10'!$D$13,2)</f>
        <v/>
      </c>
      <c r="J87" s="5">
        <f>ROUND(I87*E87,2)</f>
        <v/>
      </c>
    </row>
    <row r="88" hidden="1" outlineLevel="1" ht="14.25" customFormat="1" customHeight="1" s="4">
      <c r="A88" s="172" t="n">
        <v>60</v>
      </c>
      <c r="B88" s="172" t="inlineStr">
        <is>
          <t>01.7.15.04-0011</t>
        </is>
      </c>
      <c r="C88" s="171" t="inlineStr">
        <is>
          <t>Винты с полукруглой головкой длиной: 50 мм</t>
        </is>
      </c>
      <c r="D88" s="172" t="inlineStr">
        <is>
          <t>т</t>
        </is>
      </c>
      <c r="E88" s="224" t="n">
        <v>2.9e-05</v>
      </c>
      <c r="F88" s="174" t="n">
        <v>12430</v>
      </c>
      <c r="G88" s="5">
        <f>ROUND(E88*F88,2)</f>
        <v/>
      </c>
      <c r="H88" s="68">
        <f>G88/$G$99</f>
        <v/>
      </c>
      <c r="I88" s="5">
        <f>ROUND(F88*'Прил. 10'!$D$13,2)</f>
        <v/>
      </c>
      <c r="J88" s="5">
        <f>ROUND(I88*E88,2)</f>
        <v/>
      </c>
    </row>
    <row r="89" hidden="1" outlineLevel="1" ht="14.25" customFormat="1" customHeight="1" s="4">
      <c r="A89" s="172" t="n">
        <v>61</v>
      </c>
      <c r="B89" s="172" t="inlineStr">
        <is>
          <t>01.7.11.06-0028</t>
        </is>
      </c>
      <c r="C89" s="171" t="inlineStr">
        <is>
          <t>Флюс ФКДТ</t>
        </is>
      </c>
      <c r="D89" s="172" t="inlineStr">
        <is>
          <t>кг</t>
        </is>
      </c>
      <c r="E89" s="224" t="n">
        <v>0.002</v>
      </c>
      <c r="F89" s="174" t="n">
        <v>138.76</v>
      </c>
      <c r="G89" s="5">
        <f>ROUND(E89*F89,2)</f>
        <v/>
      </c>
      <c r="H89" s="68">
        <f>G89/$G$99</f>
        <v/>
      </c>
      <c r="I89" s="5">
        <f>ROUND(F89*'Прил. 10'!$D$13,2)</f>
        <v/>
      </c>
      <c r="J89" s="5">
        <f>ROUND(I89*E89,2)</f>
        <v/>
      </c>
    </row>
    <row r="90" hidden="1" outlineLevel="1" ht="14.25" customFormat="1" customHeight="1" s="4">
      <c r="A90" s="172" t="n">
        <v>62</v>
      </c>
      <c r="B90" s="172" t="inlineStr">
        <is>
          <t>01.7.11.06-0029</t>
        </is>
      </c>
      <c r="C90" s="171" t="inlineStr">
        <is>
          <t>Флюс ФКСП</t>
        </is>
      </c>
      <c r="D90" s="172" t="inlineStr">
        <is>
          <t>кг</t>
        </is>
      </c>
      <c r="E90" s="224" t="n">
        <v>0.0018</v>
      </c>
      <c r="F90" s="174" t="n">
        <v>135.6</v>
      </c>
      <c r="G90" s="5">
        <f>ROUND(E90*F90,2)</f>
        <v/>
      </c>
      <c r="H90" s="68">
        <f>G90/$G$99</f>
        <v/>
      </c>
      <c r="I90" s="5">
        <f>ROUND(F90*'Прил. 10'!$D$13,2)</f>
        <v/>
      </c>
      <c r="J90" s="5">
        <f>ROUND(I90*E90,2)</f>
        <v/>
      </c>
    </row>
    <row r="91" hidden="1" outlineLevel="1" ht="14.25" customFormat="1" customHeight="1" s="4">
      <c r="A91" s="172" t="n">
        <v>63</v>
      </c>
      <c r="B91" s="172" t="inlineStr">
        <is>
          <t>14.4.02.09-0001</t>
        </is>
      </c>
      <c r="C91" s="171" t="inlineStr">
        <is>
          <t>Краска</t>
        </is>
      </c>
      <c r="D91" s="172" t="inlineStr">
        <is>
          <t>кг</t>
        </is>
      </c>
      <c r="E91" s="224" t="n">
        <v>0.005</v>
      </c>
      <c r="F91" s="174" t="n">
        <v>28.6</v>
      </c>
      <c r="G91" s="5">
        <f>ROUND(E91*F91,2)</f>
        <v/>
      </c>
      <c r="H91" s="68">
        <f>G91/$G$99</f>
        <v/>
      </c>
      <c r="I91" s="5">
        <f>ROUND(F91*'Прил. 10'!$D$13,2)</f>
        <v/>
      </c>
      <c r="J91" s="5">
        <f>ROUND(I91*E91,2)</f>
        <v/>
      </c>
    </row>
    <row r="92" hidden="1" outlineLevel="1" ht="14.25" customFormat="1" customHeight="1" s="4">
      <c r="A92" s="172" t="n">
        <v>64</v>
      </c>
      <c r="B92" s="172" t="inlineStr">
        <is>
          <t>01.3.05.11-0001</t>
        </is>
      </c>
      <c r="C92" s="171" t="inlineStr">
        <is>
          <t>Дихлорэтан технический, сорт I</t>
        </is>
      </c>
      <c r="D92" s="172" t="inlineStr">
        <is>
          <t>т</t>
        </is>
      </c>
      <c r="E92" s="224" t="n">
        <v>2.24e-05</v>
      </c>
      <c r="F92" s="174" t="n">
        <v>4934.48</v>
      </c>
      <c r="G92" s="5">
        <f>ROUND(E92*F92,2)</f>
        <v/>
      </c>
      <c r="H92" s="68">
        <f>G92/$G$99</f>
        <v/>
      </c>
      <c r="I92" s="5">
        <f>ROUND(F92*'Прил. 10'!$D$13,2)</f>
        <v/>
      </c>
      <c r="J92" s="5">
        <f>ROUND(I92*E92,2)</f>
        <v/>
      </c>
    </row>
    <row r="93" hidden="1" outlineLevel="1" ht="25.5" customFormat="1" customHeight="1" s="4">
      <c r="A93" s="172" t="n">
        <v>65</v>
      </c>
      <c r="B93" s="172" t="inlineStr">
        <is>
          <t>01.7.06.03-0004</t>
        </is>
      </c>
      <c r="C93" s="171" t="inlineStr">
        <is>
          <t>Лента поливинилхлоридная техническая с липким слоем, толщина 0,4 мм</t>
        </is>
      </c>
      <c r="D93" s="172" t="inlineStr">
        <is>
          <t>кг</t>
        </is>
      </c>
      <c r="E93" s="224" t="n">
        <v>0.004</v>
      </c>
      <c r="F93" s="174" t="n">
        <v>21.3</v>
      </c>
      <c r="G93" s="5">
        <f>ROUND(E93*F93,2)</f>
        <v/>
      </c>
      <c r="H93" s="68">
        <f>G93/$G$99</f>
        <v/>
      </c>
      <c r="I93" s="5">
        <f>ROUND(F93*'Прил. 10'!$D$13,2)</f>
        <v/>
      </c>
      <c r="J93" s="5">
        <f>ROUND(I93*E93,2)</f>
        <v/>
      </c>
    </row>
    <row r="94" hidden="1" outlineLevel="1" ht="14.25" customFormat="1" customHeight="1" s="4">
      <c r="A94" s="172" t="n">
        <v>66</v>
      </c>
      <c r="B94" s="172" t="inlineStr">
        <is>
          <t>01.7.02.09-0002</t>
        </is>
      </c>
      <c r="C94" s="171" t="inlineStr">
        <is>
          <t>Шпагат бумажный</t>
        </is>
      </c>
      <c r="D94" s="172" t="inlineStr">
        <is>
          <t>кг</t>
        </is>
      </c>
      <c r="E94" s="224" t="n">
        <v>0.0056</v>
      </c>
      <c r="F94" s="174" t="n">
        <v>11.5</v>
      </c>
      <c r="G94" s="5">
        <f>ROUND(E94*F94,2)</f>
        <v/>
      </c>
      <c r="H94" s="68">
        <f>G94/$G$99</f>
        <v/>
      </c>
      <c r="I94" s="5">
        <f>ROUND(F94*'Прил. 10'!$D$13,2)</f>
        <v/>
      </c>
      <c r="J94" s="5">
        <f>ROUND(I94*E94,2)</f>
        <v/>
      </c>
    </row>
    <row r="95" hidden="1" outlineLevel="1" ht="14.25" customFormat="1" customHeight="1" s="4">
      <c r="A95" s="172" t="n">
        <v>67</v>
      </c>
      <c r="B95" s="172" t="inlineStr">
        <is>
          <t>01.7.03.04-0001</t>
        </is>
      </c>
      <c r="C95" s="171" t="inlineStr">
        <is>
          <t>Электроэнергия</t>
        </is>
      </c>
      <c r="D95" s="172" t="inlineStr">
        <is>
          <t>кВт-ч</t>
        </is>
      </c>
      <c r="E95" s="224" t="n">
        <v>0.12</v>
      </c>
      <c r="F95" s="174" t="n">
        <v>0.4</v>
      </c>
      <c r="G95" s="5">
        <f>ROUND(E95*F95,2)</f>
        <v/>
      </c>
      <c r="H95" s="68">
        <f>G95/$G$99</f>
        <v/>
      </c>
      <c r="I95" s="5">
        <f>ROUND(F95*'Прил. 10'!$D$13,2)</f>
        <v/>
      </c>
      <c r="J95" s="5">
        <f>ROUND(I95*E95,2)</f>
        <v/>
      </c>
    </row>
    <row r="96" hidden="1" outlineLevel="1" ht="14.25" customFormat="1" customHeight="1" s="4">
      <c r="A96" s="172" t="n">
        <v>68</v>
      </c>
      <c r="B96" s="172" t="inlineStr">
        <is>
          <t>01.7.20.04-0004</t>
        </is>
      </c>
      <c r="C96" s="171" t="inlineStr">
        <is>
          <t>Нитки хлопчатобумажные швейные</t>
        </is>
      </c>
      <c r="D96" s="172" t="inlineStr">
        <is>
          <t>кг</t>
        </is>
      </c>
      <c r="E96" s="224" t="n">
        <v>0.0002</v>
      </c>
      <c r="F96" s="174" t="n">
        <v>100.12</v>
      </c>
      <c r="G96" s="5">
        <f>ROUND(E96*F96,2)</f>
        <v/>
      </c>
      <c r="H96" s="68">
        <f>G96/$G$99</f>
        <v/>
      </c>
      <c r="I96" s="5">
        <f>ROUND(F96*'Прил. 10'!$D$13,2)</f>
        <v/>
      </c>
      <c r="J96" s="5">
        <f>ROUND(I96*E96,2)</f>
        <v/>
      </c>
    </row>
    <row r="97" hidden="1" outlineLevel="1" ht="14.25" customFormat="1" customHeight="1" s="4">
      <c r="A97" s="172" t="n">
        <v>69</v>
      </c>
      <c r="B97" s="172" t="inlineStr">
        <is>
          <t>999-0005</t>
        </is>
      </c>
      <c r="C97" s="171" t="inlineStr">
        <is>
          <t>Масса</t>
        </is>
      </c>
      <c r="D97" s="172" t="inlineStr">
        <is>
          <t>т</t>
        </is>
      </c>
      <c r="E97" s="224" t="n">
        <v>0.004</v>
      </c>
      <c r="F97" s="174" t="n"/>
      <c r="G97" s="5">
        <f>ROUND(E97*F97,2)</f>
        <v/>
      </c>
      <c r="H97" s="68">
        <f>G97/$G$99</f>
        <v/>
      </c>
      <c r="I97" s="5">
        <f>ROUND(F97*'Прил. 10'!$D$13,2)</f>
        <v/>
      </c>
      <c r="J97" s="5">
        <f>ROUND(I97*E97,2)</f>
        <v/>
      </c>
    </row>
    <row r="98" collapsed="1" ht="14.25" customFormat="1" customHeight="1" s="4">
      <c r="A98" s="172" t="n"/>
      <c r="B98" s="172" t="n"/>
      <c r="C98" s="171" t="inlineStr">
        <is>
          <t>Итого прочие материалы</t>
        </is>
      </c>
      <c r="D98" s="172" t="n"/>
      <c r="E98" s="173" t="n"/>
      <c r="F98" s="174" t="n"/>
      <c r="G98" s="5">
        <f>SUM(G45:G97)</f>
        <v/>
      </c>
      <c r="H98" s="68">
        <f>G98/$G$99</f>
        <v/>
      </c>
      <c r="I98" s="5" t="n"/>
      <c r="J98" s="5">
        <f>SUM(J45:J97)</f>
        <v/>
      </c>
    </row>
    <row r="99" ht="14.25" customFormat="1" customHeight="1" s="4">
      <c r="A99" s="172" t="n"/>
      <c r="B99" s="172" t="n"/>
      <c r="C99" s="156" t="inlineStr">
        <is>
          <t>Итого по разделу «Материалы»</t>
        </is>
      </c>
      <c r="D99" s="172" t="n"/>
      <c r="E99" s="173" t="n"/>
      <c r="F99" s="174" t="n"/>
      <c r="G99" s="5">
        <f>G44+G98</f>
        <v/>
      </c>
      <c r="H99" s="175">
        <f>G99/$G$99</f>
        <v/>
      </c>
      <c r="I99" s="5" t="n"/>
      <c r="J99" s="5">
        <f>J44+J98</f>
        <v/>
      </c>
    </row>
    <row r="100" ht="14.25" customFormat="1" customHeight="1" s="4">
      <c r="A100" s="172" t="n"/>
      <c r="B100" s="172" t="n"/>
      <c r="C100" s="171" t="inlineStr">
        <is>
          <t>ИТОГО ПО РМ</t>
        </is>
      </c>
      <c r="D100" s="172" t="n"/>
      <c r="E100" s="173" t="n"/>
      <c r="F100" s="174" t="n"/>
      <c r="G100" s="5">
        <f>G14+G31+G99</f>
        <v/>
      </c>
      <c r="H100" s="175" t="n"/>
      <c r="I100" s="5" t="n"/>
      <c r="J100" s="5">
        <f>J14+J31+J99</f>
        <v/>
      </c>
    </row>
    <row r="101" ht="14.25" customFormat="1" customHeight="1" s="4">
      <c r="A101" s="172" t="n"/>
      <c r="B101" s="172" t="n"/>
      <c r="C101" s="171" t="inlineStr">
        <is>
          <t>Накладные расходы</t>
        </is>
      </c>
      <c r="D101" s="22">
        <f>ROUND(G101/(G$16+$G$14),2)</f>
        <v/>
      </c>
      <c r="E101" s="173" t="n"/>
      <c r="F101" s="174" t="n"/>
      <c r="G101" s="5" t="n">
        <v>1564.94</v>
      </c>
      <c r="H101" s="175" t="n"/>
      <c r="I101" s="5" t="n"/>
      <c r="J101" s="5">
        <f>ROUND(D101*(J14+J16),2)</f>
        <v/>
      </c>
    </row>
    <row r="102" ht="14.25" customFormat="1" customHeight="1" s="4">
      <c r="A102" s="172" t="n"/>
      <c r="B102" s="172" t="n"/>
      <c r="C102" s="171" t="inlineStr">
        <is>
          <t>Сметная прибыль</t>
        </is>
      </c>
      <c r="D102" s="22">
        <f>ROUND(G102/(G$14+G$16),2)</f>
        <v/>
      </c>
      <c r="E102" s="173" t="n"/>
      <c r="F102" s="174" t="n"/>
      <c r="G102" s="5" t="n">
        <v>821</v>
      </c>
      <c r="H102" s="175" t="n"/>
      <c r="I102" s="5" t="n"/>
      <c r="J102" s="5">
        <f>ROUND(D102*(J14+J16),2)</f>
        <v/>
      </c>
    </row>
    <row r="103" ht="14.25" customFormat="1" customHeight="1" s="4">
      <c r="A103" s="172" t="n"/>
      <c r="B103" s="172" t="n"/>
      <c r="C103" s="171" t="inlineStr">
        <is>
          <t>Итого СМР (с НР и СП)</t>
        </is>
      </c>
      <c r="D103" s="172" t="n"/>
      <c r="E103" s="173" t="n"/>
      <c r="F103" s="174" t="n"/>
      <c r="G103" s="5">
        <f>G14+G31+G99+G101+G102</f>
        <v/>
      </c>
      <c r="H103" s="175" t="n"/>
      <c r="I103" s="5" t="n"/>
      <c r="J103" s="5">
        <f>J14+J31+J99+J101+J102</f>
        <v/>
      </c>
    </row>
    <row r="104" ht="14.25" customFormat="1" customHeight="1" s="4">
      <c r="A104" s="172" t="n"/>
      <c r="B104" s="172" t="n"/>
      <c r="C104" s="171" t="inlineStr">
        <is>
          <t>ВСЕГО СМР + ОБОРУДОВАНИЕ</t>
        </is>
      </c>
      <c r="D104" s="172" t="n"/>
      <c r="E104" s="173" t="n"/>
      <c r="F104" s="174" t="n"/>
      <c r="G104" s="5">
        <f>G103+G37</f>
        <v/>
      </c>
      <c r="H104" s="175" t="n"/>
      <c r="I104" s="5" t="n"/>
      <c r="J104" s="5">
        <f>J103+J37</f>
        <v/>
      </c>
    </row>
    <row r="105" ht="34.5" customFormat="1" customHeight="1" s="4">
      <c r="A105" s="172" t="n"/>
      <c r="B105" s="172" t="n"/>
      <c r="C105" s="171" t="inlineStr">
        <is>
          <t>ИТОГО ПОКАЗАТЕЛЬ НА ЕД. ИЗМ.</t>
        </is>
      </c>
      <c r="D105" s="172" t="inlineStr">
        <is>
          <t>ед.</t>
        </is>
      </c>
      <c r="E105" s="225" t="n">
        <v>1</v>
      </c>
      <c r="F105" s="174" t="n"/>
      <c r="G105" s="5">
        <f>G104/E105</f>
        <v/>
      </c>
      <c r="H105" s="175" t="n"/>
      <c r="I105" s="5" t="n"/>
      <c r="J105" s="5">
        <f>J104/E105</f>
        <v/>
      </c>
    </row>
    <row r="107" ht="14.25" customFormat="1" customHeight="1" s="4">
      <c r="A107" s="2" t="inlineStr">
        <is>
          <t>Составил ______________________    Д.Ю. Нефедова</t>
        </is>
      </c>
    </row>
    <row r="108" ht="14.25" customFormat="1" customHeight="1" s="4">
      <c r="A108" s="14" t="inlineStr">
        <is>
          <t xml:space="preserve">                         (подпись, инициалы, фамилия)</t>
        </is>
      </c>
      <c r="G108" s="84" t="n"/>
    </row>
    <row r="109" ht="14.25" customFormat="1" customHeight="1" s="4">
      <c r="A109" s="2" t="n"/>
    </row>
    <row r="110" ht="14.25" customFormat="1" customHeight="1" s="4">
      <c r="A110" s="2" t="inlineStr">
        <is>
          <t>Проверил ______________________        А.В. Костянецкая</t>
        </is>
      </c>
    </row>
    <row r="111" ht="14.25" customFormat="1" customHeight="1" s="4">
      <c r="A111" s="14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zoomScale="85" workbookViewId="0">
      <selection activeCell="B16" sqref="B16"/>
    </sheetView>
  </sheetViews>
  <sheetFormatPr baseColWidth="8" defaultRowHeight="15"/>
  <cols>
    <col width="5.7109375" customWidth="1" style="119" min="1" max="1"/>
    <col width="17.5703125" customWidth="1" style="119" min="2" max="2"/>
    <col width="62.85546875" customWidth="1" style="119" min="3" max="3"/>
    <col width="10.7109375" customWidth="1" style="119" min="4" max="4"/>
    <col width="13.85546875" customWidth="1" style="119" min="5" max="5"/>
    <col width="13.28515625" customWidth="1" style="119" min="6" max="6"/>
    <col width="14.140625" customWidth="1" style="119" min="7" max="7"/>
  </cols>
  <sheetData>
    <row r="1">
      <c r="A1" s="186" t="inlineStr">
        <is>
          <t>Приложение №6</t>
        </is>
      </c>
    </row>
    <row r="2" ht="21.75" customHeight="1" s="119">
      <c r="A2" s="186" t="n"/>
      <c r="B2" s="186" t="n"/>
      <c r="C2" s="186" t="n"/>
      <c r="D2" s="186" t="n"/>
      <c r="E2" s="186" t="n"/>
      <c r="F2" s="186" t="n"/>
      <c r="G2" s="186" t="n"/>
    </row>
    <row r="3">
      <c r="A3" s="163" t="inlineStr">
        <is>
          <t>Расчет стоимости оборудования</t>
        </is>
      </c>
    </row>
    <row r="4" ht="27" customHeight="1" s="119">
      <c r="A4" s="181" t="inlineStr">
        <is>
          <t>Наименование разрабатываемого показателя УНЦ — Установка ПТК СМиУКЭ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 s="119">
      <c r="A6" s="191" t="inlineStr">
        <is>
          <t>№ пп.</t>
        </is>
      </c>
      <c r="B6" s="191" t="inlineStr">
        <is>
          <t>Код ресурса</t>
        </is>
      </c>
      <c r="C6" s="191" t="inlineStr">
        <is>
          <t>Наименование</t>
        </is>
      </c>
      <c r="D6" s="191" t="inlineStr">
        <is>
          <t>Ед. изм.</t>
        </is>
      </c>
      <c r="E6" s="172" t="inlineStr">
        <is>
          <t>Кол-во единиц по проектным данным</t>
        </is>
      </c>
      <c r="F6" s="191" t="inlineStr">
        <is>
          <t>Сметная стоимость в ценах на 01.01.2000 (руб.)</t>
        </is>
      </c>
      <c r="G6" s="208" t="n"/>
    </row>
    <row r="7">
      <c r="A7" s="210" t="n"/>
      <c r="B7" s="210" t="n"/>
      <c r="C7" s="210" t="n"/>
      <c r="D7" s="210" t="n"/>
      <c r="E7" s="210" t="n"/>
      <c r="F7" s="172" t="inlineStr">
        <is>
          <t>на ед. изм.</t>
        </is>
      </c>
      <c r="G7" s="172" t="inlineStr">
        <is>
          <t>общая</t>
        </is>
      </c>
    </row>
    <row r="8">
      <c r="A8" s="172" t="n">
        <v>1</v>
      </c>
      <c r="B8" s="172" t="n">
        <v>2</v>
      </c>
      <c r="C8" s="172" t="n">
        <v>3</v>
      </c>
      <c r="D8" s="172" t="n">
        <v>4</v>
      </c>
      <c r="E8" s="172" t="n">
        <v>5</v>
      </c>
      <c r="F8" s="172" t="n">
        <v>6</v>
      </c>
      <c r="G8" s="172" t="n">
        <v>7</v>
      </c>
    </row>
    <row r="9" ht="15" customHeight="1" s="119">
      <c r="A9" s="17" t="n"/>
      <c r="B9" s="171" t="inlineStr">
        <is>
          <t>ИНЖЕНЕРНОЕ ОБОРУДОВАНИЕ</t>
        </is>
      </c>
      <c r="C9" s="207" t="n"/>
      <c r="D9" s="207" t="n"/>
      <c r="E9" s="207" t="n"/>
      <c r="F9" s="207" t="n"/>
      <c r="G9" s="208" t="n"/>
    </row>
    <row r="10" ht="27" customHeight="1" s="119">
      <c r="A10" s="172" t="n"/>
      <c r="B10" s="156" t="n"/>
      <c r="C10" s="171" t="inlineStr">
        <is>
          <t>ИТОГО ИНЖЕНЕРНОЕ ОБОРУДОВАНИЕ</t>
        </is>
      </c>
      <c r="D10" s="156" t="n"/>
      <c r="E10" s="19" t="n"/>
      <c r="F10" s="174" t="n"/>
      <c r="G10" s="174" t="n">
        <v>0</v>
      </c>
    </row>
    <row r="11">
      <c r="A11" s="167" t="n"/>
      <c r="B11" s="166" t="inlineStr">
        <is>
          <t>ТЕХНОЛОГИЧЕСКОЕ ОБОРУДОВАНИЕ</t>
        </is>
      </c>
      <c r="C11" s="217" t="n"/>
      <c r="D11" s="217" t="n"/>
      <c r="E11" s="217" t="n"/>
      <c r="F11" s="217" t="n"/>
      <c r="G11" s="218" t="n"/>
    </row>
    <row r="12" ht="41.25" customHeight="1" s="119">
      <c r="A12" s="172" t="n">
        <v>1</v>
      </c>
      <c r="B12" s="171">
        <f>'Прил.5 Расчет СМР и ОБ'!B34</f>
        <v/>
      </c>
      <c r="C12" s="138">
        <f>'Прил.5 Расчет СМР и ОБ'!C34</f>
        <v/>
      </c>
      <c r="D12" s="171">
        <f>'Прил.5 Расчет СМР и ОБ'!D34</f>
        <v/>
      </c>
      <c r="E12" s="171">
        <f>'Прил.5 Расчет СМР и ОБ'!E34</f>
        <v/>
      </c>
      <c r="F12" s="172">
        <f>'Прил.5 Расчет СМР и ОБ'!F34</f>
        <v/>
      </c>
      <c r="G12" s="174">
        <f>ROUND(E12*F12,2)</f>
        <v/>
      </c>
    </row>
    <row r="13" ht="25.5" customHeight="1" s="119">
      <c r="A13" s="184" t="n"/>
      <c r="B13" s="72" t="n"/>
      <c r="C13" s="72" t="inlineStr">
        <is>
          <t>ИТОГО ТЕХНОЛОГИЧЕСКОЕ ОБОРУДОВАНИЕ</t>
        </is>
      </c>
      <c r="D13" s="72" t="n"/>
      <c r="E13" s="116" t="n"/>
      <c r="F13" s="115" t="n"/>
      <c r="G13" s="74">
        <f>SUM(G12:G12)</f>
        <v/>
      </c>
    </row>
    <row r="14" ht="19.5" customHeight="1" s="119">
      <c r="A14" s="172" t="n"/>
      <c r="B14" s="171" t="n"/>
      <c r="C14" s="171" t="inlineStr">
        <is>
          <t>Всего по разделу «Оборудование»</t>
        </is>
      </c>
      <c r="D14" s="171" t="n"/>
      <c r="E14" s="82" t="n"/>
      <c r="F14" s="174" t="n"/>
      <c r="G14" s="5">
        <f>G10+G13</f>
        <v/>
      </c>
    </row>
    <row r="15">
      <c r="A15" s="20" t="n"/>
      <c r="B15" s="21" t="n"/>
      <c r="C15" s="20" t="n"/>
      <c r="D15" s="20" t="n"/>
      <c r="E15" s="20" t="n"/>
      <c r="F15" s="20" t="n"/>
      <c r="G15" s="20" t="n"/>
    </row>
    <row r="16">
      <c r="A16" s="2" t="inlineStr">
        <is>
          <t>Составил ______________________    Д.Ю. Нефедова</t>
        </is>
      </c>
      <c r="B16" s="4" t="n"/>
      <c r="C16" s="4" t="n"/>
      <c r="D16" s="20" t="n"/>
      <c r="E16" s="20" t="n"/>
      <c r="F16" s="20" t="n"/>
      <c r="G16" s="20" t="n"/>
    </row>
    <row r="17">
      <c r="A17" s="14" t="inlineStr">
        <is>
          <t xml:space="preserve">                         (подпись, инициалы, фамилия)</t>
        </is>
      </c>
      <c r="B17" s="4" t="n"/>
      <c r="C17" s="4" t="n"/>
      <c r="D17" s="20" t="n"/>
      <c r="E17" s="20" t="n"/>
      <c r="F17" s="20" t="n"/>
      <c r="G17" s="20" t="n"/>
    </row>
    <row r="18">
      <c r="A18" s="2" t="n"/>
      <c r="B18" s="4" t="n"/>
      <c r="C18" s="4" t="n"/>
      <c r="D18" s="20" t="n"/>
      <c r="E18" s="20" t="n"/>
      <c r="F18" s="20" t="n"/>
      <c r="G18" s="20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20" t="n"/>
      <c r="E19" s="20" t="n"/>
      <c r="F19" s="20" t="n"/>
      <c r="G19" s="20" t="n"/>
    </row>
    <row r="20">
      <c r="A20" s="14" t="inlineStr">
        <is>
          <t xml:space="preserve">                        (подпись, инициалы, фамилия)</t>
        </is>
      </c>
      <c r="B20" s="4" t="n"/>
      <c r="C20" s="4" t="n"/>
      <c r="D20" s="20" t="n"/>
      <c r="E20" s="20" t="n"/>
      <c r="F20" s="20" t="n"/>
      <c r="G20" s="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63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19" min="1" max="1"/>
    <col width="29.7109375" customWidth="1" style="119" min="2" max="2"/>
    <col width="39.140625" customWidth="1" style="119" min="3" max="3"/>
    <col width="24.5703125" customWidth="1" style="119" min="4" max="4"/>
  </cols>
  <sheetData>
    <row r="1">
      <c r="B1" s="2" t="n"/>
      <c r="C1" s="2" t="n"/>
      <c r="D1" s="186" t="inlineStr">
        <is>
          <t>Приложение №7</t>
        </is>
      </c>
    </row>
    <row r="2">
      <c r="A2" s="186" t="n"/>
      <c r="B2" s="186" t="n"/>
      <c r="C2" s="186" t="n"/>
      <c r="D2" s="186" t="n"/>
    </row>
    <row r="3" ht="24.75" customHeight="1" s="119">
      <c r="A3" s="163" t="inlineStr">
        <is>
          <t>Расчет показателя УНЦ</t>
        </is>
      </c>
    </row>
    <row r="4" ht="24.75" customHeight="1" s="119">
      <c r="A4" s="163" t="n"/>
      <c r="B4" s="163" t="n"/>
      <c r="C4" s="163" t="n"/>
      <c r="D4" s="163" t="n"/>
    </row>
    <row r="5" ht="24.6" customHeight="1" s="119">
      <c r="A5" s="181" t="inlineStr">
        <is>
          <t xml:space="preserve">Наименование разрабатываемого показателя УНЦ - </t>
        </is>
      </c>
      <c r="D5" s="181">
        <f>'Прил.5 Расчет СМР и ОБ'!D6:J6</f>
        <v/>
      </c>
    </row>
    <row r="6" ht="19.9" customHeight="1" s="119">
      <c r="A6" s="181" t="inlineStr">
        <is>
          <t>Единица измерения  — 1 ед</t>
        </is>
      </c>
      <c r="D6" s="181" t="n"/>
    </row>
    <row r="7">
      <c r="A7" s="2" t="n"/>
      <c r="B7" s="2" t="n"/>
      <c r="C7" s="2" t="n"/>
      <c r="D7" s="2" t="n"/>
    </row>
    <row r="8" ht="14.45" customHeight="1" s="119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9">
      <c r="A9" s="210" t="n"/>
      <c r="B9" s="210" t="n"/>
      <c r="C9" s="210" t="n"/>
      <c r="D9" s="210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 ht="41.45" customHeight="1" s="119">
      <c r="A11" s="172" t="inlineStr">
        <is>
          <t>А1-82</t>
        </is>
      </c>
      <c r="B11" s="172" t="inlineStr">
        <is>
          <t>УНЦ ИИК</t>
        </is>
      </c>
      <c r="C11" s="60">
        <f>D5</f>
        <v/>
      </c>
      <c r="D11" s="118">
        <f>'Прил.4 РМ'!C41/1000</f>
        <v/>
      </c>
      <c r="E11" s="16" t="n"/>
    </row>
    <row r="12">
      <c r="A12" s="20" t="n"/>
      <c r="B12" s="21" t="n"/>
      <c r="C12" s="20" t="n"/>
      <c r="D12" s="20" t="n"/>
    </row>
    <row r="13">
      <c r="A13" s="2" t="inlineStr">
        <is>
          <t>Составил ______________________      Д.Ю. Нефедова</t>
        </is>
      </c>
      <c r="B13" s="4" t="n"/>
      <c r="C13" s="4" t="n"/>
      <c r="D13" s="20" t="n"/>
    </row>
    <row r="14">
      <c r="A14" s="14" t="inlineStr">
        <is>
          <t xml:space="preserve">                         (подпись, инициалы, фамилия)</t>
        </is>
      </c>
      <c r="B14" s="4" t="n"/>
      <c r="C14" s="4" t="n"/>
      <c r="D14" s="20" t="n"/>
    </row>
    <row r="15">
      <c r="A15" s="2" t="n"/>
      <c r="B15" s="4" t="n"/>
      <c r="C15" s="4" t="n"/>
      <c r="D15" s="20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20" t="n"/>
    </row>
    <row r="17">
      <c r="A17" s="14" t="inlineStr">
        <is>
          <t xml:space="preserve">                        (подпись, инициалы, фамилия)</t>
        </is>
      </c>
      <c r="B17" s="4" t="n"/>
      <c r="C17" s="4" t="n"/>
      <c r="D17" s="2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19" min="2" max="2"/>
    <col width="37.5703125" customWidth="1" style="119" min="3" max="3"/>
    <col width="32" customWidth="1" style="119" min="4" max="4"/>
  </cols>
  <sheetData>
    <row r="4" ht="15.75" customHeight="1" s="119">
      <c r="B4" s="140" t="inlineStr">
        <is>
          <t>Приложение № 10</t>
        </is>
      </c>
    </row>
    <row r="5" ht="18.75" customHeight="1" s="119">
      <c r="B5" s="6" t="n"/>
    </row>
    <row r="6" ht="15.75" customHeight="1" s="119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92" t="n"/>
    </row>
    <row r="8">
      <c r="B8" s="192" t="n"/>
      <c r="C8" s="192" t="n"/>
      <c r="D8" s="192" t="n"/>
      <c r="E8" s="192" t="n"/>
    </row>
    <row r="9" ht="47.25" customHeight="1" s="119">
      <c r="B9" s="145" t="inlineStr">
        <is>
          <t>Наименование индекса / норм сопутствующих затрат</t>
        </is>
      </c>
      <c r="C9" s="145" t="inlineStr">
        <is>
          <t>Дата применения и обоснование индекса / норм сопутствующих затрат</t>
        </is>
      </c>
      <c r="D9" s="145" t="inlineStr">
        <is>
          <t>Размер индекса / норма сопутствующих затрат</t>
        </is>
      </c>
    </row>
    <row r="10" ht="15.75" customHeight="1" s="119">
      <c r="B10" s="145" t="n">
        <v>1</v>
      </c>
      <c r="C10" s="145" t="n">
        <v>2</v>
      </c>
      <c r="D10" s="145" t="n">
        <v>3</v>
      </c>
    </row>
    <row r="11" ht="45" customHeight="1" s="119">
      <c r="B11" s="145" t="inlineStr">
        <is>
          <t xml:space="preserve">Индекс изменения сметной стоимости на 1 квартал 2023 года. ОЗП </t>
        </is>
      </c>
      <c r="C11" s="145" t="inlineStr">
        <is>
          <t>Письмо Минстроя России от 30.03.2023г. №17106-ИФ/09  прил.1</t>
        </is>
      </c>
      <c r="D11" s="145" t="n">
        <v>44.29</v>
      </c>
    </row>
    <row r="12" ht="29.25" customHeight="1" s="119">
      <c r="B12" s="145" t="inlineStr">
        <is>
          <t>Индекс изменения сметной стоимости на 1 квартал 2023 года. ЭМ</t>
        </is>
      </c>
      <c r="C12" s="145" t="inlineStr">
        <is>
          <t>Письмо Минстроя России от 30.03.2023г. №17106-ИФ/09  прил.1</t>
        </is>
      </c>
      <c r="D12" s="145" t="n">
        <v>13.47</v>
      </c>
    </row>
    <row r="13" ht="29.25" customHeight="1" s="119">
      <c r="B13" s="145" t="inlineStr">
        <is>
          <t>Индекс изменения сметной стоимости на 1 квартал 2023 года. МАТ</t>
        </is>
      </c>
      <c r="C13" s="145" t="inlineStr">
        <is>
          <t>Письмо Минстроя России от 30.03.2023г. №17106-ИФ/09  прил.1</t>
        </is>
      </c>
      <c r="D13" s="145" t="n">
        <v>8.039999999999999</v>
      </c>
    </row>
    <row r="14" ht="30.75" customHeight="1" s="119">
      <c r="B14" s="145" t="inlineStr">
        <is>
          <t>Индекс изменения сметной стоимости на 1 квартал 2023 года. ОБ</t>
        </is>
      </c>
      <c r="C14" s="43" t="inlineStr">
        <is>
          <t>Письмо Минстроя России от 23.02.2023г. №9791-ИФ/09 прил.6</t>
        </is>
      </c>
      <c r="D14" s="145" t="n">
        <v>6.26</v>
      </c>
    </row>
    <row r="15" ht="89.45" customHeight="1" s="119">
      <c r="B15" s="145" t="inlineStr">
        <is>
          <t>Временные здания и сооружения</t>
        </is>
      </c>
      <c r="C15" s="14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9" t="n">
        <v>0.039</v>
      </c>
    </row>
    <row r="16" ht="78.75" customHeight="1" s="119">
      <c r="B16" s="145" t="inlineStr">
        <is>
          <t>Дополнительные затраты при производстве строительно-монтажных работ в зимнее время</t>
        </is>
      </c>
      <c r="C16" s="14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9" t="n">
        <v>0.021</v>
      </c>
    </row>
    <row r="17" ht="31.7" customHeight="1" s="119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9" t="n">
        <v>0.0214</v>
      </c>
    </row>
    <row r="18" ht="31.7" customHeight="1" s="119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9" t="n">
        <v>0.002</v>
      </c>
    </row>
    <row r="19" ht="24" customHeight="1" s="119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9" t="n">
        <v>0.03</v>
      </c>
    </row>
    <row r="20" ht="18.75" customHeight="1" s="119">
      <c r="B20" s="7" t="n"/>
    </row>
    <row r="21" ht="18.75" customHeight="1" s="119">
      <c r="B21" s="7" t="n"/>
    </row>
    <row r="22" ht="18.75" customHeight="1" s="119">
      <c r="B22" s="7" t="n"/>
    </row>
    <row r="23" ht="18.75" customHeight="1" s="119">
      <c r="B23" s="7" t="n"/>
    </row>
    <row r="26">
      <c r="B26" s="2" t="inlineStr">
        <is>
          <t>Составил ______________________        Д.Ю. Нефедова</t>
        </is>
      </c>
      <c r="C26" s="4" t="n"/>
    </row>
    <row r="27">
      <c r="B27" s="14" t="inlineStr">
        <is>
          <t xml:space="preserve">                         (подпись, инициалы, фамилия)</t>
        </is>
      </c>
      <c r="C27" s="4" t="n"/>
    </row>
    <row r="28">
      <c r="B28" s="2" t="n"/>
      <c r="C28" s="4" t="n"/>
    </row>
    <row r="29">
      <c r="B29" s="2" t="inlineStr">
        <is>
          <t>Проверил ______________________        А.В. Костянецкая</t>
        </is>
      </c>
      <c r="C29" s="4" t="n"/>
    </row>
    <row r="30">
      <c r="B30" s="14" t="inlineStr">
        <is>
          <t xml:space="preserve">                        (подпись, инициалы, фамилия)</t>
        </is>
      </c>
      <c r="C30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9" min="2" max="2"/>
    <col width="13" customWidth="1" style="119" min="3" max="3"/>
    <col width="22.85546875" customWidth="1" style="119" min="4" max="4"/>
    <col width="21.5703125" customWidth="1" style="119" min="5" max="5"/>
    <col width="53.7109375" bestFit="1" customWidth="1" style="119" min="6" max="6"/>
  </cols>
  <sheetData>
    <row r="1" s="119"/>
    <row r="2" ht="17.25" customHeight="1" s="119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9"/>
    <row r="4" ht="18" customHeight="1" s="119">
      <c r="A4" s="120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 s="119">
      <c r="A5" s="122" t="inlineStr">
        <is>
          <t>№ пп.</t>
        </is>
      </c>
      <c r="B5" s="122" t="inlineStr">
        <is>
          <t>Наименование элемента</t>
        </is>
      </c>
      <c r="C5" s="122" t="inlineStr">
        <is>
          <t>Обозначение</t>
        </is>
      </c>
      <c r="D5" s="122" t="inlineStr">
        <is>
          <t>Формула</t>
        </is>
      </c>
      <c r="E5" s="122" t="inlineStr">
        <is>
          <t>Величина элемента</t>
        </is>
      </c>
      <c r="F5" s="122" t="inlineStr">
        <is>
          <t>Наименования обосновывающих документов</t>
        </is>
      </c>
      <c r="G5" s="121" t="n"/>
    </row>
    <row r="6" ht="15.75" customHeight="1" s="119">
      <c r="A6" s="122" t="n">
        <v>1</v>
      </c>
      <c r="B6" s="122" t="n">
        <v>2</v>
      </c>
      <c r="C6" s="122" t="n">
        <v>3</v>
      </c>
      <c r="D6" s="122" t="n">
        <v>4</v>
      </c>
      <c r="E6" s="122" t="n">
        <v>5</v>
      </c>
      <c r="F6" s="122" t="n">
        <v>6</v>
      </c>
      <c r="G6" s="121" t="n"/>
    </row>
    <row r="7" ht="110.25" customHeight="1" s="119">
      <c r="A7" s="123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26" t="n">
        <v>47872.94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 s="119">
      <c r="A8" s="123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27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119">
      <c r="A9" s="123" t="inlineStr">
        <is>
          <t>1.3</t>
        </is>
      </c>
      <c r="B9" s="128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27" t="n">
        <v>1</v>
      </c>
      <c r="F9" s="128" t="n"/>
      <c r="G9" s="130" t="n"/>
    </row>
    <row r="10" ht="15.75" customHeight="1" s="119">
      <c r="A10" s="123" t="inlineStr">
        <is>
          <t>1.4</t>
        </is>
      </c>
      <c r="B10" s="128" t="inlineStr">
        <is>
          <t>Средний разряд работ</t>
        </is>
      </c>
      <c r="C10" s="145" t="n"/>
      <c r="D10" s="145" t="n"/>
      <c r="E10" s="226" t="n">
        <v>3.9</v>
      </c>
      <c r="F10" s="128" t="inlineStr">
        <is>
          <t>РТМ</t>
        </is>
      </c>
      <c r="G10" s="130" t="n"/>
    </row>
    <row r="11" ht="78.75" customHeight="1" s="119">
      <c r="A11" s="123" t="inlineStr">
        <is>
          <t>1.5</t>
        </is>
      </c>
      <c r="B11" s="128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27" t="n">
        <v>1.324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 s="119">
      <c r="A12" s="133" t="inlineStr">
        <is>
          <t>1.6</t>
        </is>
      </c>
      <c r="B12" s="193" t="inlineStr">
        <is>
          <t>Коэффициент инфляции, определяемый поквартально</t>
        </is>
      </c>
      <c r="C12" s="150" t="inlineStr">
        <is>
          <t>Кинф</t>
        </is>
      </c>
      <c r="D12" s="150" t="inlineStr">
        <is>
          <t>-</t>
        </is>
      </c>
      <c r="E12" s="228" t="n">
        <v>1.139</v>
      </c>
      <c r="F12" s="19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9">
      <c r="A13" s="196" t="inlineStr">
        <is>
          <t>1.7</t>
        </is>
      </c>
      <c r="B13" s="197" t="inlineStr">
        <is>
          <t>Размер средств на оплату труда рабочих-строителей в текущем уровне цен (ФОТр.тек.), руб/чел.-ч</t>
        </is>
      </c>
      <c r="C13" s="198" t="inlineStr">
        <is>
          <t>ФОТр.тек.</t>
        </is>
      </c>
      <c r="D13" s="198" t="inlineStr">
        <is>
          <t>(С1ср/tср*КТ*Т*Кув)*Кинф</t>
        </is>
      </c>
      <c r="E13" s="199">
        <f>((E7*E9/E8)*E11)*E12</f>
        <v/>
      </c>
      <c r="F13" s="2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2025-01-24T11:52:17Z</dcterms:modified>
  <cp:lastModifiedBy>Николай Трофименко</cp:lastModifiedBy>
  <cp:lastPrinted>2023-12-01T12:03:54Z</cp:lastPrinted>
</cp:coreProperties>
</file>