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25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4" fontId="25" fillId="0" borderId="4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5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55" zoomScaleNormal="55" workbookViewId="0">
      <selection activeCell="D29" sqref="D29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37.28515625" customWidth="1" style="302" min="5" max="5"/>
    <col width="9.140625" customWidth="1" style="302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.2" customHeight="1" s="300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199" t="n"/>
      <c r="C6" s="199" t="n"/>
      <c r="D6" s="199" t="n"/>
    </row>
    <row r="7" ht="64.5" customHeight="1" s="300">
      <c r="B7" s="334" t="inlineStr">
        <is>
          <t>Наименование разрабатываемого показателя УНЦ - Установка АРМ АИИСКУЭ на ПС 35-750 кВ (без прикладного ПО)</t>
        </is>
      </c>
    </row>
    <row r="8" ht="31.7" customHeight="1" s="300">
      <c r="B8" s="334" t="inlineStr">
        <is>
          <t>Сопоставимый уровень цен: 3 кв. 2019 г.</t>
        </is>
      </c>
    </row>
    <row r="9" ht="15.75" customHeight="1" s="300">
      <c r="B9" s="334" t="inlineStr">
        <is>
          <t>Единица измерения  — 1 ед.</t>
        </is>
      </c>
    </row>
    <row r="10">
      <c r="B10" s="334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 xml:space="preserve">Объект-представитель </t>
        </is>
      </c>
      <c r="E11" s="200" t="n"/>
    </row>
    <row r="12" ht="96.75" customHeight="1" s="300">
      <c r="B12" s="338" t="n">
        <v>1</v>
      </c>
      <c r="C12" s="201" t="inlineStr">
        <is>
          <t>Наименование объекта-представителя</t>
        </is>
      </c>
      <c r="D12" s="338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38" t="n">
        <v>2</v>
      </c>
      <c r="C13" s="201" t="inlineStr">
        <is>
          <t>Наименование субъекта Российской Федерации</t>
        </is>
      </c>
      <c r="D13" s="338" t="inlineStr">
        <is>
          <t>Республика Калмыкия</t>
        </is>
      </c>
    </row>
    <row r="14">
      <c r="B14" s="338" t="n">
        <v>3</v>
      </c>
      <c r="C14" s="201" t="inlineStr">
        <is>
          <t>Климатический район и подрайон</t>
        </is>
      </c>
      <c r="D14" s="338" t="inlineStr">
        <is>
          <t>IVГ</t>
        </is>
      </c>
    </row>
    <row r="15">
      <c r="B15" s="338" t="n">
        <v>4</v>
      </c>
      <c r="C15" s="201" t="inlineStr">
        <is>
          <t>Мощность объекта</t>
        </is>
      </c>
      <c r="D15" s="338" t="n">
        <v>1</v>
      </c>
    </row>
    <row r="16" ht="63" customHeight="1" s="300">
      <c r="B16" s="338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0">
      <c r="B17" s="338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204" t="n"/>
    </row>
    <row r="18">
      <c r="B18" s="205" t="inlineStr">
        <is>
          <t>6.1</t>
        </is>
      </c>
      <c r="C18" s="201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 ht="15.75" customHeight="1" s="300">
      <c r="B19" s="205" t="inlineStr">
        <is>
          <t>6.2</t>
        </is>
      </c>
      <c r="C19" s="201" t="inlineStr">
        <is>
          <t>оборудование и инвентарь</t>
        </is>
      </c>
      <c r="D19" s="203">
        <f>'Прил.2 Расч стоим'!H12</f>
        <v/>
      </c>
    </row>
    <row r="20" ht="16.5" customHeight="1" s="300">
      <c r="B20" s="205" t="inlineStr">
        <is>
          <t>6.3</t>
        </is>
      </c>
      <c r="C20" s="201" t="inlineStr">
        <is>
          <t>пусконаладочные работы</t>
        </is>
      </c>
      <c r="D20" s="203" t="n"/>
    </row>
    <row r="21" ht="35.45" customHeight="1" s="300">
      <c r="B21" s="205" t="inlineStr">
        <is>
          <t>6.4</t>
        </is>
      </c>
      <c r="C21" s="206" t="inlineStr">
        <is>
          <t>прочие и лимитированные затраты</t>
        </is>
      </c>
      <c r="D21" s="203">
        <f>D18*0.039+(D18*0.039+D18)*0.021</f>
        <v/>
      </c>
    </row>
    <row r="22">
      <c r="B22" s="338" t="n">
        <v>7</v>
      </c>
      <c r="C22" s="206" t="inlineStr">
        <is>
          <t>Сопоставимый уровень цен</t>
        </is>
      </c>
      <c r="D22" s="207" t="inlineStr">
        <is>
          <t>3 кв. 2019 г.</t>
        </is>
      </c>
      <c r="E22" s="208" t="n"/>
    </row>
    <row r="23" ht="123" customHeight="1" s="300">
      <c r="B23" s="338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204" t="n"/>
    </row>
    <row r="24" ht="60.75" customHeight="1" s="300">
      <c r="B24" s="338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208" t="n"/>
    </row>
    <row r="25" ht="48.2" customHeight="1" s="300">
      <c r="B25" s="338" t="n">
        <v>10</v>
      </c>
      <c r="C25" s="201" t="inlineStr">
        <is>
          <t>Примечание</t>
        </is>
      </c>
      <c r="D25" s="338" t="n"/>
    </row>
    <row r="26">
      <c r="B26" s="210" t="n"/>
      <c r="C26" s="211" t="n"/>
      <c r="D26" s="211" t="n"/>
    </row>
    <row r="27" ht="37.5" customHeight="1" s="300">
      <c r="B27" s="163" t="n"/>
    </row>
    <row r="28">
      <c r="B28" s="302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710937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710937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.140625" customWidth="1" style="302" min="11" max="11"/>
  </cols>
  <sheetData>
    <row r="3">
      <c r="B3" s="332" t="inlineStr">
        <is>
          <t>Приложение № 2</t>
        </is>
      </c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0">
      <c r="B6" s="334">
        <f>'Прил.1 Сравнит табл'!B7:D7</f>
        <v/>
      </c>
    </row>
    <row r="7">
      <c r="B7" s="334">
        <f>'Прил.1 Сравнит табл'!B9:D9</f>
        <v/>
      </c>
    </row>
    <row r="8" ht="18.75" customHeight="1" s="300">
      <c r="B8" s="161" t="n"/>
    </row>
    <row r="9" ht="15.75" customHeight="1" s="300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300">
      <c r="B10" s="430" t="n"/>
      <c r="C10" s="430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3 кв. 2019г., тыс. руб.</t>
        </is>
      </c>
      <c r="G10" s="428" t="n"/>
      <c r="H10" s="428" t="n"/>
      <c r="I10" s="428" t="n"/>
      <c r="J10" s="429" t="n"/>
    </row>
    <row r="11" ht="31.5" customHeight="1" s="300">
      <c r="B11" s="431" t="n"/>
      <c r="C11" s="431" t="n"/>
      <c r="D11" s="431" t="n"/>
      <c r="E11" s="431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54" customHeight="1" s="300">
      <c r="B12" s="320" t="n">
        <v>1</v>
      </c>
      <c r="C12" s="319" t="inlineStr">
        <is>
          <t>Счётчик трёхфазный прямого включения в шкафном исполнении с передачей данных в ИВК</t>
        </is>
      </c>
      <c r="D12" s="321" t="inlineStr">
        <is>
          <t>02-01-01</t>
        </is>
      </c>
      <c r="E12" s="319" t="inlineStr">
        <is>
          <t>Установка ПКУ 10 кВ</t>
        </is>
      </c>
      <c r="F12" s="319" t="n">
        <v>0</v>
      </c>
      <c r="G12" s="323" t="n">
        <v>1.05</v>
      </c>
      <c r="H12" s="323" t="n">
        <v>47.72</v>
      </c>
      <c r="I12" s="319" t="n">
        <v>0</v>
      </c>
      <c r="J12" s="319">
        <f>SUM(F12:I12)</f>
        <v/>
      </c>
    </row>
    <row r="13" ht="15.75" customHeight="1" s="300">
      <c r="B13" s="336" t="inlineStr">
        <is>
          <t>Всего по объекту:</t>
        </is>
      </c>
      <c r="C13" s="432" t="n"/>
      <c r="D13" s="432" t="n"/>
      <c r="E13" s="433" t="n"/>
      <c r="F13" s="318">
        <f>F12</f>
        <v/>
      </c>
      <c r="G13" s="318">
        <f>G12</f>
        <v/>
      </c>
      <c r="H13" s="318">
        <f>H12</f>
        <v/>
      </c>
      <c r="I13" s="318">
        <f>I12</f>
        <v/>
      </c>
      <c r="J13" s="318">
        <f>SUM(F13:I13)</f>
        <v/>
      </c>
    </row>
    <row r="14">
      <c r="B14" s="337" t="inlineStr">
        <is>
          <t>Всего по объекту в сопоставимом уровне цен 3 кв. 2019г:</t>
        </is>
      </c>
      <c r="C14" s="428" t="n"/>
      <c r="D14" s="428" t="n"/>
      <c r="E14" s="429" t="n"/>
      <c r="F14" s="318">
        <f>F13</f>
        <v/>
      </c>
      <c r="G14" s="318">
        <f>G13</f>
        <v/>
      </c>
      <c r="H14" s="318">
        <f>H13</f>
        <v/>
      </c>
      <c r="I14" s="322">
        <f>'Прил.1 Сравнит табл'!D21</f>
        <v/>
      </c>
      <c r="J14" s="324">
        <f>SUM(F14:I14)</f>
        <v/>
      </c>
    </row>
    <row r="15" ht="15" customHeight="1" s="300"/>
    <row r="16" ht="15" customHeight="1" s="300"/>
    <row r="17" ht="15" customHeight="1" s="300"/>
    <row r="18" ht="15" customHeight="1" s="300">
      <c r="C18" s="288" t="inlineStr">
        <is>
          <t>Составил ______________________     Е. М. Добровольская</t>
        </is>
      </c>
      <c r="D18" s="298" t="n"/>
      <c r="E18" s="298" t="n"/>
    </row>
    <row r="19" ht="15" customHeight="1" s="300">
      <c r="C19" s="297" t="inlineStr">
        <is>
          <t xml:space="preserve">                         (подпись, инициалы, фамилия)</t>
        </is>
      </c>
      <c r="D19" s="298" t="n"/>
      <c r="E19" s="298" t="n"/>
    </row>
    <row r="20" ht="15" customHeight="1" s="300">
      <c r="C20" s="288" t="n"/>
      <c r="D20" s="298" t="n"/>
      <c r="E20" s="298" t="n"/>
    </row>
    <row r="21" ht="15" customHeight="1" s="300">
      <c r="C21" s="288" t="inlineStr">
        <is>
          <t>Проверил ______________________        А.В. Костянецкая</t>
        </is>
      </c>
      <c r="D21" s="298" t="n"/>
      <c r="E21" s="298" t="n"/>
    </row>
    <row r="22" ht="15" customHeight="1" s="300">
      <c r="C22" s="297" t="inlineStr">
        <is>
          <t xml:space="preserve">                        (подпись, инициалы, фамилия)</t>
        </is>
      </c>
      <c r="D22" s="298" t="n"/>
      <c r="E22" s="298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0"/>
  <sheetViews>
    <sheetView view="pageBreakPreview" topLeftCell="A10" zoomScale="70" workbookViewId="0">
      <selection activeCell="E42" sqref="E42"/>
    </sheetView>
  </sheetViews>
  <sheetFormatPr baseColWidth="8" defaultColWidth="9.140625" defaultRowHeight="15.75"/>
  <cols>
    <col width="9.140625" customWidth="1" style="302" min="1" max="1"/>
    <col width="12.7109375" customWidth="1" style="302" min="2" max="2"/>
    <col width="22.28515625" customWidth="1" style="302" min="3" max="3"/>
    <col width="49.7109375" customWidth="1" style="302" min="4" max="4"/>
    <col width="10.140625" customWidth="1" style="302" min="5" max="5"/>
    <col width="23.7109375" customWidth="1" style="302" min="6" max="6"/>
    <col width="20" customWidth="1" style="302" min="7" max="7"/>
    <col width="16.7109375" customWidth="1" style="302" min="8" max="8"/>
    <col width="8.28515625" customWidth="1" style="302" min="9" max="9"/>
    <col width="12.7109375" customWidth="1" style="302" min="10" max="10"/>
    <col width="15" customWidth="1" style="302" min="11" max="11"/>
    <col width="9.140625" customWidth="1" style="302" min="12" max="12"/>
  </cols>
  <sheetData>
    <row r="2">
      <c r="A2" s="332" t="inlineStr">
        <is>
          <t xml:space="preserve">Приложение № 3 </t>
        </is>
      </c>
    </row>
    <row r="3">
      <c r="A3" s="333" t="inlineStr">
        <is>
          <t>Объектная ресурсная ведомость</t>
        </is>
      </c>
    </row>
    <row r="4" ht="18.75" customHeight="1" s="300">
      <c r="A4" s="212" t="n"/>
      <c r="B4" s="212" t="n"/>
      <c r="C4" s="3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4" t="n"/>
    </row>
    <row r="6" ht="33.75" customHeight="1" s="300">
      <c r="A6" s="340" t="inlineStr">
        <is>
          <t>Наименование разрабатываемого показателя УНЦ -  Установка АРМ АИИСКУЭ на ПС 35-750 кВ (без прикладного ПО)</t>
        </is>
      </c>
    </row>
    <row r="7" ht="33.75" customHeight="1" s="300">
      <c r="A7" s="340" t="n"/>
      <c r="B7" s="340" t="n"/>
      <c r="C7" s="340" t="n"/>
      <c r="D7" s="340" t="n"/>
      <c r="E7" s="340" t="n"/>
      <c r="F7" s="340" t="n"/>
      <c r="G7" s="340" t="n"/>
      <c r="H7" s="340" t="n"/>
      <c r="I7" s="302" t="n"/>
      <c r="J7" s="302" t="n"/>
      <c r="K7" s="302" t="n"/>
      <c r="L7" s="302" t="n"/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300">
      <c r="A9" s="338" t="inlineStr">
        <is>
          <t>п/п</t>
        </is>
      </c>
      <c r="B9" s="338" t="inlineStr">
        <is>
          <t>№ЛСР</t>
        </is>
      </c>
      <c r="C9" s="338" t="inlineStr">
        <is>
          <t>Код ресурса</t>
        </is>
      </c>
      <c r="D9" s="338" t="inlineStr">
        <is>
          <t>Наименование ресурса</t>
        </is>
      </c>
      <c r="E9" s="338" t="inlineStr">
        <is>
          <t>Ед. изм.</t>
        </is>
      </c>
      <c r="F9" s="338" t="inlineStr">
        <is>
          <t>Кол-во единиц по данным объекта-представителя</t>
        </is>
      </c>
      <c r="G9" s="338" t="inlineStr">
        <is>
          <t>Сметная стоимость в ценах на 01.01.2000 (руб.)</t>
        </is>
      </c>
      <c r="H9" s="429" t="n"/>
    </row>
    <row r="10" ht="40.7" customHeight="1" s="300">
      <c r="A10" s="431" t="n"/>
      <c r="B10" s="431" t="n"/>
      <c r="C10" s="431" t="n"/>
      <c r="D10" s="431" t="n"/>
      <c r="E10" s="431" t="n"/>
      <c r="F10" s="431" t="n"/>
      <c r="G10" s="338" t="inlineStr">
        <is>
          <t>на ед.изм.</t>
        </is>
      </c>
      <c r="H10" s="338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15">
      <c r="A12" s="343" t="inlineStr">
        <is>
          <t>Затраты труда рабочих</t>
        </is>
      </c>
      <c r="B12" s="428" t="n"/>
      <c r="C12" s="428" t="n"/>
      <c r="D12" s="428" t="n"/>
      <c r="E12" s="429" t="n"/>
      <c r="F12" s="434" t="n">
        <v>4.43</v>
      </c>
      <c r="G12" s="175" t="n"/>
      <c r="H12" s="434">
        <f>SUM(H13:H14)</f>
        <v/>
      </c>
    </row>
    <row r="13">
      <c r="A13" s="374" t="n">
        <v>1</v>
      </c>
      <c r="B13" s="176" t="n"/>
      <c r="C13" s="217" t="inlineStr">
        <is>
          <t>1-3-0</t>
        </is>
      </c>
      <c r="D13" s="218" t="inlineStr">
        <is>
          <t>Затраты труда рабочих (ср 3)</t>
        </is>
      </c>
      <c r="E13" s="374" t="inlineStr">
        <is>
          <t>чел.-ч</t>
        </is>
      </c>
      <c r="F13" s="374" t="n">
        <v>3.09</v>
      </c>
      <c r="G13" s="222" t="n">
        <v>8.529999999999999</v>
      </c>
      <c r="H13" s="177">
        <f>ROUND(F13*G13,2)</f>
        <v/>
      </c>
      <c r="M13" s="435" t="n"/>
    </row>
    <row r="14">
      <c r="A14" s="374" t="n">
        <v>2</v>
      </c>
      <c r="B14" s="176" t="n"/>
      <c r="C14" s="217" t="inlineStr">
        <is>
          <t>1-3-9</t>
        </is>
      </c>
      <c r="D14" s="218" t="inlineStr">
        <is>
          <t>Затраты труда рабочих (ср 3,9)</t>
        </is>
      </c>
      <c r="E14" s="374" t="inlineStr">
        <is>
          <t>чел.-ч</t>
        </is>
      </c>
      <c r="F14" s="374" t="n">
        <v>1.34</v>
      </c>
      <c r="G14" s="222" t="n">
        <v>9.51</v>
      </c>
      <c r="H14" s="177">
        <f>ROUND(F14*G14,2)</f>
        <v/>
      </c>
      <c r="M14" s="435" t="n"/>
    </row>
    <row r="15">
      <c r="A15" s="342" t="inlineStr">
        <is>
          <t>Затраты труда машинистов</t>
        </is>
      </c>
      <c r="B15" s="428" t="n"/>
      <c r="C15" s="428" t="n"/>
      <c r="D15" s="428" t="n"/>
      <c r="E15" s="429" t="n"/>
      <c r="F15" s="343" t="n"/>
      <c r="G15" s="178" t="n"/>
      <c r="H15" s="434">
        <f>H16</f>
        <v/>
      </c>
    </row>
    <row r="16">
      <c r="A16" s="374" t="n">
        <v>3</v>
      </c>
      <c r="B16" s="344" t="n"/>
      <c r="C16" s="217" t="n">
        <v>2</v>
      </c>
      <c r="D16" s="218" t="inlineStr">
        <is>
          <t>Затраты труда машинистов</t>
        </is>
      </c>
      <c r="E16" s="374" t="inlineStr">
        <is>
          <t>чел.-ч</t>
        </is>
      </c>
      <c r="F16" s="436" t="n">
        <v>0.48</v>
      </c>
      <c r="G16" s="177" t="n"/>
      <c r="H16" s="437" t="n">
        <v>5.57</v>
      </c>
      <c r="J16" s="438" t="n"/>
    </row>
    <row r="17" customFormat="1" s="215">
      <c r="A17" s="343" t="inlineStr">
        <is>
          <t>Машины и механизмы</t>
        </is>
      </c>
      <c r="B17" s="428" t="n"/>
      <c r="C17" s="428" t="n"/>
      <c r="D17" s="428" t="n"/>
      <c r="E17" s="429" t="n"/>
      <c r="F17" s="343" t="n"/>
      <c r="G17" s="178" t="n"/>
      <c r="H17" s="434">
        <f>SUM(H18:H19)</f>
        <v/>
      </c>
    </row>
    <row r="18">
      <c r="A18" s="374" t="n">
        <v>4</v>
      </c>
      <c r="B18" s="344" t="n"/>
      <c r="C18" s="217" t="inlineStr">
        <is>
          <t>91.14.02-001</t>
        </is>
      </c>
      <c r="D18" s="218" t="inlineStr">
        <is>
          <t>Автомобили бортовые, грузоподъемность до 5 т</t>
        </is>
      </c>
      <c r="E18" s="374" t="inlineStr">
        <is>
          <t>маш.час</t>
        </is>
      </c>
      <c r="F18" s="374" t="n">
        <v>0.48</v>
      </c>
      <c r="G18" s="222" t="n">
        <v>65.70999999999999</v>
      </c>
      <c r="H18" s="177">
        <f>ROUND(F18*G18,2)</f>
        <v/>
      </c>
      <c r="I18" s="223" t="n"/>
      <c r="J18" s="223" t="n"/>
      <c r="L18" s="223" t="n"/>
    </row>
    <row r="19" ht="25.5" customHeight="1" s="300">
      <c r="A19" s="374" t="n">
        <v>5</v>
      </c>
      <c r="B19" s="344" t="n"/>
      <c r="C19" s="217" t="inlineStr">
        <is>
          <t>91.17.04-233</t>
        </is>
      </c>
      <c r="D19" s="218" t="inlineStr">
        <is>
          <t>Установки для сварки ручной дуговой (постоянного тока)</t>
        </is>
      </c>
      <c r="E19" s="374" t="inlineStr">
        <is>
          <t>маш.час</t>
        </is>
      </c>
      <c r="F19" s="374" t="n">
        <v>0.11</v>
      </c>
      <c r="G19" s="222" t="n">
        <v>8.1</v>
      </c>
      <c r="H19" s="177">
        <f>ROUND(F19*G19,2)</f>
        <v/>
      </c>
      <c r="I19" s="223" t="n"/>
      <c r="J19" s="223" t="n"/>
      <c r="K19" s="223" t="n"/>
      <c r="L19" s="223" t="n"/>
    </row>
    <row r="20" ht="15" customHeight="1" s="300">
      <c r="A20" s="343" t="inlineStr">
        <is>
          <t>Оборудование</t>
        </is>
      </c>
      <c r="B20" s="428" t="n"/>
      <c r="C20" s="428" t="n"/>
      <c r="D20" s="428" t="n"/>
      <c r="E20" s="429" t="n"/>
      <c r="F20" s="175" t="n"/>
      <c r="G20" s="175" t="n"/>
      <c r="H20" s="434">
        <f>SUM(H21:H21)</f>
        <v/>
      </c>
    </row>
    <row r="21" ht="63.75" customHeight="1" s="300">
      <c r="A21" s="374" t="n">
        <v>6</v>
      </c>
      <c r="B21" s="344" t="n"/>
      <c r="C21" s="217" t="inlineStr">
        <is>
          <t>Прайс из СД ОП</t>
        </is>
      </c>
      <c r="D21" s="218" t="inlineStr">
        <is>
          <t>Стационарный АРМ (Системный блок HP ProDesk 400 G2 MT i3 4160 (3.6)/4Gb/500Gb7.2k/HDG4400/DVDRW/Free DOS/GbitEth/180W/клавиатура/мышь/черный/монитор в  комплекте 20" W2072a 1600x900</t>
        </is>
      </c>
      <c r="E21" s="374" t="inlineStr">
        <is>
          <t>шт</t>
        </is>
      </c>
      <c r="F21" s="374" t="n">
        <v>1</v>
      </c>
      <c r="G21" s="177" t="n">
        <v>10130.58</v>
      </c>
      <c r="H21" s="177">
        <f>ROUND(F21*G21,2)</f>
        <v/>
      </c>
      <c r="I21" s="223" t="n"/>
      <c r="J21" s="223" t="n"/>
      <c r="L21" s="223" t="n"/>
    </row>
    <row r="22">
      <c r="A22" s="343" t="inlineStr">
        <is>
          <t>Материалы</t>
        </is>
      </c>
      <c r="B22" s="428" t="n"/>
      <c r="C22" s="428" t="n"/>
      <c r="D22" s="428" t="n"/>
      <c r="E22" s="429" t="n"/>
      <c r="F22" s="343" t="n"/>
      <c r="G22" s="178" t="n"/>
      <c r="H22" s="434">
        <f>SUM(H23:H34)</f>
        <v/>
      </c>
    </row>
    <row r="23" ht="25.5" customHeight="1" s="300">
      <c r="A23" s="224" t="n">
        <v>7</v>
      </c>
      <c r="B23" s="344" t="n"/>
      <c r="C23" s="217" t="inlineStr">
        <is>
          <t>07.2.07.04-0007</t>
        </is>
      </c>
      <c r="D23" s="218" t="inlineStr">
        <is>
          <t>Конструкции стальные индивидуальные решетчатые сварные, масса до 0,1 т</t>
        </is>
      </c>
      <c r="E23" s="374" t="inlineStr">
        <is>
          <t>т</t>
        </is>
      </c>
      <c r="F23" s="374" t="n">
        <v>0.001</v>
      </c>
      <c r="G23" s="177" t="n">
        <v>11500</v>
      </c>
      <c r="H23" s="177">
        <f>ROUND(F23*G23,2)</f>
        <v/>
      </c>
      <c r="I23" s="234" t="n"/>
      <c r="J23" s="223" t="n"/>
      <c r="K23" s="223" t="n"/>
    </row>
    <row r="24">
      <c r="A24" s="224" t="n">
        <v>8</v>
      </c>
      <c r="B24" s="344" t="n"/>
      <c r="C24" s="217" t="inlineStr">
        <is>
          <t>20.1.02.23-0082</t>
        </is>
      </c>
      <c r="D24" s="218" t="inlineStr">
        <is>
          <t>Перемычки гибкие, тип ПГС-50</t>
        </is>
      </c>
      <c r="E24" s="374" t="inlineStr">
        <is>
          <t>10 шт</t>
        </is>
      </c>
      <c r="F24" s="374" t="n">
        <v>0.1</v>
      </c>
      <c r="G24" s="177" t="n">
        <v>39</v>
      </c>
      <c r="H24" s="177">
        <f>ROUND(F24*G24,2)</f>
        <v/>
      </c>
      <c r="I24" s="234" t="n"/>
      <c r="J24" s="223" t="n"/>
      <c r="K24" s="223" t="n"/>
    </row>
    <row r="25">
      <c r="A25" s="224" t="n">
        <v>9</v>
      </c>
      <c r="B25" s="344" t="n"/>
      <c r="C25" s="217" t="inlineStr">
        <is>
          <t>01.7.15.07-0014</t>
        </is>
      </c>
      <c r="D25" s="218" t="inlineStr">
        <is>
          <t>Дюбели распорные полипропиленовые</t>
        </is>
      </c>
      <c r="E25" s="374" t="inlineStr">
        <is>
          <t>100 шт</t>
        </is>
      </c>
      <c r="F25" s="374" t="n">
        <v>0.014</v>
      </c>
      <c r="G25" s="177" t="n">
        <v>86</v>
      </c>
      <c r="H25" s="177">
        <f>ROUND(F25*G25,2)</f>
        <v/>
      </c>
      <c r="I25" s="234" t="n"/>
      <c r="J25" s="223" t="n"/>
    </row>
    <row r="26">
      <c r="A26" s="224" t="n">
        <v>10</v>
      </c>
      <c r="B26" s="344" t="n"/>
      <c r="C26" s="217" t="inlineStr">
        <is>
          <t>14.4.02.09-0001</t>
        </is>
      </c>
      <c r="D26" s="218" t="inlineStr">
        <is>
          <t>Краска</t>
        </is>
      </c>
      <c r="E26" s="374" t="inlineStr">
        <is>
          <t>кг</t>
        </is>
      </c>
      <c r="F26" s="374" t="n">
        <v>0.036</v>
      </c>
      <c r="G26" s="177" t="n">
        <v>28.6</v>
      </c>
      <c r="H26" s="177">
        <f>ROUND(F26*G26,2)</f>
        <v/>
      </c>
      <c r="I26" s="234" t="n"/>
      <c r="J26" s="223" t="n"/>
    </row>
    <row r="27" ht="25.5" customHeight="1" s="300">
      <c r="A27" s="224" t="n">
        <v>11</v>
      </c>
      <c r="B27" s="344" t="n"/>
      <c r="C27" s="217" t="inlineStr">
        <is>
          <t>999-9950</t>
        </is>
      </c>
      <c r="D27" s="218" t="inlineStr">
        <is>
          <t>Вспомогательные ненормируемые ресурсы (2% от Оплаты труда рабочих)</t>
        </is>
      </c>
      <c r="E27" s="374" t="inlineStr">
        <is>
          <t>руб</t>
        </is>
      </c>
      <c r="F27" s="374" t="n">
        <v>0.79</v>
      </c>
      <c r="G27" s="177" t="n">
        <v>1</v>
      </c>
      <c r="H27" s="177">
        <f>ROUND(F27*G27,2)</f>
        <v/>
      </c>
      <c r="I27" s="234" t="n"/>
      <c r="J27" s="223" t="n"/>
      <c r="K27" s="223" t="n"/>
    </row>
    <row r="28">
      <c r="A28" s="224" t="n">
        <v>12</v>
      </c>
      <c r="B28" s="344" t="n"/>
      <c r="C28" s="217" t="inlineStr">
        <is>
          <t>01.7.11.07-0034</t>
        </is>
      </c>
      <c r="D28" s="218" t="inlineStr">
        <is>
          <t>Электроды сварочные Э42А, диаметр 4 мм</t>
        </is>
      </c>
      <c r="E28" s="374" t="inlineStr">
        <is>
          <t>кг</t>
        </is>
      </c>
      <c r="F28" s="374" t="n">
        <v>0.07000000000000001</v>
      </c>
      <c r="G28" s="177" t="n">
        <v>10.57</v>
      </c>
      <c r="H28" s="177">
        <f>ROUND(F28*G28,2)</f>
        <v/>
      </c>
      <c r="I28" s="234" t="n"/>
      <c r="J28" s="223" t="n"/>
    </row>
    <row r="29">
      <c r="A29" s="224" t="n">
        <v>13</v>
      </c>
      <c r="B29" s="344" t="n"/>
      <c r="C29" s="217" t="inlineStr">
        <is>
          <t>01.7.15.03-0042</t>
        </is>
      </c>
      <c r="D29" s="218" t="inlineStr">
        <is>
          <t>Болты с гайками и шайбами строительные</t>
        </is>
      </c>
      <c r="E29" s="374" t="inlineStr">
        <is>
          <t>кг</t>
        </is>
      </c>
      <c r="F29" s="374" t="n">
        <v>0.049</v>
      </c>
      <c r="G29" s="177" t="n">
        <v>9.039999999999999</v>
      </c>
      <c r="H29" s="177">
        <f>ROUND(F29*G29,2)</f>
        <v/>
      </c>
      <c r="I29" s="234" t="n"/>
      <c r="J29" s="223" t="n"/>
    </row>
    <row r="30" ht="25.5" customHeight="1" s="300">
      <c r="A30" s="224" t="n">
        <v>14</v>
      </c>
      <c r="B30" s="344" t="n"/>
      <c r="C30" s="217" t="inlineStr">
        <is>
          <t>01.7.06.05-0041</t>
        </is>
      </c>
      <c r="D30" s="218" t="inlineStr">
        <is>
          <t>Лента изоляционная прорезиненная односторонняя, ширина 20 мм, толщина 0,25-0,35 мм</t>
        </is>
      </c>
      <c r="E30" s="374" t="inlineStr">
        <is>
          <t>кг</t>
        </is>
      </c>
      <c r="F30" s="374" t="n">
        <v>0.012</v>
      </c>
      <c r="G30" s="177" t="n">
        <v>30.4</v>
      </c>
      <c r="H30" s="177">
        <f>ROUND(F30*G30,2)</f>
        <v/>
      </c>
      <c r="I30" s="234" t="n"/>
      <c r="J30" s="223" t="n"/>
      <c r="K30" s="223" t="n"/>
    </row>
    <row r="31">
      <c r="A31" s="224" t="n">
        <v>15</v>
      </c>
      <c r="B31" s="344" t="n"/>
      <c r="C31" s="217" t="inlineStr">
        <is>
          <t>01.3.01.02-0002</t>
        </is>
      </c>
      <c r="D31" s="218" t="inlineStr">
        <is>
          <t>Вазелин технический</t>
        </is>
      </c>
      <c r="E31" s="374" t="inlineStr">
        <is>
          <t>кг</t>
        </is>
      </c>
      <c r="F31" s="374" t="n">
        <v>0.006</v>
      </c>
      <c r="G31" s="177" t="n">
        <v>44.97</v>
      </c>
      <c r="H31" s="177">
        <f>ROUND(F31*G31,2)</f>
        <v/>
      </c>
      <c r="I31" s="234" t="n"/>
      <c r="J31" s="223" t="n"/>
    </row>
    <row r="32">
      <c r="A32" s="224" t="n">
        <v>16</v>
      </c>
      <c r="B32" s="344" t="n"/>
      <c r="C32" s="217" t="inlineStr">
        <is>
          <t>14.4.03.17-0011</t>
        </is>
      </c>
      <c r="D32" s="218" t="inlineStr">
        <is>
          <t>Лак электроизоляционный 318</t>
        </is>
      </c>
      <c r="E32" s="374" t="inlineStr">
        <is>
          <t>кг</t>
        </is>
      </c>
      <c r="F32" s="374" t="n">
        <v>0.006</v>
      </c>
      <c r="G32" s="177" t="n">
        <v>35.63</v>
      </c>
      <c r="H32" s="177">
        <f>ROUND(F32*G32,2)</f>
        <v/>
      </c>
      <c r="I32" s="234" t="n"/>
      <c r="J32" s="223" t="n"/>
    </row>
    <row r="33">
      <c r="A33" s="224" t="n">
        <v>17</v>
      </c>
      <c r="B33" s="344" t="n"/>
      <c r="C33" s="217" t="inlineStr">
        <is>
          <t>01.7.20.04-0005</t>
        </is>
      </c>
      <c r="D33" s="218" t="inlineStr">
        <is>
          <t>Нитки швейные</t>
        </is>
      </c>
      <c r="E33" s="374" t="inlineStr">
        <is>
          <t>кг</t>
        </is>
      </c>
      <c r="F33" s="374" t="n">
        <v>0.001</v>
      </c>
      <c r="G33" s="177" t="n">
        <v>133.05</v>
      </c>
      <c r="H33" s="177">
        <f>ROUND(F33*G33,2)</f>
        <v/>
      </c>
      <c r="I33" s="234" t="n"/>
      <c r="J33" s="223" t="n"/>
    </row>
    <row r="34">
      <c r="A34" s="224" t="n">
        <v>18</v>
      </c>
      <c r="B34" s="344" t="n"/>
      <c r="C34" s="217" t="inlineStr">
        <is>
          <t>01.7.02.09-0002</t>
        </is>
      </c>
      <c r="D34" s="218" t="inlineStr">
        <is>
          <t>Шпагат бумажный</t>
        </is>
      </c>
      <c r="E34" s="374" t="inlineStr">
        <is>
          <t>кг</t>
        </is>
      </c>
      <c r="F34" s="374" t="n">
        <v>0.001</v>
      </c>
      <c r="G34" s="177" t="n">
        <v>11.5</v>
      </c>
      <c r="H34" s="177">
        <f>ROUND(F34*G34,2)</f>
        <v/>
      </c>
      <c r="I34" s="234" t="n"/>
      <c r="J34" s="223" t="n"/>
      <c r="K34" s="223" t="n"/>
    </row>
    <row r="36">
      <c r="B36" s="302" t="inlineStr">
        <is>
          <t>Составил ______________________     Е. М. Добровольская</t>
        </is>
      </c>
    </row>
    <row r="37">
      <c r="B37" s="163" t="inlineStr">
        <is>
          <t xml:space="preserve">                         (подпись, инициалы, фамилия)</t>
        </is>
      </c>
    </row>
    <row r="39">
      <c r="B39" s="302" t="inlineStr">
        <is>
          <t>Проверил ______________________        А.В. Костянецкая</t>
        </is>
      </c>
    </row>
    <row r="40">
      <c r="B40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15:E15"/>
    <mergeCell ref="A2:H2"/>
    <mergeCell ref="C4:H4"/>
    <mergeCell ref="G9:H9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28515625" customWidth="1" style="300" min="6" max="6"/>
    <col width="14.28515625" customWidth="1" style="300" min="7" max="7"/>
    <col width="9.140625" customWidth="1" style="300" min="8" max="11"/>
    <col width="13.7109375" customWidth="1" style="300" min="12" max="12"/>
    <col width="9.140625" customWidth="1" style="30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69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25" t="inlineStr">
        <is>
          <t>Ресурсная модель</t>
        </is>
      </c>
    </row>
    <row r="6">
      <c r="B6" s="226" t="n"/>
      <c r="C6" s="288" t="n"/>
      <c r="D6" s="288" t="n"/>
      <c r="E6" s="288" t="n"/>
    </row>
    <row r="7" ht="38.25" customHeight="1" s="300">
      <c r="B7" s="349" t="inlineStr">
        <is>
          <t>Наименование разрабатываемого показателя УНЦ — Установка АРМ АИИСКУЭ на ПС 35-750 кВ (без прикладного ПО)</t>
        </is>
      </c>
    </row>
    <row r="8">
      <c r="B8" s="350" t="inlineStr">
        <is>
          <t>Единица измерения  — 1 ед.</t>
        </is>
      </c>
    </row>
    <row r="9">
      <c r="B9" s="226" t="n"/>
      <c r="C9" s="288" t="n"/>
      <c r="D9" s="288" t="n"/>
      <c r="E9" s="288" t="n"/>
    </row>
    <row r="10" ht="51" customHeight="1" s="300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0">
        <f>'Прил.5 Расчет СМР и ОБ'!J14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0">
        <f>'Прил.5 Расчет СМР и ОБ'!J20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0">
        <f>'Прил.5 Расчет СМР и ОБ'!J22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0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0">
        <f>'Прил.5 Расчет СМР и ОБ'!J16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0">
        <f>'Прил.5 Расчет СМР и ОБ'!J37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0">
        <f>'Прил.5 Расчет СМР и ОБ'!J46</f>
        <v/>
      </c>
      <c r="D17" s="230">
        <f>C17/$C$24</f>
        <v/>
      </c>
      <c r="E17" s="230">
        <f>C17/$C$40</f>
        <v/>
      </c>
      <c r="G17" s="439" t="n"/>
    </row>
    <row r="18">
      <c r="B18" s="228" t="inlineStr">
        <is>
          <t>МАТЕРИАЛЫ, ВСЕГО:</t>
        </is>
      </c>
      <c r="C18" s="290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0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0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ОБ'!D50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0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ОБ'!D49</f>
        <v/>
      </c>
      <c r="D23" s="230" t="n"/>
      <c r="E23" s="228" t="n"/>
    </row>
    <row r="24">
      <c r="B24" s="228" t="inlineStr">
        <is>
          <t>ВСЕГО СМР с НР и СП</t>
        </is>
      </c>
      <c r="C24" s="290">
        <f>C19+C20+C22</f>
        <v/>
      </c>
      <c r="D24" s="230">
        <f>C24/$C$24</f>
        <v/>
      </c>
      <c r="E24" s="230">
        <f>C24/$C$40</f>
        <v/>
      </c>
    </row>
    <row r="25" ht="25.5" customHeight="1" s="300">
      <c r="B25" s="228" t="inlineStr">
        <is>
          <t>ВСЕГО стоимость оборудования, в том числе</t>
        </is>
      </c>
      <c r="C25" s="290">
        <f>'Прил.5 Расчет СМР и ОБ'!J29</f>
        <v/>
      </c>
      <c r="D25" s="230" t="n"/>
      <c r="E25" s="230">
        <f>C25/$C$40</f>
        <v/>
      </c>
    </row>
    <row r="26" ht="25.5" customHeight="1" s="300">
      <c r="B26" s="228" t="inlineStr">
        <is>
          <t>стоимость оборудования технологического</t>
        </is>
      </c>
      <c r="C26" s="290">
        <f>'Прил.5 Расчет СМР и ОБ'!J30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0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0">
      <c r="B29" s="228" t="inlineStr">
        <is>
          <t>Временные здания и сооружения - 3,9%</t>
        </is>
      </c>
      <c r="C29" s="158">
        <f>ROUND(C24*3.9%,2)</f>
        <v/>
      </c>
      <c r="D29" s="228" t="n"/>
      <c r="E29" s="230">
        <f>C29/$C$40</f>
        <v/>
      </c>
    </row>
    <row r="30" ht="38.25" customHeight="1" s="300">
      <c r="B30" s="228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0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0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0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0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0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0">
      <c r="B38" s="228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28" t="n"/>
      <c r="E38" s="230">
        <f>C38/$C$40</f>
        <v/>
      </c>
    </row>
    <row r="39" ht="13.7" customHeight="1" s="300">
      <c r="B39" s="228" t="inlineStr">
        <is>
          <t>Непредвиденные расходы</t>
        </is>
      </c>
      <c r="C39" s="290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0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0">
        <f>C40/'Прил.5 Расчет СМР и ОБ'!E53</f>
        <v/>
      </c>
      <c r="D41" s="228" t="n"/>
      <c r="E41" s="228" t="n"/>
    </row>
    <row r="42">
      <c r="B42" s="292" t="n"/>
      <c r="C42" s="288" t="n"/>
      <c r="D42" s="288" t="n"/>
      <c r="E42" s="288" t="n"/>
    </row>
    <row r="43">
      <c r="B43" s="292" t="inlineStr">
        <is>
          <t>Составил ____________________________ Е. М. Добровольская</t>
        </is>
      </c>
      <c r="C43" s="288" t="n"/>
      <c r="D43" s="288" t="n"/>
      <c r="E43" s="28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50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4" zoomScale="70" workbookViewId="0">
      <selection activeCell="B74" sqref="B74"/>
    </sheetView>
  </sheetViews>
  <sheetFormatPr baseColWidth="8" defaultColWidth="9.140625" defaultRowHeight="15" outlineLevelRow="1"/>
  <cols>
    <col width="5.7109375" customWidth="1" style="298" min="1" max="1"/>
    <col width="22.7109375" customWidth="1" style="298" min="2" max="2"/>
    <col width="41.140625" customWidth="1" style="298" min="3" max="3"/>
    <col width="10.7109375" customWidth="1" style="298" min="4" max="4"/>
    <col width="12.7109375" customWidth="1" style="298" min="5" max="5"/>
    <col width="15" customWidth="1" style="298" min="6" max="6"/>
    <col width="13.28515625" customWidth="1" style="298" min="7" max="7"/>
    <col width="12.7109375" customWidth="1" style="298" min="8" max="8"/>
    <col width="13.85546875" customWidth="1" style="298" min="9" max="9"/>
    <col width="17.7109375" customWidth="1" style="298" min="10" max="10"/>
    <col width="10.85546875" customWidth="1" style="298" min="11" max="11"/>
    <col width="9.140625" customWidth="1" style="298" min="12" max="12"/>
    <col width="9.140625" customWidth="1" style="300" min="13" max="13"/>
  </cols>
  <sheetData>
    <row r="1" s="300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00">
      <c r="A2" s="298" t="n"/>
      <c r="B2" s="298" t="n"/>
      <c r="C2" s="298" t="n"/>
      <c r="D2" s="298" t="n"/>
      <c r="E2" s="298" t="n"/>
      <c r="F2" s="298" t="n"/>
      <c r="G2" s="298" t="n"/>
      <c r="H2" s="365" t="inlineStr">
        <is>
          <t>Приложение №5</t>
        </is>
      </c>
      <c r="K2" s="298" t="n"/>
      <c r="L2" s="298" t="n"/>
      <c r="M2" s="298" t="n"/>
      <c r="N2" s="298" t="n"/>
    </row>
    <row r="3" s="300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88">
      <c r="A4" s="325" t="inlineStr">
        <is>
          <t>Расчет стоимости СМР и оборудования</t>
        </is>
      </c>
    </row>
    <row r="5" ht="12.75" customFormat="1" customHeight="1" s="288">
      <c r="A5" s="325" t="n"/>
      <c r="B5" s="325" t="n"/>
      <c r="C5" s="376" t="n"/>
      <c r="D5" s="325" t="n"/>
      <c r="E5" s="325" t="n"/>
      <c r="F5" s="325" t="n"/>
      <c r="G5" s="325" t="n"/>
      <c r="H5" s="325" t="n"/>
      <c r="I5" s="325" t="n"/>
      <c r="J5" s="325" t="n"/>
    </row>
    <row r="6" ht="27.75" customFormat="1" customHeight="1" s="288">
      <c r="A6" s="239" t="inlineStr">
        <is>
          <t>Наименование разрабатываемого показателя УНЦ</t>
        </is>
      </c>
      <c r="B6" s="240" t="n"/>
      <c r="C6" s="240" t="n"/>
      <c r="D6" s="328" t="inlineStr">
        <is>
          <t>Установка АРМ АИИСКУЭ на ПС 35-750 кВ (без прикладного ПО)</t>
        </is>
      </c>
    </row>
    <row r="7" ht="12.75" customFormat="1" customHeight="1" s="288">
      <c r="A7" s="328" t="inlineStr">
        <is>
          <t>Единица измерения  — 1 ед.</t>
        </is>
      </c>
      <c r="I7" s="349" t="n"/>
      <c r="J7" s="349" t="n"/>
    </row>
    <row r="8" ht="13.7" customFormat="1" customHeight="1" s="288">
      <c r="A8" s="328" t="n"/>
    </row>
    <row r="9" ht="27" customHeight="1" s="300">
      <c r="A9" s="357" t="inlineStr">
        <is>
          <t>№ пп.</t>
        </is>
      </c>
      <c r="B9" s="357" t="inlineStr">
        <is>
          <t>Код ресурса</t>
        </is>
      </c>
      <c r="C9" s="357" t="inlineStr">
        <is>
          <t>Наименование</t>
        </is>
      </c>
      <c r="D9" s="357" t="inlineStr">
        <is>
          <t>Ед. изм.</t>
        </is>
      </c>
      <c r="E9" s="357" t="inlineStr">
        <is>
          <t>Кол-во единиц по проектным данным</t>
        </is>
      </c>
      <c r="F9" s="357" t="inlineStr">
        <is>
          <t>Сметная стоимость в ценах на 01.01.2000 (руб.)</t>
        </is>
      </c>
      <c r="G9" s="429" t="n"/>
      <c r="H9" s="357" t="inlineStr">
        <is>
          <t>Удельный вес, %</t>
        </is>
      </c>
      <c r="I9" s="357" t="inlineStr">
        <is>
          <t>Сметная стоимость в ценах на 01.01.2023 (руб.)</t>
        </is>
      </c>
      <c r="J9" s="429" t="n"/>
      <c r="K9" s="298" t="n"/>
      <c r="L9" s="298" t="n"/>
      <c r="M9" s="298" t="n"/>
      <c r="N9" s="298" t="n"/>
    </row>
    <row r="10" ht="28.5" customHeight="1" s="300">
      <c r="A10" s="431" t="n"/>
      <c r="B10" s="431" t="n"/>
      <c r="C10" s="431" t="n"/>
      <c r="D10" s="431" t="n"/>
      <c r="E10" s="431" t="n"/>
      <c r="F10" s="357" t="inlineStr">
        <is>
          <t>на ед. изм.</t>
        </is>
      </c>
      <c r="G10" s="357" t="inlineStr">
        <is>
          <t>общая</t>
        </is>
      </c>
      <c r="H10" s="431" t="n"/>
      <c r="I10" s="357" t="inlineStr">
        <is>
          <t>на ед. изм.</t>
        </is>
      </c>
      <c r="J10" s="357" t="inlineStr">
        <is>
          <t>общая</t>
        </is>
      </c>
      <c r="K10" s="298" t="n"/>
      <c r="L10" s="298" t="n"/>
      <c r="M10" s="298" t="n"/>
      <c r="N10" s="298" t="n"/>
    </row>
    <row r="11" s="300">
      <c r="A11" s="357" t="n">
        <v>1</v>
      </c>
      <c r="B11" s="357" t="n">
        <v>2</v>
      </c>
      <c r="C11" s="357" t="n">
        <v>3</v>
      </c>
      <c r="D11" s="357" t="n">
        <v>4</v>
      </c>
      <c r="E11" s="357" t="n">
        <v>5</v>
      </c>
      <c r="F11" s="357" t="n">
        <v>6</v>
      </c>
      <c r="G11" s="357" t="n">
        <v>7</v>
      </c>
      <c r="H11" s="357" t="n">
        <v>8</v>
      </c>
      <c r="I11" s="352" t="n">
        <v>9</v>
      </c>
      <c r="J11" s="352" t="n">
        <v>10</v>
      </c>
      <c r="K11" s="298" t="n"/>
      <c r="L11" s="298" t="n"/>
      <c r="M11" s="298" t="n"/>
      <c r="N11" s="298" t="n"/>
    </row>
    <row r="12">
      <c r="A12" s="357" t="n"/>
      <c r="B12" s="342" t="inlineStr">
        <is>
          <t>Затраты труда рабочих-строителей</t>
        </is>
      </c>
      <c r="C12" s="428" t="n"/>
      <c r="D12" s="428" t="n"/>
      <c r="E12" s="428" t="n"/>
      <c r="F12" s="428" t="n"/>
      <c r="G12" s="428" t="n"/>
      <c r="H12" s="429" t="n"/>
      <c r="I12" s="186" t="n"/>
      <c r="J12" s="186" t="n"/>
    </row>
    <row r="13" ht="25.5" customHeight="1" s="300">
      <c r="A13" s="357" t="n">
        <v>1</v>
      </c>
      <c r="B13" s="241" t="inlineStr">
        <is>
          <t>1-3-3</t>
        </is>
      </c>
      <c r="C13" s="356" t="inlineStr">
        <is>
          <t>Затраты труда рабочих-строителей среднего разряда (3,3)</t>
        </is>
      </c>
      <c r="D13" s="357" t="inlineStr">
        <is>
          <t>чел.-ч.</t>
        </is>
      </c>
      <c r="E13" s="440">
        <f>G13/F13</f>
        <v/>
      </c>
      <c r="F13" s="251" t="n">
        <v>8.859999999999999</v>
      </c>
      <c r="G13" s="251">
        <f>'Прил. 3'!H12</f>
        <v/>
      </c>
      <c r="H13" s="250">
        <f>G13/$G$14</f>
        <v/>
      </c>
      <c r="I13" s="251">
        <f>'ФОТр.тек.'!E13</f>
        <v/>
      </c>
      <c r="J13" s="251">
        <f>ROUND(I13*E13,2)</f>
        <v/>
      </c>
    </row>
    <row r="14" ht="25.5" customFormat="1" customHeight="1" s="298">
      <c r="A14" s="357" t="n"/>
      <c r="B14" s="357" t="n"/>
      <c r="C14" s="342" t="inlineStr">
        <is>
          <t>Итого по разделу "Затраты труда рабочих-строителей"</t>
        </is>
      </c>
      <c r="D14" s="357" t="inlineStr">
        <is>
          <t>чел.-ч.</t>
        </is>
      </c>
      <c r="E14" s="440">
        <f>SUM(E13:E13)</f>
        <v/>
      </c>
      <c r="F14" s="251" t="n"/>
      <c r="G14" s="251">
        <f>SUM(G13:G13)</f>
        <v/>
      </c>
      <c r="H14" s="360">
        <f>SUM(H13:H13)</f>
        <v/>
      </c>
      <c r="I14" s="186" t="n"/>
      <c r="J14" s="251">
        <f>SUM(J13:J13)</f>
        <v/>
      </c>
    </row>
    <row r="15" ht="14.25" customFormat="1" customHeight="1" s="298">
      <c r="A15" s="357" t="n"/>
      <c r="B15" s="356" t="inlineStr">
        <is>
          <t>Затраты труда машинистов</t>
        </is>
      </c>
      <c r="C15" s="428" t="n"/>
      <c r="D15" s="428" t="n"/>
      <c r="E15" s="428" t="n"/>
      <c r="F15" s="428" t="n"/>
      <c r="G15" s="428" t="n"/>
      <c r="H15" s="429" t="n"/>
      <c r="I15" s="186" t="n"/>
      <c r="J15" s="186" t="n"/>
    </row>
    <row r="16" ht="14.25" customFormat="1" customHeight="1" s="298">
      <c r="A16" s="357" t="n">
        <v>2</v>
      </c>
      <c r="B16" s="357" t="n">
        <v>2</v>
      </c>
      <c r="C16" s="356" t="inlineStr">
        <is>
          <t>Затраты труда машинистов</t>
        </is>
      </c>
      <c r="D16" s="357" t="inlineStr">
        <is>
          <t>чел.-ч.</t>
        </is>
      </c>
      <c r="E16" s="440">
        <f>'Прил. 3'!F16</f>
        <v/>
      </c>
      <c r="F16" s="251">
        <f>G16/E16</f>
        <v/>
      </c>
      <c r="G16" s="251">
        <f>'Прил. 3'!H15</f>
        <v/>
      </c>
      <c r="H16" s="360" t="n">
        <v>1</v>
      </c>
      <c r="I16" s="251">
        <f>ROUND(F16*'Прил. 10'!D11,2)</f>
        <v/>
      </c>
      <c r="J16" s="251">
        <f>ROUND(I16*E16,2)</f>
        <v/>
      </c>
    </row>
    <row r="17" ht="14.25" customFormat="1" customHeight="1" s="298">
      <c r="A17" s="357" t="n"/>
      <c r="B17" s="342" t="inlineStr">
        <is>
          <t>Машины и механизмы</t>
        </is>
      </c>
      <c r="C17" s="428" t="n"/>
      <c r="D17" s="428" t="n"/>
      <c r="E17" s="428" t="n"/>
      <c r="F17" s="428" t="n"/>
      <c r="G17" s="428" t="n"/>
      <c r="H17" s="429" t="n"/>
      <c r="I17" s="186" t="n"/>
      <c r="J17" s="186" t="n"/>
    </row>
    <row r="18" ht="14.25" customFormat="1" customHeight="1" s="298">
      <c r="A18" s="357" t="n"/>
      <c r="B18" s="356" t="inlineStr">
        <is>
          <t>Основные 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186" t="n"/>
      <c r="J18" s="186" t="n"/>
    </row>
    <row r="19" ht="43.5" customFormat="1" customHeight="1" s="298">
      <c r="A19" s="357" t="n">
        <v>3</v>
      </c>
      <c r="B19" s="241" t="inlineStr">
        <is>
          <t>91.14.02-001</t>
        </is>
      </c>
      <c r="C19" s="356" t="inlineStr">
        <is>
          <t>Автомобили бортовые, грузоподъемность до 5 т</t>
        </is>
      </c>
      <c r="D19" s="357" t="inlineStr">
        <is>
          <t>маш.час</t>
        </is>
      </c>
      <c r="E19" s="440" t="n">
        <v>0.48</v>
      </c>
      <c r="F19" s="359" t="n">
        <v>65.70999999999999</v>
      </c>
      <c r="G19" s="251">
        <f>ROUND(E19*F19,2)</f>
        <v/>
      </c>
      <c r="H19" s="250">
        <f>G19/$G$23</f>
        <v/>
      </c>
      <c r="I19" s="251">
        <f>ROUND(F19*'Прил. 10'!$D$12,2)</f>
        <v/>
      </c>
      <c r="J19" s="251">
        <f>ROUND(I19*E19,2)</f>
        <v/>
      </c>
    </row>
    <row r="20" ht="14.25" customFormat="1" customHeight="1" s="298">
      <c r="A20" s="357" t="n"/>
      <c r="B20" s="357" t="n"/>
      <c r="C20" s="356" t="inlineStr">
        <is>
          <t>Итого основные машины и механизмы</t>
        </is>
      </c>
      <c r="D20" s="357" t="n"/>
      <c r="E20" s="440" t="n"/>
      <c r="F20" s="251" t="n"/>
      <c r="G20" s="251">
        <f>SUM(G19:G19)</f>
        <v/>
      </c>
      <c r="H20" s="360">
        <f>G20/G23</f>
        <v/>
      </c>
      <c r="I20" s="249" t="n"/>
      <c r="J20" s="251">
        <f>SUM(J19:J19)</f>
        <v/>
      </c>
    </row>
    <row r="21" hidden="1" outlineLevel="1" ht="51" customFormat="1" customHeight="1" s="298">
      <c r="A21" s="357" t="n">
        <v>4</v>
      </c>
      <c r="B21" s="241" t="inlineStr">
        <is>
          <t>91.17.04-233</t>
        </is>
      </c>
      <c r="C21" s="356" t="inlineStr">
        <is>
          <t>Установки для сварки ручной дуговой (постоянного тока)</t>
        </is>
      </c>
      <c r="D21" s="357" t="inlineStr">
        <is>
          <t>маш.час</t>
        </is>
      </c>
      <c r="E21" s="440" t="n">
        <v>0.11</v>
      </c>
      <c r="F21" s="359" t="n">
        <v>8.1</v>
      </c>
      <c r="G21" s="251">
        <f>ROUND(E21*F21,2)</f>
        <v/>
      </c>
      <c r="H21" s="250">
        <f>G21/$G$23</f>
        <v/>
      </c>
      <c r="I21" s="251">
        <f>ROUND(F21*'Прил. 10'!$D$12,2)</f>
        <v/>
      </c>
      <c r="J21" s="251">
        <f>ROUND(I21*E21,2)</f>
        <v/>
      </c>
    </row>
    <row r="22" collapsed="1" ht="14.25" customFormat="1" customHeight="1" s="298">
      <c r="A22" s="357" t="n"/>
      <c r="B22" s="357" t="n"/>
      <c r="C22" s="356" t="inlineStr">
        <is>
          <t>Итого прочие машины и механизмы</t>
        </is>
      </c>
      <c r="D22" s="357" t="n"/>
      <c r="E22" s="358" t="n"/>
      <c r="F22" s="251" t="n"/>
      <c r="G22" s="249">
        <f>SUM(G21:G21)</f>
        <v/>
      </c>
      <c r="H22" s="250">
        <f>G22/G23</f>
        <v/>
      </c>
      <c r="I22" s="251" t="n"/>
      <c r="J22" s="249">
        <f>SUM(J21:J21)</f>
        <v/>
      </c>
    </row>
    <row r="23" ht="25.5" customFormat="1" customHeight="1" s="298">
      <c r="A23" s="357" t="n"/>
      <c r="B23" s="357" t="n"/>
      <c r="C23" s="342" t="inlineStr">
        <is>
          <t>Итого по разделу «Машины и механизмы»</t>
        </is>
      </c>
      <c r="D23" s="357" t="n"/>
      <c r="E23" s="358" t="n"/>
      <c r="F23" s="251" t="n"/>
      <c r="G23" s="251">
        <f>G20+G22</f>
        <v/>
      </c>
      <c r="H23" s="360">
        <f>H20+H22</f>
        <v/>
      </c>
      <c r="I23" s="184" t="n"/>
      <c r="J23" s="251">
        <f>J20+J22</f>
        <v/>
      </c>
    </row>
    <row r="24" ht="14.25" customFormat="1" customHeight="1" s="298">
      <c r="A24" s="357" t="n"/>
      <c r="B24" s="342" t="inlineStr">
        <is>
          <t>Оборудование</t>
        </is>
      </c>
      <c r="C24" s="428" t="n"/>
      <c r="D24" s="428" t="n"/>
      <c r="E24" s="428" t="n"/>
      <c r="F24" s="428" t="n"/>
      <c r="G24" s="428" t="n"/>
      <c r="H24" s="429" t="n"/>
      <c r="I24" s="186" t="n"/>
      <c r="J24" s="186" t="n"/>
    </row>
    <row r="25">
      <c r="A25" s="357" t="n"/>
      <c r="B25" s="356" t="inlineStr">
        <is>
          <t>Основное оборудование</t>
        </is>
      </c>
      <c r="C25" s="428" t="n"/>
      <c r="D25" s="428" t="n"/>
      <c r="E25" s="428" t="n"/>
      <c r="F25" s="428" t="n"/>
      <c r="G25" s="428" t="n"/>
      <c r="H25" s="429" t="n"/>
      <c r="I25" s="186" t="n"/>
      <c r="J25" s="186" t="n"/>
      <c r="K25" s="298" t="n"/>
      <c r="L25" s="298" t="n"/>
    </row>
    <row r="26" ht="76.5" customFormat="1" customHeight="1" s="298">
      <c r="A26" s="357" t="n">
        <v>5</v>
      </c>
      <c r="B26" s="357" t="inlineStr">
        <is>
          <t>БЦ.33.25</t>
        </is>
      </c>
      <c r="C26" s="356" t="inlineStr">
        <is>
          <t>Стационарный АРМ (Системный блок HP ProDesk 400 G2 MT i3 4160 (3.6)/4Gb/500Gb7.2k/HDG4400/DVDRW/Free DOS/GbitEth/180W/клавиатура/мышь/черный/монитор в  комплекте 20" W2072a 1600x900</t>
        </is>
      </c>
      <c r="D26" s="357" t="inlineStr">
        <is>
          <t>шт</t>
        </is>
      </c>
      <c r="E26" s="441" t="n">
        <v>1</v>
      </c>
      <c r="F26" s="359">
        <f>ROUND(I26/'Прил. 10'!$D$14,2)</f>
        <v/>
      </c>
      <c r="G26" s="251">
        <f>ROUND(E26*F26,2)</f>
        <v/>
      </c>
      <c r="H26" s="250" t="n">
        <v>0</v>
      </c>
      <c r="I26" s="251" t="n">
        <v>525916.8</v>
      </c>
      <c r="J26" s="251">
        <f>ROUND(I26*E26,2)</f>
        <v/>
      </c>
    </row>
    <row r="27">
      <c r="A27" s="357" t="n"/>
      <c r="B27" s="357" t="n"/>
      <c r="C27" s="356" t="inlineStr">
        <is>
          <t>Итого основное оборудование</t>
        </is>
      </c>
      <c r="D27" s="357" t="n"/>
      <c r="E27" s="441" t="n"/>
      <c r="F27" s="359" t="n"/>
      <c r="G27" s="251">
        <f>SUM(G26:G26)</f>
        <v/>
      </c>
      <c r="H27" s="250">
        <f>H26</f>
        <v/>
      </c>
      <c r="I27" s="249" t="n"/>
      <c r="J27" s="251">
        <f>SUM(J26:J26)</f>
        <v/>
      </c>
      <c r="K27" s="298" t="n"/>
      <c r="L27" s="298" t="n"/>
    </row>
    <row r="28">
      <c r="A28" s="357" t="n"/>
      <c r="B28" s="357" t="n"/>
      <c r="C28" s="356" t="inlineStr">
        <is>
          <t>Итого прочее оборудование</t>
        </is>
      </c>
      <c r="D28" s="357" t="n"/>
      <c r="E28" s="440" t="n"/>
      <c r="F28" s="359" t="n"/>
      <c r="G28" s="251" t="n">
        <v>0</v>
      </c>
      <c r="H28" s="250" t="n">
        <v>0</v>
      </c>
      <c r="I28" s="249" t="n"/>
      <c r="J28" s="251" t="n">
        <v>0</v>
      </c>
      <c r="K28" s="298" t="n"/>
      <c r="L28" s="298" t="n"/>
    </row>
    <row r="29">
      <c r="A29" s="357" t="n"/>
      <c r="B29" s="357" t="n"/>
      <c r="C29" s="342" t="inlineStr">
        <is>
          <t>Итого по разделу «Оборудование»</t>
        </is>
      </c>
      <c r="D29" s="357" t="n"/>
      <c r="E29" s="358" t="n"/>
      <c r="F29" s="359" t="n"/>
      <c r="G29" s="251">
        <f>G27+G28</f>
        <v/>
      </c>
      <c r="H29" s="250">
        <f>H27+H28</f>
        <v/>
      </c>
      <c r="I29" s="249" t="n"/>
      <c r="J29" s="251">
        <f>J28+J27</f>
        <v/>
      </c>
      <c r="K29" s="298" t="n"/>
      <c r="L29" s="298" t="n"/>
    </row>
    <row r="30">
      <c r="A30" s="357" t="n"/>
      <c r="B30" s="357" t="n"/>
      <c r="C30" s="356" t="inlineStr">
        <is>
          <t>в том числе технологическое оборудование</t>
        </is>
      </c>
      <c r="D30" s="357" t="n"/>
      <c r="E30" s="441" t="n"/>
      <c r="F30" s="359" t="n"/>
      <c r="G30" s="251">
        <f>G29</f>
        <v/>
      </c>
      <c r="H30" s="360" t="n"/>
      <c r="I30" s="249" t="n"/>
      <c r="J30" s="251">
        <f>J29</f>
        <v/>
      </c>
      <c r="K30" s="298" t="n"/>
      <c r="L30" s="298" t="n"/>
    </row>
    <row r="31" ht="14.25" customFormat="1" customHeight="1" s="298">
      <c r="A31" s="357" t="n"/>
      <c r="B31" s="342" t="inlineStr">
        <is>
          <t>Материалы</t>
        </is>
      </c>
      <c r="C31" s="428" t="n"/>
      <c r="D31" s="428" t="n"/>
      <c r="E31" s="428" t="n"/>
      <c r="F31" s="428" t="n"/>
      <c r="G31" s="428" t="n"/>
      <c r="H31" s="429" t="n"/>
      <c r="I31" s="186" t="n"/>
      <c r="J31" s="186" t="n"/>
    </row>
    <row r="32" ht="14.25" customFormat="1" customHeight="1" s="298">
      <c r="A32" s="352" t="n"/>
      <c r="B32" s="351" t="inlineStr">
        <is>
          <t>Основные материалы</t>
        </is>
      </c>
      <c r="C32" s="442" t="n"/>
      <c r="D32" s="442" t="n"/>
      <c r="E32" s="442" t="n"/>
      <c r="F32" s="442" t="n"/>
      <c r="G32" s="442" t="n"/>
      <c r="H32" s="443" t="n"/>
      <c r="I32" s="255" t="n"/>
      <c r="J32" s="255" t="n"/>
    </row>
    <row r="33" ht="34.5" customFormat="1" customHeight="1" s="298">
      <c r="A33" s="357" t="n">
        <v>6</v>
      </c>
      <c r="B33" s="357" t="inlineStr">
        <is>
          <t>07.2.07.04-0007</t>
        </is>
      </c>
      <c r="C33" s="356" t="inlineStr">
        <is>
          <t>Конструкции стальные индивидуальные решетчатые сварные, масса до 0,1 т</t>
        </is>
      </c>
      <c r="D33" s="357" t="inlineStr">
        <is>
          <t>т</t>
        </is>
      </c>
      <c r="E33" s="441" t="n">
        <v>0.001</v>
      </c>
      <c r="F33" s="359" t="n">
        <v>11500</v>
      </c>
      <c r="G33" s="251">
        <f>ROUND(E33*F33,2)</f>
        <v/>
      </c>
      <c r="H33" s="250">
        <f>G33/$G$47</f>
        <v/>
      </c>
      <c r="I33" s="251">
        <f>ROUND(F33*'Прил. 10'!$D$13,2)</f>
        <v/>
      </c>
      <c r="J33" s="251">
        <f>ROUND(I33*E33,2)</f>
        <v/>
      </c>
    </row>
    <row r="34" ht="14.25" customFormat="1" customHeight="1" s="298">
      <c r="A34" s="357" t="n">
        <v>7</v>
      </c>
      <c r="B34" s="357" t="inlineStr">
        <is>
          <t>20.1.02.23-0082</t>
        </is>
      </c>
      <c r="C34" s="356" t="inlineStr">
        <is>
          <t>Перемычки гибкие, тип ПГС-50</t>
        </is>
      </c>
      <c r="D34" s="357" t="inlineStr">
        <is>
          <t>10 шт</t>
        </is>
      </c>
      <c r="E34" s="441" t="n">
        <v>0.1</v>
      </c>
      <c r="F34" s="359" t="n">
        <v>39</v>
      </c>
      <c r="G34" s="251">
        <f>ROUND(E34*F34,2)</f>
        <v/>
      </c>
      <c r="H34" s="250">
        <f>G34/$G$47</f>
        <v/>
      </c>
      <c r="I34" s="251">
        <f>ROUND(F34*'Прил. 10'!$D$13,2)</f>
        <v/>
      </c>
      <c r="J34" s="251">
        <f>ROUND(I34*E34,2)</f>
        <v/>
      </c>
    </row>
    <row r="35" ht="14.25" customFormat="1" customHeight="1" s="298">
      <c r="A35" s="357" t="n">
        <v>8</v>
      </c>
      <c r="B35" s="357" t="inlineStr">
        <is>
          <t>01.7.15.07-0014</t>
        </is>
      </c>
      <c r="C35" s="356" t="inlineStr">
        <is>
          <t>Дюбели распорные полипропиленовые</t>
        </is>
      </c>
      <c r="D35" s="357" t="inlineStr">
        <is>
          <t>100 шт</t>
        </is>
      </c>
      <c r="E35" s="441" t="n">
        <v>0.014</v>
      </c>
      <c r="F35" s="359" t="n">
        <v>86</v>
      </c>
      <c r="G35" s="251">
        <f>ROUND(E35*F35,2)</f>
        <v/>
      </c>
      <c r="H35" s="250">
        <f>G35/$G$47</f>
        <v/>
      </c>
      <c r="I35" s="251">
        <f>ROUND(F35*'Прил. 10'!$D$13,2)</f>
        <v/>
      </c>
      <c r="J35" s="251">
        <f>ROUND(I35*E35,2)</f>
        <v/>
      </c>
    </row>
    <row r="36" ht="14.25" customFormat="1" customHeight="1" s="298">
      <c r="A36" s="357" t="n">
        <v>9</v>
      </c>
      <c r="B36" s="357" t="inlineStr">
        <is>
          <t>14.4.02.09-0001</t>
        </is>
      </c>
      <c r="C36" s="356" t="inlineStr">
        <is>
          <t>Краска</t>
        </is>
      </c>
      <c r="D36" s="357" t="inlineStr">
        <is>
          <t>кг</t>
        </is>
      </c>
      <c r="E36" s="441" t="n">
        <v>0.036</v>
      </c>
      <c r="F36" s="359" t="n">
        <v>28.6</v>
      </c>
      <c r="G36" s="251">
        <f>ROUND(E36*F36,2)</f>
        <v/>
      </c>
      <c r="H36" s="250">
        <f>G36/$G$47</f>
        <v/>
      </c>
      <c r="I36" s="251">
        <f>ROUND(F36*'Прил. 10'!$D$13,2)</f>
        <v/>
      </c>
      <c r="J36" s="251">
        <f>ROUND(I36*E36,2)</f>
        <v/>
      </c>
    </row>
    <row r="37" ht="14.25" customFormat="1" customHeight="1" s="298">
      <c r="A37" s="368" t="n"/>
      <c r="B37" s="257" t="n"/>
      <c r="C37" s="258" t="inlineStr">
        <is>
          <t>Итого основные материалы</t>
        </is>
      </c>
      <c r="D37" s="368" t="n"/>
      <c r="E37" s="444" t="n"/>
      <c r="F37" s="262" t="n"/>
      <c r="G37" s="262">
        <f>SUM(G33:G36)</f>
        <v/>
      </c>
      <c r="H37" s="250">
        <f>G37/$G$47</f>
        <v/>
      </c>
      <c r="I37" s="251" t="n"/>
      <c r="J37" s="262">
        <f>SUM(J33:J36)</f>
        <v/>
      </c>
    </row>
    <row r="38" hidden="1" outlineLevel="1" ht="25.5" customFormat="1" customHeight="1" s="298">
      <c r="A38" s="357" t="n">
        <v>10</v>
      </c>
      <c r="B38" s="357" t="inlineStr">
        <is>
          <t>999-9950</t>
        </is>
      </c>
      <c r="C38" s="356" t="inlineStr">
        <is>
          <t>Вспомогательные ненормируемые ресурсы (2% от Оплаты труда рабочих)</t>
        </is>
      </c>
      <c r="D38" s="357" t="inlineStr">
        <is>
          <t>руб</t>
        </is>
      </c>
      <c r="E38" s="441" t="n">
        <v>0.79</v>
      </c>
      <c r="F38" s="359" t="n">
        <v>1</v>
      </c>
      <c r="G38" s="251">
        <f>ROUND(E38*F38,2)</f>
        <v/>
      </c>
      <c r="H38" s="250">
        <f>G38/$G$47</f>
        <v/>
      </c>
      <c r="I38" s="251">
        <f>ROUND(F38*'Прил. 10'!$D$13,2)</f>
        <v/>
      </c>
      <c r="J38" s="251">
        <f>ROUND(I38*E38,2)</f>
        <v/>
      </c>
    </row>
    <row r="39" hidden="1" outlineLevel="1" ht="21.75" customFormat="1" customHeight="1" s="298">
      <c r="A39" s="357" t="n">
        <v>11</v>
      </c>
      <c r="B39" s="357" t="inlineStr">
        <is>
          <t>01.7.11.07-0034</t>
        </is>
      </c>
      <c r="C39" s="356" t="inlineStr">
        <is>
          <t>Электроды сварочные Э42А, диаметр 4 мм</t>
        </is>
      </c>
      <c r="D39" s="357" t="inlineStr">
        <is>
          <t>кг</t>
        </is>
      </c>
      <c r="E39" s="441" t="n">
        <v>0.07000000000000001</v>
      </c>
      <c r="F39" s="359" t="n">
        <v>10.57</v>
      </c>
      <c r="G39" s="251">
        <f>ROUND(E39*F39,2)</f>
        <v/>
      </c>
      <c r="H39" s="250">
        <f>G39/$G$47</f>
        <v/>
      </c>
      <c r="I39" s="251">
        <f>ROUND(F39*'Прил. 10'!$D$13,2)</f>
        <v/>
      </c>
      <c r="J39" s="251">
        <f>ROUND(I39*E39,2)</f>
        <v/>
      </c>
    </row>
    <row r="40" hidden="1" outlineLevel="1" ht="14.25" customFormat="1" customHeight="1" s="298">
      <c r="A40" s="357" t="n">
        <v>12</v>
      </c>
      <c r="B40" s="357" t="inlineStr">
        <is>
          <t>01.7.15.03-0042</t>
        </is>
      </c>
      <c r="C40" s="356" t="inlineStr">
        <is>
          <t>Болты с гайками и шайбами строительные</t>
        </is>
      </c>
      <c r="D40" s="357" t="inlineStr">
        <is>
          <t>кг</t>
        </is>
      </c>
      <c r="E40" s="441" t="n">
        <v>0.049</v>
      </c>
      <c r="F40" s="359" t="n">
        <v>9.039999999999999</v>
      </c>
      <c r="G40" s="251">
        <f>ROUND(E40*F40,2)</f>
        <v/>
      </c>
      <c r="H40" s="250">
        <f>G40/$G$47</f>
        <v/>
      </c>
      <c r="I40" s="251">
        <f>ROUND(F40*'Прил. 10'!$D$13,2)</f>
        <v/>
      </c>
      <c r="J40" s="251">
        <f>ROUND(I40*E40,2)</f>
        <v/>
      </c>
    </row>
    <row r="41" hidden="1" outlineLevel="1" ht="38.25" customFormat="1" customHeight="1" s="298">
      <c r="A41" s="357" t="n">
        <v>13</v>
      </c>
      <c r="B41" s="357" t="inlineStr">
        <is>
          <t>01.7.06.05-0041</t>
        </is>
      </c>
      <c r="C41" s="356" t="inlineStr">
        <is>
          <t>Лента изоляционная прорезиненная односторонняя, ширина 20 мм, толщина 0,25-0,35 мм</t>
        </is>
      </c>
      <c r="D41" s="357" t="inlineStr">
        <is>
          <t>кг</t>
        </is>
      </c>
      <c r="E41" s="441" t="n">
        <v>0.012</v>
      </c>
      <c r="F41" s="359" t="n">
        <v>30.4</v>
      </c>
      <c r="G41" s="251">
        <f>ROUND(E41*F41,2)</f>
        <v/>
      </c>
      <c r="H41" s="250">
        <f>G41/$G$47</f>
        <v/>
      </c>
      <c r="I41" s="251">
        <f>ROUND(F41*'Прил. 10'!$D$13,2)</f>
        <v/>
      </c>
      <c r="J41" s="251">
        <f>ROUND(I41*E41,2)</f>
        <v/>
      </c>
    </row>
    <row r="42" hidden="1" outlineLevel="1" ht="21.75" customFormat="1" customHeight="1" s="298">
      <c r="A42" s="357" t="n">
        <v>14</v>
      </c>
      <c r="B42" s="357" t="inlineStr">
        <is>
          <t>01.3.01.02-0002</t>
        </is>
      </c>
      <c r="C42" s="356" t="inlineStr">
        <is>
          <t>Вазелин технический</t>
        </is>
      </c>
      <c r="D42" s="357" t="inlineStr">
        <is>
          <t>кг</t>
        </is>
      </c>
      <c r="E42" s="441" t="n">
        <v>0.006</v>
      </c>
      <c r="F42" s="359" t="n">
        <v>44.97</v>
      </c>
      <c r="G42" s="251">
        <f>ROUND(E42*F42,2)</f>
        <v/>
      </c>
      <c r="H42" s="250">
        <f>G42/$G$47</f>
        <v/>
      </c>
      <c r="I42" s="251">
        <f>ROUND(F42*'Прил. 10'!$D$13,2)</f>
        <v/>
      </c>
      <c r="J42" s="251">
        <f>ROUND(I42*E42,2)</f>
        <v/>
      </c>
    </row>
    <row r="43" hidden="1" outlineLevel="1" ht="14.25" customFormat="1" customHeight="1" s="298">
      <c r="A43" s="357" t="n">
        <v>15</v>
      </c>
      <c r="B43" s="357" t="inlineStr">
        <is>
          <t>14.4.03.17-0011</t>
        </is>
      </c>
      <c r="C43" s="356" t="inlineStr">
        <is>
          <t>Лак электроизоляционный 318</t>
        </is>
      </c>
      <c r="D43" s="357" t="inlineStr">
        <is>
          <t>кг</t>
        </is>
      </c>
      <c r="E43" s="441" t="n">
        <v>0.006</v>
      </c>
      <c r="F43" s="359" t="n">
        <v>35.63</v>
      </c>
      <c r="G43" s="251">
        <f>ROUND(E43*F43,2)</f>
        <v/>
      </c>
      <c r="H43" s="250">
        <f>G43/$G$47</f>
        <v/>
      </c>
      <c r="I43" s="251">
        <f>ROUND(F43*'Прил. 10'!$D$13,2)</f>
        <v/>
      </c>
      <c r="J43" s="251">
        <f>ROUND(I43*E43,2)</f>
        <v/>
      </c>
    </row>
    <row r="44" hidden="1" outlineLevel="1" ht="14.25" customFormat="1" customHeight="1" s="298">
      <c r="A44" s="357" t="n">
        <v>16</v>
      </c>
      <c r="B44" s="357" t="inlineStr">
        <is>
          <t>01.7.20.04-0005</t>
        </is>
      </c>
      <c r="C44" s="356" t="inlineStr">
        <is>
          <t>Нитки швейные</t>
        </is>
      </c>
      <c r="D44" s="357" t="inlineStr">
        <is>
          <t>кг</t>
        </is>
      </c>
      <c r="E44" s="441" t="n">
        <v>0.001</v>
      </c>
      <c r="F44" s="359" t="n">
        <v>133.05</v>
      </c>
      <c r="G44" s="251">
        <f>ROUND(E44*F44,2)</f>
        <v/>
      </c>
      <c r="H44" s="250">
        <f>G44/$G$47</f>
        <v/>
      </c>
      <c r="I44" s="251">
        <f>ROUND(F44*'Прил. 10'!$D$13,2)</f>
        <v/>
      </c>
      <c r="J44" s="251">
        <f>ROUND(I44*E44,2)</f>
        <v/>
      </c>
    </row>
    <row r="45" hidden="1" outlineLevel="1" ht="21.75" customFormat="1" customHeight="1" s="298">
      <c r="A45" s="357" t="n">
        <v>17</v>
      </c>
      <c r="B45" s="357" t="inlineStr">
        <is>
          <t>01.7.02.09-0002</t>
        </is>
      </c>
      <c r="C45" s="356" t="inlineStr">
        <is>
          <t>Шпагат бумажный</t>
        </is>
      </c>
      <c r="D45" s="357" t="inlineStr">
        <is>
          <t>кг</t>
        </is>
      </c>
      <c r="E45" s="441" t="n">
        <v>0.001</v>
      </c>
      <c r="F45" s="359" t="n">
        <v>11.5</v>
      </c>
      <c r="G45" s="251">
        <f>ROUND(E45*F45,2)</f>
        <v/>
      </c>
      <c r="H45" s="250">
        <f>G45/$G$47</f>
        <v/>
      </c>
      <c r="I45" s="251">
        <f>ROUND(F45*'Прил. 10'!$D$13,2)</f>
        <v/>
      </c>
      <c r="J45" s="251">
        <f>ROUND(I45*E45,2)</f>
        <v/>
      </c>
    </row>
    <row r="46" collapsed="1" ht="14.25" customFormat="1" customHeight="1" s="298">
      <c r="A46" s="357" t="n"/>
      <c r="B46" s="357" t="n"/>
      <c r="C46" s="356" t="inlineStr">
        <is>
          <t>Итого прочие материалы</t>
        </is>
      </c>
      <c r="D46" s="357" t="n"/>
      <c r="E46" s="358" t="n"/>
      <c r="F46" s="359" t="n"/>
      <c r="G46" s="251">
        <f>SUM(G38:G45)</f>
        <v/>
      </c>
      <c r="H46" s="250">
        <f>G46/$G$47</f>
        <v/>
      </c>
      <c r="I46" s="251" t="n"/>
      <c r="J46" s="251">
        <f>SUM(J38:J45)</f>
        <v/>
      </c>
    </row>
    <row r="47" ht="14.25" customFormat="1" customHeight="1" s="298">
      <c r="A47" s="357" t="n"/>
      <c r="B47" s="357" t="n"/>
      <c r="C47" s="342" t="inlineStr">
        <is>
          <t>Итого по разделу «Материалы»</t>
        </is>
      </c>
      <c r="D47" s="357" t="n"/>
      <c r="E47" s="358" t="n"/>
      <c r="F47" s="359" t="n"/>
      <c r="G47" s="251">
        <f>G37+G46</f>
        <v/>
      </c>
      <c r="H47" s="360">
        <f>G47/$G$47</f>
        <v/>
      </c>
      <c r="I47" s="251" t="n"/>
      <c r="J47" s="251">
        <f>J37+J46</f>
        <v/>
      </c>
    </row>
    <row r="48" ht="14.25" customFormat="1" customHeight="1" s="298">
      <c r="A48" s="357" t="n"/>
      <c r="B48" s="357" t="n"/>
      <c r="C48" s="356" t="inlineStr">
        <is>
          <t>ИТОГО ПО РМ</t>
        </is>
      </c>
      <c r="D48" s="357" t="n"/>
      <c r="E48" s="358" t="n"/>
      <c r="F48" s="359" t="n"/>
      <c r="G48" s="251">
        <f>G14+G23+G47</f>
        <v/>
      </c>
      <c r="H48" s="360" t="n"/>
      <c r="I48" s="251" t="n"/>
      <c r="J48" s="251">
        <f>J14+J23+J47</f>
        <v/>
      </c>
    </row>
    <row r="49" ht="14.25" customFormat="1" customHeight="1" s="298">
      <c r="A49" s="357" t="n"/>
      <c r="B49" s="357" t="n"/>
      <c r="C49" s="356" t="inlineStr">
        <is>
          <t>Накладные расходы</t>
        </is>
      </c>
      <c r="D49" s="173">
        <f>ROUND(G49/(G$16+$G$14),2)</f>
        <v/>
      </c>
      <c r="E49" s="358" t="n"/>
      <c r="F49" s="359" t="n"/>
      <c r="G49" s="251" t="n">
        <v>41.12</v>
      </c>
      <c r="H49" s="360" t="n"/>
      <c r="I49" s="251" t="n"/>
      <c r="J49" s="251">
        <f>ROUND(D49*(J14+J16),2)</f>
        <v/>
      </c>
    </row>
    <row r="50" ht="14.25" customFormat="1" customHeight="1" s="298">
      <c r="A50" s="357" t="n"/>
      <c r="B50" s="357" t="n"/>
      <c r="C50" s="356" t="inlineStr">
        <is>
          <t>Сметная прибыль</t>
        </is>
      </c>
      <c r="D50" s="173">
        <f>ROUND(G50/(G$14+G$16),2)</f>
        <v/>
      </c>
      <c r="E50" s="358" t="n"/>
      <c r="F50" s="359" t="n"/>
      <c r="G50" s="251" t="n">
        <v>21.2</v>
      </c>
      <c r="H50" s="360" t="n"/>
      <c r="I50" s="251" t="n"/>
      <c r="J50" s="251">
        <f>ROUND(D50*(J14+J16),2)</f>
        <v/>
      </c>
    </row>
    <row r="51" ht="14.25" customFormat="1" customHeight="1" s="298">
      <c r="A51" s="357" t="n"/>
      <c r="B51" s="357" t="n"/>
      <c r="C51" s="356" t="inlineStr">
        <is>
          <t>Итого СМР (с НР и СП)</t>
        </is>
      </c>
      <c r="D51" s="357" t="n"/>
      <c r="E51" s="358" t="n"/>
      <c r="F51" s="359" t="n"/>
      <c r="G51" s="251">
        <f>G14+G23+G47+G49+G50</f>
        <v/>
      </c>
      <c r="H51" s="360" t="n"/>
      <c r="I51" s="251" t="n"/>
      <c r="J51" s="251">
        <f>J14+J23+J47+J49+J50</f>
        <v/>
      </c>
    </row>
    <row r="52" ht="14.25" customFormat="1" customHeight="1" s="298">
      <c r="A52" s="357" t="n"/>
      <c r="B52" s="357" t="n"/>
      <c r="C52" s="356" t="inlineStr">
        <is>
          <t>ВСЕГО СМР + ОБОРУДОВАНИЕ</t>
        </is>
      </c>
      <c r="D52" s="357" t="n"/>
      <c r="E52" s="358" t="n"/>
      <c r="F52" s="359" t="n"/>
      <c r="G52" s="251">
        <f>G51+G29</f>
        <v/>
      </c>
      <c r="H52" s="360" t="n"/>
      <c r="I52" s="251" t="n"/>
      <c r="J52" s="251">
        <f>J51+J29</f>
        <v/>
      </c>
    </row>
    <row r="53" ht="34.5" customFormat="1" customHeight="1" s="298">
      <c r="A53" s="357" t="n"/>
      <c r="B53" s="357" t="n"/>
      <c r="C53" s="356" t="inlineStr">
        <is>
          <t>ИТОГО ПОКАЗАТЕЛЬ НА ЕД. ИЗМ.</t>
        </is>
      </c>
      <c r="D53" s="357" t="inlineStr">
        <is>
          <t>ед.</t>
        </is>
      </c>
      <c r="E53" s="445" t="n">
        <v>1</v>
      </c>
      <c r="F53" s="359" t="n"/>
      <c r="G53" s="251">
        <f>G52/E53</f>
        <v/>
      </c>
      <c r="H53" s="360" t="n"/>
      <c r="I53" s="251" t="n"/>
      <c r="J53" s="251">
        <f>J52/E53</f>
        <v/>
      </c>
    </row>
    <row r="55" ht="14.25" customFormat="1" customHeight="1" s="298">
      <c r="A55" s="288" t="inlineStr">
        <is>
          <t>Составил ______________________    Е. М. Добровольская</t>
        </is>
      </c>
    </row>
    <row r="56" ht="14.25" customFormat="1" customHeight="1" s="298">
      <c r="A56" s="297" t="inlineStr">
        <is>
          <t xml:space="preserve">                         (подпись, инициалы, фамилия)</t>
        </is>
      </c>
    </row>
    <row r="57" ht="14.25" customFormat="1" customHeight="1" s="298">
      <c r="A57" s="288" t="n"/>
    </row>
    <row r="58" ht="14.25" customFormat="1" customHeight="1" s="298">
      <c r="A58" s="288" t="inlineStr">
        <is>
          <t>Проверил ______________________        А.В. Костянецкая</t>
        </is>
      </c>
    </row>
    <row r="59" ht="14.25" customFormat="1" customHeight="1" s="298">
      <c r="A59" s="297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A4:J4"/>
    <mergeCell ref="B15:H15"/>
    <mergeCell ref="H2:J2"/>
    <mergeCell ref="C9:C10"/>
    <mergeCell ref="B32:H32"/>
    <mergeCell ref="E9:E10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00" min="1" max="1"/>
    <col width="17.710937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69" t="inlineStr">
        <is>
          <t>Приложение №6</t>
        </is>
      </c>
    </row>
    <row r="2" ht="21.75" customHeight="1" s="300">
      <c r="A2" s="369" t="n"/>
      <c r="B2" s="369" t="n"/>
      <c r="C2" s="369" t="n"/>
      <c r="D2" s="369" t="n"/>
      <c r="E2" s="369" t="n"/>
      <c r="F2" s="369" t="n"/>
      <c r="G2" s="369" t="n"/>
    </row>
    <row r="3">
      <c r="A3" s="325" t="inlineStr">
        <is>
          <t>Расчет стоимости оборудования</t>
        </is>
      </c>
    </row>
    <row r="4" ht="27" customHeight="1" s="300">
      <c r="A4" s="328" t="inlineStr">
        <is>
          <t>Наименование разрабатываемого показателя УНЦ — Установка АРМ АИИСКУЭ на ПС 35-750 кВ (без прикладного ПО)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.2" customHeight="1" s="300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7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00">
      <c r="A9" s="228" t="n"/>
      <c r="B9" s="356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00">
      <c r="A10" s="357" t="n"/>
      <c r="B10" s="342" t="n"/>
      <c r="C10" s="356" t="inlineStr">
        <is>
          <t>ИТОГО ИНЖЕНЕРНОЕ ОБОРУДОВАНИЕ</t>
        </is>
      </c>
      <c r="D10" s="342" t="n"/>
      <c r="E10" s="169" t="n"/>
      <c r="F10" s="359" t="n"/>
      <c r="G10" s="359" t="n">
        <v>0</v>
      </c>
    </row>
    <row r="11">
      <c r="A11" s="357" t="n"/>
      <c r="B11" s="356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90" customHeight="1" s="300">
      <c r="A12" s="357" t="n">
        <v>1</v>
      </c>
      <c r="B12" s="356">
        <f>'Прил.5 Расчет СМР и ОБ'!B26</f>
        <v/>
      </c>
      <c r="C12" s="356">
        <f>'Прил.5 Расчет СМР и ОБ'!C26</f>
        <v/>
      </c>
      <c r="D12" s="357">
        <f>'Прил.5 Расчет СМР и ОБ'!D26</f>
        <v/>
      </c>
      <c r="E12" s="357">
        <f>'Прил.5 Расчет СМР и ОБ'!E26</f>
        <v/>
      </c>
      <c r="F12" s="358">
        <f>'Прил.5 Расчет СМР и ОБ'!F26</f>
        <v/>
      </c>
      <c r="G12" s="358">
        <f>ROUND(E12*F12,2)</f>
        <v/>
      </c>
    </row>
    <row r="13" ht="25.5" customHeight="1" s="300">
      <c r="A13" s="357" t="n"/>
      <c r="B13" s="356" t="n"/>
      <c r="C13" s="356" t="inlineStr">
        <is>
          <t>ИТОГО ТЕХНОЛОГИЧЕСКОЕ ОБОРУДОВАНИЕ</t>
        </is>
      </c>
      <c r="D13" s="356" t="n"/>
      <c r="E13" s="373" t="n"/>
      <c r="F13" s="359" t="n"/>
      <c r="G13" s="251">
        <f>SUM(G12:G12)</f>
        <v/>
      </c>
    </row>
    <row r="14" ht="19.5" customHeight="1" s="300">
      <c r="A14" s="357" t="n"/>
      <c r="B14" s="356" t="n"/>
      <c r="C14" s="356" t="inlineStr">
        <is>
          <t>Всего по разделу «Оборудование»</t>
        </is>
      </c>
      <c r="D14" s="356" t="n"/>
      <c r="E14" s="373" t="n"/>
      <c r="F14" s="359" t="n"/>
      <c r="G14" s="251">
        <f>G10+G13</f>
        <v/>
      </c>
    </row>
    <row r="15">
      <c r="A15" s="299" t="n"/>
      <c r="B15" s="294" t="n"/>
      <c r="C15" s="299" t="n"/>
      <c r="D15" s="299" t="n"/>
      <c r="E15" s="299" t="n"/>
      <c r="F15" s="299" t="n"/>
      <c r="G15" s="299" t="n"/>
    </row>
    <row r="16">
      <c r="A16" s="288" t="inlineStr">
        <is>
          <t>Составил ______________________    Е. М. Добровольская</t>
        </is>
      </c>
      <c r="B16" s="298" t="n"/>
      <c r="C16" s="298" t="n"/>
      <c r="D16" s="299" t="n"/>
      <c r="E16" s="299" t="n"/>
      <c r="F16" s="299" t="n"/>
      <c r="G16" s="299" t="n"/>
    </row>
    <row r="17">
      <c r="A17" s="297" t="inlineStr">
        <is>
          <t xml:space="preserve">                         (подпись, инициалы, фамилия)</t>
        </is>
      </c>
      <c r="B17" s="298" t="n"/>
      <c r="C17" s="298" t="n"/>
      <c r="D17" s="299" t="n"/>
      <c r="E17" s="299" t="n"/>
      <c r="F17" s="299" t="n"/>
      <c r="G17" s="299" t="n"/>
    </row>
    <row r="18">
      <c r="A18" s="288" t="n"/>
      <c r="B18" s="298" t="n"/>
      <c r="C18" s="298" t="n"/>
      <c r="D18" s="299" t="n"/>
      <c r="E18" s="299" t="n"/>
      <c r="F18" s="299" t="n"/>
      <c r="G18" s="299" t="n"/>
    </row>
    <row r="19">
      <c r="A19" s="288" t="inlineStr">
        <is>
          <t>Проверил ______________________        А.В. Костянецкая</t>
        </is>
      </c>
      <c r="B19" s="298" t="n"/>
      <c r="C19" s="298" t="n"/>
      <c r="D19" s="299" t="n"/>
      <c r="E19" s="299" t="n"/>
      <c r="F19" s="299" t="n"/>
      <c r="G19" s="299" t="n"/>
    </row>
    <row r="20">
      <c r="A20" s="297" t="inlineStr">
        <is>
          <t xml:space="preserve">                        (подпись, инициалы, фамилия)</t>
        </is>
      </c>
      <c r="B20" s="298" t="n"/>
      <c r="C20" s="298" t="n"/>
      <c r="D20" s="299" t="n"/>
      <c r="E20" s="299" t="n"/>
      <c r="F20" s="299" t="n"/>
      <c r="G20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00" min="1" max="1"/>
    <col width="29.7109375" customWidth="1" style="300" min="2" max="2"/>
    <col width="39.140625" customWidth="1" style="300" min="3" max="3"/>
    <col width="24.5703125" customWidth="1" style="300" min="4" max="4"/>
    <col width="8.85546875" customWidth="1" style="300" min="5" max="5"/>
  </cols>
  <sheetData>
    <row r="1">
      <c r="B1" s="288" t="n"/>
      <c r="C1" s="288" t="n"/>
      <c r="D1" s="369" t="inlineStr">
        <is>
          <t>Приложение №7</t>
        </is>
      </c>
    </row>
    <row r="2">
      <c r="A2" s="369" t="n"/>
      <c r="B2" s="369" t="n"/>
      <c r="C2" s="369" t="n"/>
      <c r="D2" s="369" t="n"/>
    </row>
    <row r="3" ht="24.75" customHeight="1" s="300">
      <c r="A3" s="325" t="inlineStr">
        <is>
          <t>Расчет показателя УНЦ</t>
        </is>
      </c>
    </row>
    <row r="4" ht="24.75" customHeight="1" s="300">
      <c r="A4" s="325" t="n"/>
      <c r="B4" s="325" t="n"/>
      <c r="C4" s="325" t="n"/>
      <c r="D4" s="325" t="n"/>
    </row>
    <row r="5" ht="24.6" customHeight="1" s="300">
      <c r="A5" s="328" t="inlineStr">
        <is>
          <t xml:space="preserve">Наименование разрабатываемого показателя УНЦ - </t>
        </is>
      </c>
      <c r="D5" s="328">
        <f>'Прил.5 Расчет СМР и ОБ'!D6:J6</f>
        <v/>
      </c>
    </row>
    <row r="6" ht="19.9" customHeight="1" s="300">
      <c r="A6" s="328" t="inlineStr">
        <is>
          <t>Единица измерения  — 1 ед</t>
        </is>
      </c>
      <c r="D6" s="328" t="n"/>
    </row>
    <row r="7">
      <c r="A7" s="288" t="n"/>
      <c r="B7" s="288" t="n"/>
      <c r="C7" s="288" t="n"/>
      <c r="D7" s="288" t="n"/>
    </row>
    <row r="8" ht="14.45" customHeight="1" s="300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 ht="15" customHeight="1" s="300">
      <c r="A9" s="431" t="n"/>
      <c r="B9" s="431" t="n"/>
      <c r="C9" s="431" t="n"/>
      <c r="D9" s="431" t="n"/>
    </row>
    <row r="10">
      <c r="A10" s="357" t="n">
        <v>1</v>
      </c>
      <c r="B10" s="357" t="n">
        <v>2</v>
      </c>
      <c r="C10" s="357" t="n">
        <v>3</v>
      </c>
      <c r="D10" s="357" t="n">
        <v>4</v>
      </c>
    </row>
    <row r="11" ht="41.45" customHeight="1" s="300">
      <c r="A11" s="357" t="inlineStr">
        <is>
          <t>А1-83</t>
        </is>
      </c>
      <c r="B11" s="357" t="inlineStr">
        <is>
          <t>УНЦ ИИК</t>
        </is>
      </c>
      <c r="C11" s="290">
        <f>D5</f>
        <v/>
      </c>
      <c r="D11" s="291">
        <f>'Прил.4 РМ'!C41/1000</f>
        <v/>
      </c>
      <c r="E11" s="292" t="n"/>
    </row>
    <row r="12">
      <c r="A12" s="299" t="n"/>
      <c r="B12" s="294" t="n"/>
      <c r="C12" s="299" t="n"/>
      <c r="D12" s="299" t="n"/>
    </row>
    <row r="13">
      <c r="A13" s="288" t="inlineStr">
        <is>
          <t>Составил ______________________      Е. М. Добровольская</t>
        </is>
      </c>
      <c r="B13" s="298" t="n"/>
      <c r="C13" s="298" t="n"/>
      <c r="D13" s="299" t="n"/>
    </row>
    <row r="14">
      <c r="A14" s="297" t="inlineStr">
        <is>
          <t xml:space="preserve">                         (подпись, инициалы, фамилия)</t>
        </is>
      </c>
      <c r="B14" s="298" t="n"/>
      <c r="C14" s="298" t="n"/>
      <c r="D14" s="299" t="n"/>
    </row>
    <row r="15">
      <c r="A15" s="288" t="n"/>
      <c r="B15" s="298" t="n"/>
      <c r="C15" s="298" t="n"/>
      <c r="D15" s="299" t="n"/>
    </row>
    <row r="16">
      <c r="A16" s="288" t="inlineStr">
        <is>
          <t>Проверил ______________________        А.В. Костянецкая</t>
        </is>
      </c>
      <c r="B16" s="298" t="n"/>
      <c r="C16" s="298" t="n"/>
      <c r="D16" s="299" t="n"/>
    </row>
    <row r="17">
      <c r="A17" s="297" t="inlineStr">
        <is>
          <t xml:space="preserve">                        (подпись, инициалы, фамилия)</t>
        </is>
      </c>
      <c r="B17" s="298" t="n"/>
      <c r="C17" s="298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00" min="1" max="1"/>
    <col width="40.7109375" customWidth="1" style="300" min="2" max="2"/>
    <col width="37.710937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32" t="inlineStr">
        <is>
          <t>Приложение № 10</t>
        </is>
      </c>
    </row>
    <row r="5" ht="18.75" customHeight="1" s="300">
      <c r="B5" s="153" t="n"/>
    </row>
    <row r="6" ht="15.75" customHeight="1" s="300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00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300">
      <c r="B10" s="338" t="n">
        <v>1</v>
      </c>
      <c r="C10" s="338" t="n">
        <v>2</v>
      </c>
      <c r="D10" s="338" t="n">
        <v>3</v>
      </c>
    </row>
    <row r="11" ht="45" customHeight="1" s="300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 прил.1</t>
        </is>
      </c>
      <c r="D11" s="338" t="n">
        <v>44.29</v>
      </c>
    </row>
    <row r="12" ht="29.25" customHeight="1" s="300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 прил.1</t>
        </is>
      </c>
      <c r="D12" s="338" t="n">
        <v>13.47</v>
      </c>
    </row>
    <row r="13" ht="29.25" customHeight="1" s="300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 прил.1</t>
        </is>
      </c>
      <c r="D13" s="338" t="n">
        <v>8.039999999999999</v>
      </c>
    </row>
    <row r="14" ht="30.75" customHeight="1" s="300">
      <c r="B14" s="338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38" t="n">
        <v>6.26</v>
      </c>
    </row>
    <row r="15" ht="89.45" customHeight="1" s="300">
      <c r="B15" s="338" t="inlineStr">
        <is>
          <t>Временные здания и сооружения</t>
        </is>
      </c>
      <c r="C15" s="33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0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1.7" customHeight="1" s="300">
      <c r="B17" s="338" t="inlineStr">
        <is>
          <t>Строительный контроль</t>
        </is>
      </c>
      <c r="C17" s="338" t="inlineStr">
        <is>
          <t>Постановление Правительства РФ от 21.06.10 г. № 468</t>
        </is>
      </c>
      <c r="D17" s="156" t="n">
        <v>0.0214</v>
      </c>
    </row>
    <row r="18" ht="31.7" customHeight="1" s="300">
      <c r="B18" s="338" t="inlineStr">
        <is>
          <t>Авторский надзор - 0,2%</t>
        </is>
      </c>
      <c r="C18" s="338" t="inlineStr">
        <is>
          <t>Приказ от 4.08.2020 № 421/пр п.173</t>
        </is>
      </c>
      <c r="D18" s="156" t="n">
        <v>0.002</v>
      </c>
    </row>
    <row r="19" ht="24" customHeight="1" s="300">
      <c r="B19" s="338" t="inlineStr">
        <is>
          <t>Непредвиденные расходы</t>
        </is>
      </c>
      <c r="C19" s="338" t="inlineStr">
        <is>
          <t>Приказ от 4.08.2020 № 421/пр п.179</t>
        </is>
      </c>
      <c r="D19" s="156" t="n">
        <v>0.03</v>
      </c>
    </row>
    <row r="20" ht="18.75" customHeight="1" s="300">
      <c r="B20" s="161" t="n"/>
    </row>
    <row r="21" ht="18.75" customHeight="1" s="300">
      <c r="B21" s="161" t="n"/>
    </row>
    <row r="22" ht="18.75" customHeight="1" s="300">
      <c r="B22" s="161" t="n"/>
    </row>
    <row r="23" ht="18.75" customHeight="1" s="300">
      <c r="B23" s="161" t="n"/>
    </row>
    <row r="26">
      <c r="B26" s="288" t="inlineStr">
        <is>
          <t>Составил ______________________    Е. М. Добровольская</t>
        </is>
      </c>
      <c r="C26" s="298" t="n"/>
    </row>
    <row r="27">
      <c r="B27" s="297" t="inlineStr">
        <is>
          <t xml:space="preserve">                         (подпись, инициалы, фамилия)</t>
        </is>
      </c>
      <c r="C27" s="298" t="n"/>
    </row>
    <row r="28">
      <c r="B28" s="288" t="n"/>
      <c r="C28" s="298" t="n"/>
    </row>
    <row r="29">
      <c r="B29" s="288" t="inlineStr">
        <is>
          <t>Проверил ______________________        А.В. Костянецкая</t>
        </is>
      </c>
      <c r="C29" s="298" t="n"/>
    </row>
    <row r="30">
      <c r="B30" s="297" t="inlineStr">
        <is>
          <t xml:space="preserve">                        (подпись, инициалы, фамилия)</t>
        </is>
      </c>
      <c r="C30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53.7109375" bestFit="1" customWidth="1" style="300" min="6" max="6"/>
  </cols>
  <sheetData>
    <row r="1" s="300"/>
    <row r="2" ht="17.25" customHeight="1" s="300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38" t="n"/>
      <c r="D10" s="338" t="n"/>
      <c r="E10" s="446" t="n">
        <v>3.3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47" t="n">
        <v>1.232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14" t="inlineStr">
        <is>
          <t>1.6</t>
        </is>
      </c>
      <c r="B12" s="420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48" t="n">
        <v>1.139</v>
      </c>
      <c r="F12" s="4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423" t="inlineStr">
        <is>
          <t>1.7</t>
        </is>
      </c>
      <c r="B13" s="424" t="inlineStr">
        <is>
          <t>Размер средств на оплату труда рабочих-строителей в текущем уровне цен (ФОТр.тек.), руб/чел.-ч</t>
        </is>
      </c>
      <c r="C13" s="425" t="inlineStr">
        <is>
          <t>ФОТр.тек.</t>
        </is>
      </c>
      <c r="D13" s="425" t="inlineStr">
        <is>
          <t>(С1ср/tср*КТ*Т*Кув)*Кинф</t>
        </is>
      </c>
      <c r="E13" s="426">
        <f>((E7*E9/E8)*E11)*E12</f>
        <v/>
      </c>
      <c r="F13" s="4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2025-01-24T11:52:17Z</dcterms:modified>
  <cp:lastModifiedBy>Николай Трофименко</cp:lastModifiedBy>
  <cp:lastPrinted>2023-12-01T12:06:22Z</cp:lastPrinted>
</cp:coreProperties>
</file>