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ОБ'!$A$1:$J$83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8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9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67" fontId="17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vertical="top"/>
    </xf>
    <xf numFmtId="169" fontId="17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5" fillId="0" borderId="4" applyAlignment="1" pivotButton="0" quotePrefix="0" xfId="0">
      <alignment vertical="center" wrapText="1"/>
    </xf>
    <xf numFmtId="4" fontId="25" fillId="0" borderId="4" applyAlignment="1" pivotButton="0" quotePrefix="0" xfId="0">
      <alignment vertical="center" wrapText="1"/>
    </xf>
    <xf numFmtId="2" fontId="25" fillId="0" borderId="4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9" fillId="0" borderId="2" applyAlignment="1" pivotButton="0" quotePrefix="0" xfId="0">
      <alignment vertical="top"/>
    </xf>
    <xf numFmtId="0" fontId="19" fillId="0" borderId="6" applyAlignment="1" pivotButton="0" quotePrefix="0" xfId="0">
      <alignment vertical="top"/>
    </xf>
    <xf numFmtId="0" fontId="19" fillId="0" borderId="7" applyAlignment="1" pivotButton="0" quotePrefix="0" xfId="0">
      <alignment vertical="top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7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9" fontId="17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4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297" min="1" max="2"/>
    <col width="51.7109375" customWidth="1" style="297" min="3" max="3"/>
    <col width="47" customWidth="1" style="297" min="4" max="4"/>
    <col width="37.28515625" customWidth="1" style="297" min="5" max="5"/>
    <col width="9.140625" customWidth="1" style="297" min="6" max="6"/>
  </cols>
  <sheetData>
    <row r="3">
      <c r="B3" s="329" t="inlineStr">
        <is>
          <t>Приложение № 1</t>
        </is>
      </c>
    </row>
    <row r="4">
      <c r="B4" s="330" t="inlineStr">
        <is>
          <t>Сравнительная таблица отбора объекта-представителя</t>
        </is>
      </c>
    </row>
    <row r="5" ht="84.2" customHeight="1" s="295">
      <c r="B5" s="3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5">
      <c r="B6" s="196" t="n"/>
      <c r="C6" s="196" t="n"/>
      <c r="D6" s="196" t="n"/>
    </row>
    <row r="7" ht="64.5" customHeight="1" s="295">
      <c r="B7" s="331" t="inlineStr">
        <is>
          <t>Наименование разрабатываемого показателя УНЦ - Установка/замена ТТ 0,4кВ</t>
        </is>
      </c>
    </row>
    <row r="8" ht="31.7" customHeight="1" s="295">
      <c r="B8" s="331" t="inlineStr">
        <is>
          <t>Сопоставимый уровень цен: 3 кв. 2019 г.</t>
        </is>
      </c>
    </row>
    <row r="9" ht="15.75" customHeight="1" s="295">
      <c r="B9" s="331" t="inlineStr">
        <is>
          <t>Единица измерения  — 1 ед.</t>
        </is>
      </c>
    </row>
    <row r="10">
      <c r="B10" s="331" t="n"/>
    </row>
    <row r="11">
      <c r="B11" s="333" t="inlineStr">
        <is>
          <t>№ п/п</t>
        </is>
      </c>
      <c r="C11" s="333" t="inlineStr">
        <is>
          <t>Параметр</t>
        </is>
      </c>
      <c r="D11" s="333" t="inlineStr">
        <is>
          <t xml:space="preserve">Объект-представитель </t>
        </is>
      </c>
      <c r="E11" s="197" t="n"/>
    </row>
    <row r="12" ht="96.75" customHeight="1" s="295">
      <c r="B12" s="333" t="n">
        <v>1</v>
      </c>
      <c r="C12" s="198" t="inlineStr">
        <is>
          <t>Наименование объекта-представителя</t>
        </is>
      </c>
      <c r="D12" s="333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33" t="n">
        <v>2</v>
      </c>
      <c r="C13" s="198" t="inlineStr">
        <is>
          <t>Наименование субъекта Российской Федерации</t>
        </is>
      </c>
      <c r="D13" s="333" t="inlineStr">
        <is>
          <t>Республика Калмыкия</t>
        </is>
      </c>
    </row>
    <row r="14">
      <c r="B14" s="333" t="n">
        <v>3</v>
      </c>
      <c r="C14" s="198" t="inlineStr">
        <is>
          <t>Климатический район и подрайон</t>
        </is>
      </c>
      <c r="D14" s="333" t="inlineStr">
        <is>
          <t>IVГ</t>
        </is>
      </c>
    </row>
    <row r="15">
      <c r="B15" s="333" t="n">
        <v>4</v>
      </c>
      <c r="C15" s="198" t="inlineStr">
        <is>
          <t>Мощность объекта</t>
        </is>
      </c>
      <c r="D15" s="333" t="n">
        <v>1</v>
      </c>
    </row>
    <row r="16" ht="63" customHeight="1" s="295">
      <c r="B16" s="333" t="n">
        <v>5</v>
      </c>
      <c r="C16" s="27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3" t="inlineStr">
        <is>
          <t>Счётчик трёхфазный прямого включения в шкафном исполнении с передачей данных в ИВК</t>
        </is>
      </c>
    </row>
    <row r="17" ht="79.5" customHeight="1" s="295">
      <c r="B17" s="333" t="n">
        <v>6</v>
      </c>
      <c r="C17" s="27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0">
        <f>D18+D19+D20+D21</f>
        <v/>
      </c>
      <c r="E17" s="201" t="n"/>
    </row>
    <row r="18">
      <c r="B18" s="202" t="inlineStr">
        <is>
          <t>6.1</t>
        </is>
      </c>
      <c r="C18" s="198" t="inlineStr">
        <is>
          <t>строительно-монтажные работы</t>
        </is>
      </c>
      <c r="D18" s="200">
        <f>'Прил.2 Расч стоим'!F12+'Прил.2 Расч стоим'!G12</f>
        <v/>
      </c>
    </row>
    <row r="19" ht="15.75" customHeight="1" s="295">
      <c r="B19" s="202" t="inlineStr">
        <is>
          <t>6.2</t>
        </is>
      </c>
      <c r="C19" s="198" t="inlineStr">
        <is>
          <t>оборудование и инвентарь</t>
        </is>
      </c>
      <c r="D19" s="200">
        <f>'Прил.2 Расч стоим'!H12</f>
        <v/>
      </c>
    </row>
    <row r="20" ht="16.5" customHeight="1" s="295">
      <c r="B20" s="202" t="inlineStr">
        <is>
          <t>6.3</t>
        </is>
      </c>
      <c r="C20" s="198" t="inlineStr">
        <is>
          <t>пусконаладочные работы</t>
        </is>
      </c>
      <c r="D20" s="200" t="n"/>
    </row>
    <row r="21" ht="35.45" customHeight="1" s="295">
      <c r="B21" s="202" t="inlineStr">
        <is>
          <t>6.4</t>
        </is>
      </c>
      <c r="C21" s="203" t="inlineStr">
        <is>
          <t>прочие и лимитированные затраты</t>
        </is>
      </c>
      <c r="D21" s="200">
        <f>D18*0.039+(D18*0.039+D18)*0.021</f>
        <v/>
      </c>
    </row>
    <row r="22">
      <c r="B22" s="333" t="n">
        <v>7</v>
      </c>
      <c r="C22" s="203" t="inlineStr">
        <is>
          <t>Сопоставимый уровень цен</t>
        </is>
      </c>
      <c r="D22" s="204" t="inlineStr">
        <is>
          <t>3 кв. 2019 г.</t>
        </is>
      </c>
      <c r="E22" s="205" t="n"/>
    </row>
    <row r="23" ht="123" customHeight="1" s="295">
      <c r="B23" s="333" t="n">
        <v>8</v>
      </c>
      <c r="C23" s="20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0">
        <f>D17</f>
        <v/>
      </c>
      <c r="E23" s="201" t="n"/>
    </row>
    <row r="24" ht="60.75" customHeight="1" s="295">
      <c r="B24" s="333" t="n">
        <v>9</v>
      </c>
      <c r="C24" s="274" t="inlineStr">
        <is>
          <t>Приведенная сметная стоимость на единицу мощности, тыс. руб. (строка 8/строку 4)</t>
        </is>
      </c>
      <c r="D24" s="200">
        <f>D23/D15</f>
        <v/>
      </c>
      <c r="E24" s="205" t="n"/>
    </row>
    <row r="25" ht="48.2" customHeight="1" s="295">
      <c r="B25" s="333" t="n">
        <v>10</v>
      </c>
      <c r="C25" s="198" t="inlineStr">
        <is>
          <t>Примечание</t>
        </is>
      </c>
      <c r="D25" s="333" t="n"/>
    </row>
    <row r="26">
      <c r="B26" s="207" t="n"/>
      <c r="C26" s="208" t="n"/>
      <c r="D26" s="208" t="n"/>
    </row>
    <row r="27" ht="37.5" customHeight="1" s="295">
      <c r="B27" s="163" t="n"/>
    </row>
    <row r="28">
      <c r="B28" s="297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297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G23" sqref="G23"/>
    </sheetView>
  </sheetViews>
  <sheetFormatPr baseColWidth="8" defaultColWidth="9.140625" defaultRowHeight="15.75"/>
  <cols>
    <col width="5.7109375" customWidth="1" style="297" min="1" max="1"/>
    <col width="9.140625" customWidth="1" style="297" min="2" max="2"/>
    <col width="35.28515625" customWidth="1" style="297" min="3" max="3"/>
    <col width="13.85546875" customWidth="1" style="297" min="4" max="4"/>
    <col width="24.85546875" customWidth="1" style="297" min="5" max="5"/>
    <col width="15.7109375" customWidth="1" style="297" min="6" max="6"/>
    <col width="14.85546875" customWidth="1" style="297" min="7" max="7"/>
    <col width="16.7109375" customWidth="1" style="297" min="8" max="8"/>
    <col width="13" customWidth="1" style="297" min="9" max="10"/>
    <col width="9.140625" customWidth="1" style="297" min="11" max="11"/>
  </cols>
  <sheetData>
    <row r="3">
      <c r="B3" s="329" t="inlineStr">
        <is>
          <t>Приложение № 2</t>
        </is>
      </c>
    </row>
    <row r="4">
      <c r="B4" s="330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295">
      <c r="B6" s="331">
        <f>'Прил.1 Сравнит табл'!B7:D7</f>
        <v/>
      </c>
    </row>
    <row r="7">
      <c r="B7" s="331">
        <f>'Прил.1 Сравнит табл'!B9:D9</f>
        <v/>
      </c>
    </row>
    <row r="8" ht="18.75" customHeight="1" s="295">
      <c r="B8" s="161" t="n"/>
    </row>
    <row r="9" ht="15.75" customHeight="1" s="295">
      <c r="B9" s="333" t="inlineStr">
        <is>
          <t>№ п/п</t>
        </is>
      </c>
      <c r="C9" s="3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3" t="inlineStr">
        <is>
          <t>Объект-представитель 1</t>
        </is>
      </c>
      <c r="E9" s="425" t="n"/>
      <c r="F9" s="425" t="n"/>
      <c r="G9" s="425" t="n"/>
      <c r="H9" s="425" t="n"/>
      <c r="I9" s="425" t="n"/>
      <c r="J9" s="426" t="n"/>
    </row>
    <row r="10" ht="15.75" customHeight="1" s="295">
      <c r="B10" s="427" t="n"/>
      <c r="C10" s="427" t="n"/>
      <c r="D10" s="333" t="inlineStr">
        <is>
          <t>Номер сметы</t>
        </is>
      </c>
      <c r="E10" s="333" t="inlineStr">
        <is>
          <t>Наименование сметы</t>
        </is>
      </c>
      <c r="F10" s="333" t="inlineStr">
        <is>
          <t>Сметная стоимость в уровне цен 3 кв. 2019г., тыс. руб.</t>
        </is>
      </c>
      <c r="G10" s="425" t="n"/>
      <c r="H10" s="425" t="n"/>
      <c r="I10" s="425" t="n"/>
      <c r="J10" s="426" t="n"/>
    </row>
    <row r="11" ht="31.5" customHeight="1" s="295">
      <c r="B11" s="428" t="n"/>
      <c r="C11" s="428" t="n"/>
      <c r="D11" s="428" t="n"/>
      <c r="E11" s="428" t="n"/>
      <c r="F11" s="334" t="inlineStr">
        <is>
          <t>Строительные работы</t>
        </is>
      </c>
      <c r="G11" s="334" t="inlineStr">
        <is>
          <t>Монтажные работы</t>
        </is>
      </c>
      <c r="H11" s="334" t="inlineStr">
        <is>
          <t>Оборудование</t>
        </is>
      </c>
      <c r="I11" s="334" t="inlineStr">
        <is>
          <t>Прочее</t>
        </is>
      </c>
      <c r="J11" s="334" t="inlineStr">
        <is>
          <t>Всего</t>
        </is>
      </c>
    </row>
    <row r="12" ht="56.25" customHeight="1" s="295">
      <c r="B12" s="313" t="n">
        <v>1</v>
      </c>
      <c r="C12" s="333" t="inlineStr">
        <is>
          <t>Счётчик трёхфазный прямого включения в шкафном исполнении с передачей данных в ИВК</t>
        </is>
      </c>
      <c r="D12" s="315" t="inlineStr">
        <is>
          <t>02-01-01</t>
        </is>
      </c>
      <c r="E12" s="314" t="inlineStr">
        <is>
          <t>Установка ПКУ 10 кВ</t>
        </is>
      </c>
      <c r="F12" s="314" t="n">
        <v>0</v>
      </c>
      <c r="G12" s="316" t="n">
        <v>2.61</v>
      </c>
      <c r="H12" s="316" t="n">
        <v>1.3</v>
      </c>
      <c r="I12" s="314" t="n">
        <v>0</v>
      </c>
      <c r="J12" s="314">
        <f>SUM(F12:I12)</f>
        <v/>
      </c>
    </row>
    <row r="13" ht="15" customHeight="1" s="295">
      <c r="B13" s="335" t="inlineStr">
        <is>
          <t>Всего по объекту:</t>
        </is>
      </c>
      <c r="C13" s="429" t="n"/>
      <c r="D13" s="429" t="n"/>
      <c r="E13" s="430" t="n"/>
      <c r="F13" s="317">
        <f>F12</f>
        <v/>
      </c>
      <c r="G13" s="317">
        <f>G12</f>
        <v/>
      </c>
      <c r="H13" s="317">
        <f>H12</f>
        <v/>
      </c>
      <c r="I13" s="317">
        <f>I12</f>
        <v/>
      </c>
      <c r="J13" s="317">
        <f>SUM(F13:I13)</f>
        <v/>
      </c>
    </row>
    <row r="14" ht="15.75" customHeight="1" s="295">
      <c r="B14" s="336" t="inlineStr">
        <is>
          <t>Всего по объекту в сопоставимом уровне цен 3 кв. 2019г:</t>
        </is>
      </c>
      <c r="C14" s="425" t="n"/>
      <c r="D14" s="425" t="n"/>
      <c r="E14" s="426" t="n"/>
      <c r="F14" s="317">
        <f>F13</f>
        <v/>
      </c>
      <c r="G14" s="317">
        <f>G13</f>
        <v/>
      </c>
      <c r="H14" s="317">
        <f>H13</f>
        <v/>
      </c>
      <c r="I14" s="318">
        <f>'Прил.1 Сравнит табл'!D21</f>
        <v/>
      </c>
      <c r="J14" s="319">
        <f>SUM(F14:I14)</f>
        <v/>
      </c>
    </row>
    <row r="15" ht="15" customHeight="1" s="295"/>
    <row r="16" ht="15" customHeight="1" s="295"/>
    <row r="17" ht="15" customHeight="1" s="295"/>
    <row r="18" ht="15" customHeight="1" s="295">
      <c r="C18" s="283" t="inlineStr">
        <is>
          <t>Составил ______________________     Е. М. Добровольская</t>
        </is>
      </c>
      <c r="D18" s="293" t="n"/>
      <c r="E18" s="293" t="n"/>
    </row>
    <row r="19" ht="15" customHeight="1" s="295">
      <c r="C19" s="292" t="inlineStr">
        <is>
          <t xml:space="preserve">                         (подпись, инициалы, фамилия)</t>
        </is>
      </c>
      <c r="D19" s="293" t="n"/>
      <c r="E19" s="293" t="n"/>
    </row>
    <row r="20" ht="15" customHeight="1" s="295">
      <c r="C20" s="283" t="n"/>
      <c r="D20" s="293" t="n"/>
      <c r="E20" s="293" t="n"/>
    </row>
    <row r="21" ht="15" customHeight="1" s="295">
      <c r="C21" s="283" t="inlineStr">
        <is>
          <t>Проверил ______________________        А.В. Костянецкая</t>
        </is>
      </c>
      <c r="D21" s="293" t="n"/>
      <c r="E21" s="293" t="n"/>
    </row>
    <row r="22" ht="15" customHeight="1" s="295">
      <c r="C22" s="292" t="inlineStr">
        <is>
          <t xml:space="preserve">                        (подпись, инициалы, фамилия)</t>
        </is>
      </c>
      <c r="D22" s="293" t="n"/>
      <c r="E22" s="293" t="n"/>
    </row>
    <row r="23" ht="15" customHeight="1" s="295"/>
    <row r="24" ht="15" customHeight="1" s="295"/>
    <row r="25" ht="15" customHeight="1" s="295"/>
    <row r="26" ht="15" customHeight="1" s="295"/>
    <row r="27" ht="15" customHeight="1" s="295"/>
    <row r="28" ht="15" customHeight="1" s="295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4"/>
  <sheetViews>
    <sheetView view="pageBreakPreview" topLeftCell="A32" zoomScale="70" workbookViewId="0">
      <selection activeCell="E43" sqref="E43"/>
    </sheetView>
  </sheetViews>
  <sheetFormatPr baseColWidth="8" defaultColWidth="9.140625" defaultRowHeight="15.75"/>
  <cols>
    <col width="9.140625" customWidth="1" style="297" min="1" max="1"/>
    <col width="12.7109375" customWidth="1" style="297" min="2" max="2"/>
    <col width="22.28515625" customWidth="1" style="297" min="3" max="3"/>
    <col width="49.7109375" customWidth="1" style="297" min="4" max="4"/>
    <col width="10.140625" customWidth="1" style="297" min="5" max="5"/>
    <col width="23.7109375" customWidth="1" style="297" min="6" max="6"/>
    <col width="20" customWidth="1" style="297" min="7" max="7"/>
    <col width="16.7109375" customWidth="1" style="297" min="8" max="8"/>
    <col width="8.28515625" customWidth="1" style="297" min="9" max="9"/>
    <col width="12.7109375" customWidth="1" style="297" min="10" max="10"/>
    <col width="15" customWidth="1" style="297" min="11" max="11"/>
    <col width="9.140625" customWidth="1" style="297" min="12" max="12"/>
  </cols>
  <sheetData>
    <row r="2">
      <c r="A2" s="329" t="inlineStr">
        <is>
          <t xml:space="preserve">Приложение № 3 </t>
        </is>
      </c>
    </row>
    <row r="3">
      <c r="A3" s="330" t="inlineStr">
        <is>
          <t>Объектная ресурсная ведомость</t>
        </is>
      </c>
    </row>
    <row r="4" ht="18.75" customHeight="1" s="295">
      <c r="A4" s="209" t="n"/>
      <c r="B4" s="209" t="n"/>
      <c r="C4" s="3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1" t="n"/>
    </row>
    <row r="6" ht="33.75" customHeight="1" s="295">
      <c r="A6" s="344" t="inlineStr">
        <is>
          <t>Наименование разрабатываемого показателя УНЦ -  Установка/замена ТТ 0,4кВ</t>
        </is>
      </c>
    </row>
    <row r="7" ht="33.75" customHeight="1" s="295">
      <c r="A7" s="344" t="n"/>
      <c r="B7" s="344" t="n"/>
      <c r="C7" s="344" t="n"/>
      <c r="D7" s="344" t="n"/>
      <c r="E7" s="344" t="n"/>
      <c r="F7" s="344" t="n"/>
      <c r="G7" s="344" t="n"/>
      <c r="H7" s="344" t="n"/>
      <c r="I7" s="297" t="n"/>
      <c r="J7" s="297" t="n"/>
      <c r="K7" s="297" t="n"/>
      <c r="L7" s="297" t="n"/>
    </row>
    <row r="8">
      <c r="A8" s="210" t="n"/>
      <c r="B8" s="210" t="n"/>
      <c r="C8" s="210" t="n"/>
      <c r="D8" s="210" t="n"/>
      <c r="E8" s="210" t="n"/>
      <c r="F8" s="210" t="n"/>
      <c r="G8" s="210" t="n"/>
      <c r="H8" s="210" t="n"/>
    </row>
    <row r="9" ht="38.25" customHeight="1" s="295">
      <c r="A9" s="333" t="inlineStr">
        <is>
          <t>п/п</t>
        </is>
      </c>
      <c r="B9" s="333" t="inlineStr">
        <is>
          <t>№ЛСР</t>
        </is>
      </c>
      <c r="C9" s="333" t="inlineStr">
        <is>
          <t>Код ресурса</t>
        </is>
      </c>
      <c r="D9" s="333" t="inlineStr">
        <is>
          <t>Наименование ресурса</t>
        </is>
      </c>
      <c r="E9" s="333" t="inlineStr">
        <is>
          <t>Ед. изм.</t>
        </is>
      </c>
      <c r="F9" s="333" t="inlineStr">
        <is>
          <t>Кол-во единиц по данным объекта-представителя</t>
        </is>
      </c>
      <c r="G9" s="333" t="inlineStr">
        <is>
          <t>Сметная стоимость в ценах на 01.01.2000 (руб.)</t>
        </is>
      </c>
      <c r="H9" s="426" t="n"/>
    </row>
    <row r="10" ht="40.7" customHeight="1" s="295">
      <c r="A10" s="428" t="n"/>
      <c r="B10" s="428" t="n"/>
      <c r="C10" s="428" t="n"/>
      <c r="D10" s="428" t="n"/>
      <c r="E10" s="428" t="n"/>
      <c r="F10" s="428" t="n"/>
      <c r="G10" s="333" t="inlineStr">
        <is>
          <t>на ед.изм.</t>
        </is>
      </c>
      <c r="H10" s="333" t="inlineStr">
        <is>
          <t>общая</t>
        </is>
      </c>
    </row>
    <row r="11">
      <c r="A11" s="334" t="n">
        <v>1</v>
      </c>
      <c r="B11" s="334" t="n"/>
      <c r="C11" s="334" t="n">
        <v>2</v>
      </c>
      <c r="D11" s="334" t="inlineStr">
        <is>
          <t>З</t>
        </is>
      </c>
      <c r="E11" s="334" t="n">
        <v>4</v>
      </c>
      <c r="F11" s="334" t="n">
        <v>5</v>
      </c>
      <c r="G11" s="334" t="n">
        <v>6</v>
      </c>
      <c r="H11" s="334" t="n">
        <v>7</v>
      </c>
    </row>
    <row r="12" customFormat="1" s="212">
      <c r="A12" s="338" t="inlineStr">
        <is>
          <t>Затраты труда рабочих</t>
        </is>
      </c>
      <c r="B12" s="425" t="n"/>
      <c r="C12" s="425" t="n"/>
      <c r="D12" s="425" t="n"/>
      <c r="E12" s="426" t="n"/>
      <c r="F12" s="431" t="n">
        <v>11.27</v>
      </c>
      <c r="G12" s="175" t="n"/>
      <c r="H12" s="431">
        <f>SUM(H13:H15)</f>
        <v/>
      </c>
    </row>
    <row r="13">
      <c r="A13" s="371" t="n">
        <v>1</v>
      </c>
      <c r="B13" s="176" t="n"/>
      <c r="C13" s="181" t="inlineStr">
        <is>
          <t>1-4-0</t>
        </is>
      </c>
      <c r="D13" s="182" t="inlineStr">
        <is>
          <t>Затраты труда рабочих (ср 4)</t>
        </is>
      </c>
      <c r="E13" s="371" t="inlineStr">
        <is>
          <t>чел.-ч</t>
        </is>
      </c>
      <c r="F13" s="181" t="n">
        <v>6.45</v>
      </c>
      <c r="G13" s="277" t="n">
        <v>9.619999999999999</v>
      </c>
      <c r="H13" s="177">
        <f>ROUND(F13*G13,2)</f>
        <v/>
      </c>
      <c r="M13" s="432" t="n"/>
    </row>
    <row r="14">
      <c r="A14" s="371" t="n">
        <v>2</v>
      </c>
      <c r="B14" s="176" t="n"/>
      <c r="C14" s="181" t="inlineStr">
        <is>
          <t>1-4-2</t>
        </is>
      </c>
      <c r="D14" s="182" t="inlineStr">
        <is>
          <t>Затраты труда рабочих (ср 4,2)</t>
        </is>
      </c>
      <c r="E14" s="371" t="inlineStr">
        <is>
          <t>чел.-ч</t>
        </is>
      </c>
      <c r="F14" s="181" t="n">
        <v>3.71</v>
      </c>
      <c r="G14" s="277" t="n">
        <v>9.92</v>
      </c>
      <c r="H14" s="177">
        <f>ROUND(F14*G14,2)</f>
        <v/>
      </c>
      <c r="M14" s="432" t="n"/>
    </row>
    <row r="15">
      <c r="A15" s="371" t="n">
        <v>3</v>
      </c>
      <c r="B15" s="176" t="n"/>
      <c r="C15" s="181" t="inlineStr">
        <is>
          <t>1-5-0</t>
        </is>
      </c>
      <c r="D15" s="182" t="inlineStr">
        <is>
          <t>Затраты труда рабочих (ср 5)</t>
        </is>
      </c>
      <c r="E15" s="371" t="inlineStr">
        <is>
          <t>чел.-ч</t>
        </is>
      </c>
      <c r="F15" s="181" t="n">
        <v>1.11</v>
      </c>
      <c r="G15" s="277" t="n">
        <v>11.09</v>
      </c>
      <c r="H15" s="177">
        <f>ROUND(F15*G15,2)</f>
        <v/>
      </c>
      <c r="M15" s="432" t="n"/>
    </row>
    <row r="16">
      <c r="A16" s="337" t="inlineStr">
        <is>
          <t>Затраты труда машинистов</t>
        </is>
      </c>
      <c r="B16" s="425" t="n"/>
      <c r="C16" s="425" t="n"/>
      <c r="D16" s="425" t="n"/>
      <c r="E16" s="426" t="n"/>
      <c r="F16" s="338" t="n"/>
      <c r="G16" s="178" t="n"/>
      <c r="H16" s="431">
        <f>H17</f>
        <v/>
      </c>
    </row>
    <row r="17">
      <c r="A17" s="371" t="n">
        <v>4</v>
      </c>
      <c r="B17" s="339" t="n"/>
      <c r="C17" s="181" t="n">
        <v>2</v>
      </c>
      <c r="D17" s="182" t="inlineStr">
        <is>
          <t>Затраты труда машинистов</t>
        </is>
      </c>
      <c r="E17" s="371" t="inlineStr">
        <is>
          <t>чел.-ч</t>
        </is>
      </c>
      <c r="F17" s="433" t="n">
        <v>0.27</v>
      </c>
      <c r="G17" s="177" t="n"/>
      <c r="H17" s="434" t="n">
        <v>3.47</v>
      </c>
      <c r="J17" s="435" t="n"/>
    </row>
    <row r="18" customFormat="1" s="212">
      <c r="A18" s="338" t="inlineStr">
        <is>
          <t>Машины и механизмы</t>
        </is>
      </c>
      <c r="B18" s="425" t="n"/>
      <c r="C18" s="425" t="n"/>
      <c r="D18" s="425" t="n"/>
      <c r="E18" s="426" t="n"/>
      <c r="F18" s="338" t="n"/>
      <c r="G18" s="178" t="n"/>
      <c r="H18" s="431">
        <f>SUM(H19:H21)</f>
        <v/>
      </c>
    </row>
    <row r="19" ht="25.5" customHeight="1" s="295">
      <c r="A19" s="371" t="n">
        <v>5</v>
      </c>
      <c r="B19" s="339" t="n"/>
      <c r="C19" s="181" t="inlineStr">
        <is>
          <t>91.05.05-015</t>
        </is>
      </c>
      <c r="D19" s="182" t="inlineStr">
        <is>
          <t>Краны на автомобильном ходу, грузоподъемность 16 т</t>
        </is>
      </c>
      <c r="E19" s="371" t="inlineStr">
        <is>
          <t>маш.час</t>
        </is>
      </c>
      <c r="F19" s="371" t="n">
        <v>0.11</v>
      </c>
      <c r="G19" s="177" t="n">
        <v>115.4</v>
      </c>
      <c r="H19" s="177">
        <f>ROUND(F19*G19,2)</f>
        <v/>
      </c>
      <c r="I19" s="217" t="n"/>
      <c r="J19" s="217" t="n"/>
      <c r="L19" s="217" t="n"/>
    </row>
    <row r="20" ht="25.5" customHeight="1" s="295">
      <c r="A20" s="371" t="n">
        <v>6</v>
      </c>
      <c r="B20" s="339" t="n"/>
      <c r="C20" s="181" t="inlineStr">
        <is>
          <t>91.06.03-058</t>
        </is>
      </c>
      <c r="D20" s="182" t="inlineStr">
        <is>
          <t>Лебедки электрические тяговым усилием 156,96 кН (16 т)</t>
        </is>
      </c>
      <c r="E20" s="371" t="inlineStr">
        <is>
          <t>маш.час</t>
        </is>
      </c>
      <c r="F20" s="371" t="n">
        <v>0.06</v>
      </c>
      <c r="G20" s="177" t="n">
        <v>131.44</v>
      </c>
      <c r="H20" s="177">
        <f>ROUND(F20*G20,2)</f>
        <v/>
      </c>
      <c r="I20" s="217" t="n"/>
      <c r="J20" s="217" t="n"/>
      <c r="K20" s="217" t="n"/>
      <c r="L20" s="217" t="n"/>
    </row>
    <row r="21">
      <c r="A21" s="371" t="n">
        <v>7</v>
      </c>
      <c r="B21" s="339" t="n"/>
      <c r="C21" s="181" t="inlineStr">
        <is>
          <t>91.14.02-001</t>
        </is>
      </c>
      <c r="D21" s="182" t="inlineStr">
        <is>
          <t>Автомобили бортовые, грузоподъемность до 5 т</t>
        </is>
      </c>
      <c r="E21" s="371" t="inlineStr">
        <is>
          <t>маш.час</t>
        </is>
      </c>
      <c r="F21" s="371" t="n">
        <v>0.11</v>
      </c>
      <c r="G21" s="177" t="n">
        <v>65.70999999999999</v>
      </c>
      <c r="H21" s="177">
        <f>ROUND(F21*G21,2)</f>
        <v/>
      </c>
      <c r="I21" s="217" t="n"/>
      <c r="J21" s="217" t="n"/>
      <c r="K21" s="217" t="n"/>
      <c r="L21" s="217" t="n"/>
    </row>
    <row r="22" ht="15" customHeight="1" s="295">
      <c r="A22" s="338" t="inlineStr">
        <is>
          <t>Оборудование</t>
        </is>
      </c>
      <c r="B22" s="425" t="n"/>
      <c r="C22" s="425" t="n"/>
      <c r="D22" s="425" t="n"/>
      <c r="E22" s="426" t="n"/>
      <c r="F22" s="175" t="n"/>
      <c r="G22" s="175" t="n"/>
      <c r="H22" s="431">
        <f>SUM(H23:H23)</f>
        <v/>
      </c>
    </row>
    <row r="23" ht="22.5" customHeight="1" s="295">
      <c r="A23" s="371" t="n">
        <v>8</v>
      </c>
      <c r="B23" s="339" t="n"/>
      <c r="C23" s="181" t="inlineStr">
        <is>
          <t>Прайс из СД ОП</t>
        </is>
      </c>
      <c r="D23" s="182" t="inlineStr">
        <is>
          <t>Трансформатор тока ТШП-0,66 У3 0,5S</t>
        </is>
      </c>
      <c r="E23" s="371" t="inlineStr">
        <is>
          <t>шт</t>
        </is>
      </c>
      <c r="F23" s="371" t="n">
        <v>1</v>
      </c>
      <c r="G23" s="177" t="n">
        <v>275.4</v>
      </c>
      <c r="H23" s="177">
        <f>ROUND(F23*G23,2)</f>
        <v/>
      </c>
      <c r="I23" s="217" t="n"/>
      <c r="J23" s="217" t="n"/>
      <c r="L23" s="217" t="n"/>
    </row>
    <row r="24">
      <c r="A24" s="338" t="inlineStr">
        <is>
          <t>Материалы</t>
        </is>
      </c>
      <c r="B24" s="425" t="n"/>
      <c r="C24" s="425" t="n"/>
      <c r="D24" s="425" t="n"/>
      <c r="E24" s="426" t="n"/>
      <c r="F24" s="338" t="n"/>
      <c r="G24" s="178" t="n"/>
      <c r="H24" s="431">
        <f>SUM(H25:H38)</f>
        <v/>
      </c>
    </row>
    <row r="25" ht="25.5" customHeight="1" s="295">
      <c r="A25" s="218" t="n">
        <v>9</v>
      </c>
      <c r="B25" s="339" t="n"/>
      <c r="C25" s="181" t="inlineStr">
        <is>
          <t>21.2.03.05-0066</t>
        </is>
      </c>
      <c r="D25" s="182" t="inlineStr">
        <is>
          <t>Провод силовой установочный с медными жилами ПуГВ 1х2,5-450</t>
        </is>
      </c>
      <c r="E25" s="371" t="inlineStr">
        <is>
          <t>1000 м</t>
        </is>
      </c>
      <c r="F25" s="371" t="n">
        <v>0.012</v>
      </c>
      <c r="G25" s="177" t="n">
        <v>2291.15</v>
      </c>
      <c r="H25" s="177">
        <f>ROUND(F25*G25,2)</f>
        <v/>
      </c>
      <c r="I25" s="228" t="n"/>
      <c r="J25" s="217" t="n"/>
      <c r="K25" s="217" t="n"/>
    </row>
    <row r="26">
      <c r="A26" s="218" t="n">
        <v>10</v>
      </c>
      <c r="B26" s="339" t="n"/>
      <c r="C26" s="181" t="inlineStr">
        <is>
          <t>25.2.01.01-0001</t>
        </is>
      </c>
      <c r="D26" s="182" t="inlineStr">
        <is>
          <t>Бирки-оконцеватели</t>
        </is>
      </c>
      <c r="E26" s="371" t="inlineStr">
        <is>
          <t>100 шт</t>
        </is>
      </c>
      <c r="F26" s="371" t="n">
        <v>0.2448</v>
      </c>
      <c r="G26" s="177" t="n">
        <v>63</v>
      </c>
      <c r="H26" s="177">
        <f>ROUND(F26*G26,2)</f>
        <v/>
      </c>
      <c r="I26" s="228" t="n"/>
      <c r="J26" s="217" t="n"/>
      <c r="K26" s="217" t="n"/>
    </row>
    <row r="27">
      <c r="A27" s="218" t="n">
        <v>11</v>
      </c>
      <c r="B27" s="339" t="n"/>
      <c r="C27" s="181" t="inlineStr">
        <is>
          <t>20.1.02.23-0082</t>
        </is>
      </c>
      <c r="D27" s="182" t="inlineStr">
        <is>
          <t>Перемычки гибкие, тип ПГС-50</t>
        </is>
      </c>
      <c r="E27" s="371" t="inlineStr">
        <is>
          <t>10 шт</t>
        </is>
      </c>
      <c r="F27" s="371" t="n">
        <v>0.3</v>
      </c>
      <c r="G27" s="177" t="n">
        <v>39</v>
      </c>
      <c r="H27" s="177">
        <f>ROUND(F27*G27,2)</f>
        <v/>
      </c>
      <c r="I27" s="228" t="n"/>
      <c r="J27" s="217" t="n"/>
    </row>
    <row r="28">
      <c r="A28" s="218" t="n">
        <v>12</v>
      </c>
      <c r="B28" s="339" t="n"/>
      <c r="C28" s="181" t="inlineStr">
        <is>
          <t>01.7.15.03-0042</t>
        </is>
      </c>
      <c r="D28" s="182" t="inlineStr">
        <is>
          <t>Болты с гайками и шайбами строительные</t>
        </is>
      </c>
      <c r="E28" s="371" t="inlineStr">
        <is>
          <t>кг</t>
        </is>
      </c>
      <c r="F28" s="371" t="n">
        <v>1.17</v>
      </c>
      <c r="G28" s="177" t="n">
        <v>9.039999999999999</v>
      </c>
      <c r="H28" s="177">
        <f>ROUND(F28*G28,2)</f>
        <v/>
      </c>
      <c r="I28" s="228" t="n"/>
      <c r="J28" s="217" t="n"/>
    </row>
    <row r="29" ht="25.5" customHeight="1" s="295">
      <c r="A29" s="218" t="n">
        <v>13</v>
      </c>
      <c r="B29" s="339" t="n"/>
      <c r="C29" s="181" t="inlineStr">
        <is>
          <t>999-9950</t>
        </is>
      </c>
      <c r="D29" s="182" t="inlineStr">
        <is>
          <t>Вспомогательные ненормируемые ресурсы (2% от Оплаты труда рабочих)</t>
        </is>
      </c>
      <c r="E29" s="371" t="inlineStr">
        <is>
          <t>руб</t>
        </is>
      </c>
      <c r="F29" s="371" t="n">
        <v>2.214</v>
      </c>
      <c r="G29" s="177" t="n">
        <v>1</v>
      </c>
      <c r="H29" s="177">
        <f>ROUND(F29*G29,2)</f>
        <v/>
      </c>
      <c r="I29" s="228" t="n"/>
      <c r="J29" s="217" t="n"/>
      <c r="K29" s="217" t="n"/>
    </row>
    <row r="30">
      <c r="A30" s="218" t="n">
        <v>14</v>
      </c>
      <c r="B30" s="339" t="n"/>
      <c r="C30" s="181" t="inlineStr">
        <is>
          <t>14.4.03.17-0101</t>
        </is>
      </c>
      <c r="D30" s="182" t="inlineStr">
        <is>
          <t>Лак канифольный КФ-965</t>
        </is>
      </c>
      <c r="E30" s="371" t="inlineStr">
        <is>
          <t>т</t>
        </is>
      </c>
      <c r="F30" s="371" t="n">
        <v>2.4e-05</v>
      </c>
      <c r="G30" s="177" t="n">
        <v>70200</v>
      </c>
      <c r="H30" s="177">
        <f>ROUND(F30*G30,2)</f>
        <v/>
      </c>
      <c r="I30" s="228" t="n"/>
      <c r="J30" s="217" t="n"/>
    </row>
    <row r="31">
      <c r="A31" s="218" t="n">
        <v>15</v>
      </c>
      <c r="B31" s="339" t="n"/>
      <c r="C31" s="181" t="inlineStr">
        <is>
          <t>01.7.06.07-0002</t>
        </is>
      </c>
      <c r="D31" s="182" t="inlineStr">
        <is>
          <t>Лента монтажная, тип ЛМ-5</t>
        </is>
      </c>
      <c r="E31" s="371" t="inlineStr">
        <is>
          <t>10 м</t>
        </is>
      </c>
      <c r="F31" s="371" t="n">
        <v>0.24</v>
      </c>
      <c r="G31" s="177" t="n">
        <v>6.9</v>
      </c>
      <c r="H31" s="177">
        <f>ROUND(F31*G31,2)</f>
        <v/>
      </c>
      <c r="I31" s="228" t="n"/>
      <c r="J31" s="217" t="n"/>
    </row>
    <row r="32" ht="25.5" customHeight="1" s="295">
      <c r="A32" s="218" t="n">
        <v>16</v>
      </c>
      <c r="B32" s="339" t="n"/>
      <c r="C32" s="181" t="inlineStr">
        <is>
          <t>01.7.06.05-0041</t>
        </is>
      </c>
      <c r="D32" s="182" t="inlineStr">
        <is>
          <t>Лента изоляционная прорезиненная односторонняя, ширина 20 мм, толщина 0,25-0,35 мм</t>
        </is>
      </c>
      <c r="E32" s="371" t="inlineStr">
        <is>
          <t>кг</t>
        </is>
      </c>
      <c r="F32" s="371" t="n">
        <v>0.048</v>
      </c>
      <c r="G32" s="177" t="n">
        <v>30.4</v>
      </c>
      <c r="H32" s="177">
        <f>ROUND(F32*G32,2)</f>
        <v/>
      </c>
      <c r="I32" s="228" t="n"/>
      <c r="J32" s="217" t="n"/>
      <c r="K32" s="217" t="n"/>
    </row>
    <row r="33" ht="25.5" customHeight="1" s="295">
      <c r="A33" s="218" t="n">
        <v>17</v>
      </c>
      <c r="B33" s="339" t="n"/>
      <c r="C33" s="181" t="inlineStr">
        <is>
          <t>10.3.02.03-0011</t>
        </is>
      </c>
      <c r="D33" s="182" t="inlineStr">
        <is>
          <t>Припои оловянно-свинцовые бессурьмянистые, марка ПОС30</t>
        </is>
      </c>
      <c r="E33" s="371" t="inlineStr">
        <is>
          <t>т</t>
        </is>
      </c>
      <c r="F33" s="371" t="n">
        <v>1.92e-05</v>
      </c>
      <c r="G33" s="177" t="n">
        <v>68050</v>
      </c>
      <c r="H33" s="177">
        <f>ROUND(F33*G33,2)</f>
        <v/>
      </c>
      <c r="I33" s="228" t="n"/>
      <c r="J33" s="217" t="n"/>
    </row>
    <row r="34">
      <c r="A34" s="218" t="n">
        <v>18</v>
      </c>
      <c r="B34" s="339" t="n"/>
      <c r="C34" s="181" t="inlineStr">
        <is>
          <t>01.3.01.02-0002</t>
        </is>
      </c>
      <c r="D34" s="182" t="inlineStr">
        <is>
          <t>Вазелин технический</t>
        </is>
      </c>
      <c r="E34" s="371" t="inlineStr">
        <is>
          <t>кг</t>
        </is>
      </c>
      <c r="F34" s="371" t="n">
        <v>0.024</v>
      </c>
      <c r="G34" s="177" t="n">
        <v>44.97</v>
      </c>
      <c r="H34" s="177">
        <f>ROUND(F34*G34,2)</f>
        <v/>
      </c>
      <c r="I34" s="228" t="n"/>
      <c r="J34" s="217" t="n"/>
    </row>
    <row r="35">
      <c r="A35" s="218" t="n">
        <v>19</v>
      </c>
      <c r="B35" s="339" t="n"/>
      <c r="C35" s="181" t="inlineStr">
        <is>
          <t>25.2.01.01-0017</t>
        </is>
      </c>
      <c r="D35" s="182" t="inlineStr">
        <is>
          <t>Бирки маркировочные пластмассовые</t>
        </is>
      </c>
      <c r="E35" s="371" t="inlineStr">
        <is>
          <t>100 шт</t>
        </is>
      </c>
      <c r="F35" s="371" t="n">
        <v>0.03</v>
      </c>
      <c r="G35" s="177" t="n">
        <v>30.74</v>
      </c>
      <c r="H35" s="177">
        <f>ROUND(F35*G35,2)</f>
        <v/>
      </c>
      <c r="I35" s="228" t="n"/>
      <c r="J35" s="217" t="n"/>
    </row>
    <row r="36" ht="25.5" customHeight="1" s="295">
      <c r="A36" s="218" t="n">
        <v>20</v>
      </c>
      <c r="B36" s="339" t="n"/>
      <c r="C36" s="181" t="inlineStr">
        <is>
          <t>01.7.19.04-0031</t>
        </is>
      </c>
      <c r="D36" s="182" t="inlineStr">
        <is>
          <t>Прокладки резиновые (пластина техническая прессованная)</t>
        </is>
      </c>
      <c r="E36" s="371" t="inlineStr">
        <is>
          <t>кг</t>
        </is>
      </c>
      <c r="F36" s="371" t="n">
        <v>0.024</v>
      </c>
      <c r="G36" s="177" t="n">
        <v>23.09</v>
      </c>
      <c r="H36" s="177">
        <f>ROUND(F36*G36,2)</f>
        <v/>
      </c>
      <c r="I36" s="228" t="n"/>
      <c r="J36" s="217" t="n"/>
      <c r="K36" s="217" t="n"/>
    </row>
    <row r="37">
      <c r="A37" s="218" t="n">
        <v>21</v>
      </c>
      <c r="B37" s="339" t="n"/>
      <c r="C37" s="181" t="inlineStr">
        <is>
          <t>01.7.20.04-0005</t>
        </is>
      </c>
      <c r="D37" s="182" t="inlineStr">
        <is>
          <t>Нитки швейные</t>
        </is>
      </c>
      <c r="E37" s="371" t="inlineStr">
        <is>
          <t>кг</t>
        </is>
      </c>
      <c r="F37" s="371" t="n">
        <v>0.0024</v>
      </c>
      <c r="G37" s="177" t="n">
        <v>133.05</v>
      </c>
      <c r="H37" s="177">
        <f>ROUND(F37*G37,2)</f>
        <v/>
      </c>
      <c r="I37" s="228" t="n"/>
      <c r="J37" s="217" t="n"/>
      <c r="K37" s="217" t="n"/>
    </row>
    <row r="38">
      <c r="A38" s="218" t="n">
        <v>22</v>
      </c>
      <c r="B38" s="339" t="n"/>
      <c r="C38" s="181" t="inlineStr">
        <is>
          <t>01.7.02.09-0002</t>
        </is>
      </c>
      <c r="D38" s="182" t="inlineStr">
        <is>
          <t>Шпагат бумажный</t>
        </is>
      </c>
      <c r="E38" s="371" t="inlineStr">
        <is>
          <t>кг</t>
        </is>
      </c>
      <c r="F38" s="371" t="n">
        <v>0.0048</v>
      </c>
      <c r="G38" s="177" t="n">
        <v>11.5</v>
      </c>
      <c r="H38" s="177">
        <f>ROUND(F38*G38,2)</f>
        <v/>
      </c>
      <c r="I38" s="228" t="n"/>
      <c r="J38" s="217" t="n"/>
    </row>
    <row r="40">
      <c r="B40" s="297" t="inlineStr">
        <is>
          <t>Составил ______________________     Е. М. Добровольская</t>
        </is>
      </c>
    </row>
    <row r="41">
      <c r="B41" s="163" t="inlineStr">
        <is>
          <t xml:space="preserve">                         (подпись, инициалы, фамилия)</t>
        </is>
      </c>
    </row>
    <row r="43">
      <c r="B43" s="297" t="inlineStr">
        <is>
          <t>Проверил ______________________        А.В. Костянецкая</t>
        </is>
      </c>
    </row>
    <row r="44">
      <c r="B44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16:E16"/>
    <mergeCell ref="A9:A10"/>
    <mergeCell ref="A24:E24"/>
    <mergeCell ref="A2:H2"/>
    <mergeCell ref="C4:H4"/>
    <mergeCell ref="G9:H9"/>
    <mergeCell ref="A22:E22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44" sqref="E44"/>
    </sheetView>
  </sheetViews>
  <sheetFormatPr baseColWidth="8" defaultColWidth="9.140625" defaultRowHeight="15"/>
  <cols>
    <col width="4.140625" customWidth="1" style="295" min="1" max="1"/>
    <col width="36.28515625" customWidth="1" style="295" min="2" max="2"/>
    <col width="18.85546875" customWidth="1" style="295" min="3" max="3"/>
    <col width="18.28515625" customWidth="1" style="295" min="4" max="4"/>
    <col width="18.85546875" customWidth="1" style="295" min="5" max="5"/>
    <col width="11.28515625" customWidth="1" style="295" min="6" max="6"/>
    <col width="14.28515625" customWidth="1" style="295" min="7" max="7"/>
    <col width="9.140625" customWidth="1" style="295" min="8" max="11"/>
    <col width="13.7109375" customWidth="1" style="295" min="12" max="12"/>
    <col width="9.140625" customWidth="1" style="295" min="13" max="13"/>
  </cols>
  <sheetData>
    <row r="1">
      <c r="B1" s="283" t="n"/>
      <c r="C1" s="283" t="n"/>
      <c r="D1" s="283" t="n"/>
      <c r="E1" s="283" t="n"/>
    </row>
    <row r="2">
      <c r="B2" s="283" t="n"/>
      <c r="C2" s="283" t="n"/>
      <c r="D2" s="283" t="n"/>
      <c r="E2" s="366" t="inlineStr">
        <is>
          <t>Приложение № 4</t>
        </is>
      </c>
    </row>
    <row r="3">
      <c r="B3" s="283" t="n"/>
      <c r="C3" s="283" t="n"/>
      <c r="D3" s="283" t="n"/>
      <c r="E3" s="283" t="n"/>
    </row>
    <row r="4">
      <c r="B4" s="283" t="n"/>
      <c r="C4" s="283" t="n"/>
      <c r="D4" s="283" t="n"/>
      <c r="E4" s="283" t="n"/>
    </row>
    <row r="5">
      <c r="B5" s="322" t="inlineStr">
        <is>
          <t>Ресурсная модель</t>
        </is>
      </c>
    </row>
    <row r="6">
      <c r="B6" s="220" t="n"/>
      <c r="C6" s="283" t="n"/>
      <c r="D6" s="283" t="n"/>
      <c r="E6" s="283" t="n"/>
    </row>
    <row r="7" ht="38.25" customHeight="1" s="295">
      <c r="B7" s="346" t="inlineStr">
        <is>
          <t>Наименование разрабатываемого показателя УНЦ — Установка/замена ТТ 0,4кВ</t>
        </is>
      </c>
    </row>
    <row r="8">
      <c r="B8" s="347" t="inlineStr">
        <is>
          <t>Единица измерения  — 1 ед.</t>
        </is>
      </c>
    </row>
    <row r="9">
      <c r="B9" s="220" t="n"/>
      <c r="C9" s="283" t="n"/>
      <c r="D9" s="283" t="n"/>
      <c r="E9" s="283" t="n"/>
    </row>
    <row r="10" ht="51" customHeight="1" s="295">
      <c r="B10" s="351" t="inlineStr">
        <is>
          <t>Наименование</t>
        </is>
      </c>
      <c r="C10" s="351" t="inlineStr">
        <is>
          <t>Сметная стоимость в ценах на 01.01.2023
 (руб.)</t>
        </is>
      </c>
      <c r="D10" s="351" t="inlineStr">
        <is>
          <t>Удельный вес, 
(в СМР)</t>
        </is>
      </c>
      <c r="E10" s="351" t="inlineStr">
        <is>
          <t>Удельный вес, % 
(от всего по РМ)</t>
        </is>
      </c>
    </row>
    <row r="11">
      <c r="B11" s="222" t="inlineStr">
        <is>
          <t>Оплата труда рабочих</t>
        </is>
      </c>
      <c r="C11" s="285">
        <f>'Прил.5 Расчет СМР и ОБ'!J14</f>
        <v/>
      </c>
      <c r="D11" s="224">
        <f>C11/$C$24</f>
        <v/>
      </c>
      <c r="E11" s="224">
        <f>C11/$C$40</f>
        <v/>
      </c>
    </row>
    <row r="12">
      <c r="B12" s="222" t="inlineStr">
        <is>
          <t>Эксплуатация машин основных</t>
        </is>
      </c>
      <c r="C12" s="285">
        <f>'Прил.5 Расчет СМР и ОБ'!J22</f>
        <v/>
      </c>
      <c r="D12" s="224">
        <f>C12/$C$24</f>
        <v/>
      </c>
      <c r="E12" s="224">
        <f>C12/$C$40</f>
        <v/>
      </c>
    </row>
    <row r="13">
      <c r="B13" s="222" t="inlineStr">
        <is>
          <t>Эксплуатация машин прочих</t>
        </is>
      </c>
      <c r="C13" s="285">
        <f>'Прил.5 Расчет СМР и ОБ'!J23</f>
        <v/>
      </c>
      <c r="D13" s="224">
        <f>C13/$C$24</f>
        <v/>
      </c>
      <c r="E13" s="224">
        <f>C13/$C$40</f>
        <v/>
      </c>
    </row>
    <row r="14">
      <c r="B14" s="222" t="inlineStr">
        <is>
          <t>ЭКСПЛУАТАЦИЯ МАШИН, ВСЕГО:</t>
        </is>
      </c>
      <c r="C14" s="285">
        <f>C13+C12</f>
        <v/>
      </c>
      <c r="D14" s="224">
        <f>C14/$C$24</f>
        <v/>
      </c>
      <c r="E14" s="224">
        <f>C14/$C$40</f>
        <v/>
      </c>
    </row>
    <row r="15">
      <c r="B15" s="222" t="inlineStr">
        <is>
          <t>в том числе зарплата машинистов</t>
        </is>
      </c>
      <c r="C15" s="285">
        <f>'Прил.5 Расчет СМР и ОБ'!J16</f>
        <v/>
      </c>
      <c r="D15" s="224">
        <f>C15/$C$24</f>
        <v/>
      </c>
      <c r="E15" s="224">
        <f>C15/$C$40</f>
        <v/>
      </c>
    </row>
    <row r="16">
      <c r="B16" s="222" t="inlineStr">
        <is>
          <t>Материалы основные</t>
        </is>
      </c>
      <c r="C16" s="285">
        <f>'Прил.5 Расчет СМР и ОБ'!J38</f>
        <v/>
      </c>
      <c r="D16" s="224">
        <f>C16/$C$24</f>
        <v/>
      </c>
      <c r="E16" s="224">
        <f>C16/$C$40</f>
        <v/>
      </c>
    </row>
    <row r="17">
      <c r="B17" s="222" t="inlineStr">
        <is>
          <t>Материалы прочие</t>
        </is>
      </c>
      <c r="C17" s="285">
        <f>'Прил.5 Расчет СМР и ОБ'!J49</f>
        <v/>
      </c>
      <c r="D17" s="224">
        <f>C17/$C$24</f>
        <v/>
      </c>
      <c r="E17" s="224">
        <f>C17/$C$40</f>
        <v/>
      </c>
      <c r="G17" s="436" t="n"/>
    </row>
    <row r="18">
      <c r="B18" s="222" t="inlineStr">
        <is>
          <t>МАТЕРИАЛЫ, ВСЕГО:</t>
        </is>
      </c>
      <c r="C18" s="285">
        <f>C17+C16</f>
        <v/>
      </c>
      <c r="D18" s="224">
        <f>C18/$C$24</f>
        <v/>
      </c>
      <c r="E18" s="224">
        <f>C18/$C$40</f>
        <v/>
      </c>
    </row>
    <row r="19">
      <c r="B19" s="222" t="inlineStr">
        <is>
          <t>ИТОГО</t>
        </is>
      </c>
      <c r="C19" s="285">
        <f>C18+C14+C11</f>
        <v/>
      </c>
      <c r="D19" s="224" t="n"/>
      <c r="E19" s="222" t="n"/>
    </row>
    <row r="20">
      <c r="B20" s="222" t="inlineStr">
        <is>
          <t>Сметная прибыль, руб.</t>
        </is>
      </c>
      <c r="C20" s="285">
        <f>ROUND(C21*(C11+C15),2)</f>
        <v/>
      </c>
      <c r="D20" s="224">
        <f>C20/$C$24</f>
        <v/>
      </c>
      <c r="E20" s="224">
        <f>C20/$C$40</f>
        <v/>
      </c>
    </row>
    <row r="21">
      <c r="B21" s="222" t="inlineStr">
        <is>
          <t>Сметная прибыль, %</t>
        </is>
      </c>
      <c r="C21" s="226">
        <f>'Прил.5 Расчет СМР и ОБ'!D53</f>
        <v/>
      </c>
      <c r="D21" s="224" t="n"/>
      <c r="E21" s="222" t="n"/>
    </row>
    <row r="22">
      <c r="B22" s="222" t="inlineStr">
        <is>
          <t>Накладные расходы, руб.</t>
        </is>
      </c>
      <c r="C22" s="285">
        <f>ROUND(C23*(C11+C15),2)</f>
        <v/>
      </c>
      <c r="D22" s="224">
        <f>C22/$C$24</f>
        <v/>
      </c>
      <c r="E22" s="224">
        <f>C22/$C$40</f>
        <v/>
      </c>
    </row>
    <row r="23">
      <c r="B23" s="222" t="inlineStr">
        <is>
          <t>Накладные расходы, %</t>
        </is>
      </c>
      <c r="C23" s="226">
        <f>'Прил.5 Расчет СМР и ОБ'!D52</f>
        <v/>
      </c>
      <c r="D23" s="224" t="n"/>
      <c r="E23" s="222" t="n"/>
    </row>
    <row r="24">
      <c r="B24" s="222" t="inlineStr">
        <is>
          <t>ВСЕГО СМР с НР и СП</t>
        </is>
      </c>
      <c r="C24" s="285">
        <f>C19+C20+C22</f>
        <v/>
      </c>
      <c r="D24" s="224">
        <f>C24/$C$24</f>
        <v/>
      </c>
      <c r="E24" s="224">
        <f>C24/$C$40</f>
        <v/>
      </c>
    </row>
    <row r="25" ht="25.5" customHeight="1" s="295">
      <c r="B25" s="222" t="inlineStr">
        <is>
          <t>ВСЕГО стоимость оборудования, в том числе</t>
        </is>
      </c>
      <c r="C25" s="285">
        <f>'Прил.5 Расчет СМР и ОБ'!J30</f>
        <v/>
      </c>
      <c r="D25" s="224" t="n"/>
      <c r="E25" s="224">
        <f>C25/$C$40</f>
        <v/>
      </c>
    </row>
    <row r="26" ht="25.5" customHeight="1" s="295">
      <c r="B26" s="222" t="inlineStr">
        <is>
          <t>стоимость оборудования технологического</t>
        </is>
      </c>
      <c r="C26" s="285">
        <f>'Прил.5 Расчет СМР и ОБ'!J31</f>
        <v/>
      </c>
      <c r="D26" s="224" t="n"/>
      <c r="E26" s="224">
        <f>C26/$C$40</f>
        <v/>
      </c>
    </row>
    <row r="27">
      <c r="B27" s="222" t="inlineStr">
        <is>
          <t>ИТОГО (СМР + ОБОРУДОВАНИЕ)</t>
        </is>
      </c>
      <c r="C27" s="158">
        <f>C24+C25</f>
        <v/>
      </c>
      <c r="D27" s="224" t="n"/>
      <c r="E27" s="224">
        <f>C27/$C$40</f>
        <v/>
      </c>
    </row>
    <row r="28" ht="33" customHeight="1" s="295">
      <c r="B28" s="222" t="inlineStr">
        <is>
          <t>ПРОЧ. ЗАТР., УЧТЕННЫЕ ПОКАЗАТЕЛЕМ,  в том числе</t>
        </is>
      </c>
      <c r="C28" s="222" t="n"/>
      <c r="D28" s="222" t="n"/>
      <c r="E28" s="222" t="n"/>
      <c r="F28" s="227" t="n"/>
    </row>
    <row r="29" ht="25.5" customHeight="1" s="295">
      <c r="B29" s="222" t="inlineStr">
        <is>
          <t>Временные здания и сооружения - 2,5%</t>
        </is>
      </c>
      <c r="C29" s="158">
        <f>ROUND(C24*2.5%,2)</f>
        <v/>
      </c>
      <c r="D29" s="222" t="n"/>
      <c r="E29" s="224">
        <f>C29/$C$40</f>
        <v/>
      </c>
    </row>
    <row r="30" ht="38.25" customHeight="1" s="295">
      <c r="B30" s="222" t="inlineStr">
        <is>
          <t>Дополнительные затраты при производстве строительно-монтажных работ в зимнее время - 2,1%</t>
        </is>
      </c>
      <c r="C30" s="158">
        <f>ROUND((C24+C29)*2.1%,2)</f>
        <v/>
      </c>
      <c r="D30" s="222" t="n"/>
      <c r="E30" s="224">
        <f>C30/$C$40</f>
        <v/>
      </c>
      <c r="F30" s="227" t="n"/>
    </row>
    <row r="31">
      <c r="B31" s="222" t="inlineStr">
        <is>
          <t>Пусконаладочные работы</t>
        </is>
      </c>
      <c r="C31" s="158" t="n">
        <v>0</v>
      </c>
      <c r="D31" s="222" t="n"/>
      <c r="E31" s="224">
        <f>C31/$C$40</f>
        <v/>
      </c>
    </row>
    <row r="32" ht="25.5" customHeight="1" s="295">
      <c r="B32" s="222" t="inlineStr">
        <is>
          <t>Затраты по перевозке работников к месту работы и обратно</t>
        </is>
      </c>
      <c r="C32" s="158">
        <f>ROUND(C27*0%,2)</f>
        <v/>
      </c>
      <c r="D32" s="222" t="n"/>
      <c r="E32" s="224">
        <f>C32/$C$40</f>
        <v/>
      </c>
    </row>
    <row r="33" ht="25.5" customHeight="1" s="295">
      <c r="B33" s="222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22" t="n"/>
      <c r="E33" s="224">
        <f>C33/$C$40</f>
        <v/>
      </c>
    </row>
    <row r="34" ht="51" customHeight="1" s="295">
      <c r="B34" s="22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22" t="n"/>
      <c r="E34" s="224">
        <f>C34/$C$40</f>
        <v/>
      </c>
      <c r="H34" s="228" t="n"/>
    </row>
    <row r="35" ht="76.5" customHeight="1" s="295">
      <c r="B35" s="22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22" t="n"/>
      <c r="E35" s="224">
        <f>C35/$C$40</f>
        <v/>
      </c>
    </row>
    <row r="36" ht="25.5" customHeight="1" s="295">
      <c r="B36" s="222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22" t="n"/>
      <c r="E36" s="224">
        <f>C36/$C$40</f>
        <v/>
      </c>
      <c r="L36" s="227" t="n"/>
    </row>
    <row r="37">
      <c r="B37" s="222" t="inlineStr">
        <is>
          <t>Авторский надзор - 0,2%</t>
        </is>
      </c>
      <c r="C37" s="158">
        <f>ROUND((C27+C32+C33+C34+C35+C29+C31+C30)*0.2%,2)</f>
        <v/>
      </c>
      <c r="D37" s="222" t="n"/>
      <c r="E37" s="224">
        <f>C37/$C$40</f>
        <v/>
      </c>
      <c r="L37" s="227" t="n"/>
    </row>
    <row r="38" ht="38.25" customHeight="1" s="295">
      <c r="B38" s="222" t="inlineStr">
        <is>
          <t>ИТОГО (СМР+ОБОРУДОВАНИЕ+ПРОЧ. ЗАТР., УЧТЕННЫЕ ПОКАЗАТЕЛЕМ)</t>
        </is>
      </c>
      <c r="C38" s="285">
        <f>C27+C32+C33+C34+C35+C29+C31+C30+C36+C37</f>
        <v/>
      </c>
      <c r="D38" s="222" t="n"/>
      <c r="E38" s="224">
        <f>C38/$C$40</f>
        <v/>
      </c>
    </row>
    <row r="39" ht="13.7" customHeight="1" s="295">
      <c r="B39" s="222" t="inlineStr">
        <is>
          <t>Непредвиденные расходы</t>
        </is>
      </c>
      <c r="C39" s="285">
        <f>ROUND(C38*3%,2)</f>
        <v/>
      </c>
      <c r="D39" s="222" t="n"/>
      <c r="E39" s="224">
        <f>C39/$C$38</f>
        <v/>
      </c>
    </row>
    <row r="40">
      <c r="B40" s="222" t="inlineStr">
        <is>
          <t>ВСЕГО:</t>
        </is>
      </c>
      <c r="C40" s="285">
        <f>C39+C38</f>
        <v/>
      </c>
      <c r="D40" s="222" t="n"/>
      <c r="E40" s="224">
        <f>C40/$C$40</f>
        <v/>
      </c>
    </row>
    <row r="41">
      <c r="B41" s="222" t="inlineStr">
        <is>
          <t>ИТОГО ПОКАЗАТЕЛЬ НА ЕД. ИЗМ.</t>
        </is>
      </c>
      <c r="C41" s="285">
        <f>C40/'Прил.5 Расчет СМР и ОБ'!E56</f>
        <v/>
      </c>
      <c r="D41" s="222" t="n"/>
      <c r="E41" s="222" t="n"/>
    </row>
    <row r="42">
      <c r="B42" s="287" t="n"/>
      <c r="C42" s="283" t="n"/>
      <c r="D42" s="283" t="n"/>
      <c r="E42" s="283" t="n"/>
    </row>
    <row r="43">
      <c r="B43" s="287" t="inlineStr">
        <is>
          <t>Составил ____________________________ Е. М. Добровольская</t>
        </is>
      </c>
      <c r="C43" s="283" t="n"/>
      <c r="D43" s="283" t="n"/>
      <c r="E43" s="283" t="n"/>
    </row>
    <row r="44">
      <c r="B44" s="287" t="inlineStr">
        <is>
          <t xml:space="preserve">(должность, подпись, инициалы, фамилия) </t>
        </is>
      </c>
      <c r="C44" s="283" t="n"/>
      <c r="D44" s="283" t="n"/>
      <c r="E44" s="283" t="n"/>
    </row>
    <row r="45">
      <c r="B45" s="287" t="n"/>
      <c r="C45" s="283" t="n"/>
      <c r="D45" s="283" t="n"/>
      <c r="E45" s="283" t="n"/>
    </row>
    <row r="46">
      <c r="B46" s="287" t="inlineStr">
        <is>
          <t>Проверил ____________________________ А.В. Костянецкая</t>
        </is>
      </c>
      <c r="C46" s="283" t="n"/>
      <c r="D46" s="283" t="n"/>
      <c r="E46" s="283" t="n"/>
    </row>
    <row r="47">
      <c r="B47" s="347" t="inlineStr">
        <is>
          <t>(должность, подпись, инициалы, фамилия)</t>
        </is>
      </c>
      <c r="D47" s="283" t="n"/>
      <c r="E47" s="283" t="n"/>
    </row>
    <row r="49">
      <c r="B49" s="283" t="n"/>
      <c r="C49" s="283" t="n"/>
      <c r="D49" s="283" t="n"/>
      <c r="E49" s="283" t="n"/>
    </row>
    <row r="50">
      <c r="B50" s="283" t="n"/>
      <c r="C50" s="283" t="n"/>
      <c r="D50" s="283" t="n"/>
      <c r="E50" s="28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2"/>
  <sheetViews>
    <sheetView view="pageBreakPreview" topLeftCell="A34" zoomScale="70" workbookViewId="0">
      <selection activeCell="D62" sqref="D62"/>
    </sheetView>
  </sheetViews>
  <sheetFormatPr baseColWidth="8" defaultColWidth="9.140625" defaultRowHeight="15" outlineLevelRow="1"/>
  <cols>
    <col width="5.7109375" customWidth="1" style="293" min="1" max="1"/>
    <col width="22.7109375" customWidth="1" style="293" min="2" max="2"/>
    <col width="41.140625" customWidth="1" style="293" min="3" max="3"/>
    <col width="10.7109375" customWidth="1" style="293" min="4" max="4"/>
    <col width="12.7109375" customWidth="1" style="293" min="5" max="5"/>
    <col width="15" customWidth="1" style="293" min="6" max="6"/>
    <col width="13.28515625" customWidth="1" style="293" min="7" max="7"/>
    <col width="12.7109375" customWidth="1" style="293" min="8" max="8"/>
    <col width="13.85546875" customWidth="1" style="293" min="9" max="9"/>
    <col width="17.7109375" customWidth="1" style="293" min="10" max="10"/>
    <col width="10.85546875" customWidth="1" style="293" min="11" max="11"/>
    <col width="9.140625" customWidth="1" style="293" min="12" max="12"/>
    <col width="9.140625" customWidth="1" style="295" min="13" max="13"/>
  </cols>
  <sheetData>
    <row r="1" s="295">
      <c r="A1" s="293" t="n"/>
      <c r="B1" s="293" t="n"/>
      <c r="C1" s="293" t="n"/>
      <c r="D1" s="293" t="n"/>
      <c r="E1" s="293" t="n"/>
      <c r="F1" s="293" t="n"/>
      <c r="G1" s="293" t="n"/>
      <c r="H1" s="293" t="n"/>
      <c r="I1" s="293" t="n"/>
      <c r="J1" s="293" t="n"/>
      <c r="K1" s="293" t="n"/>
      <c r="L1" s="293" t="n"/>
      <c r="M1" s="293" t="n"/>
      <c r="N1" s="293" t="n"/>
    </row>
    <row r="2" ht="15.75" customHeight="1" s="295">
      <c r="A2" s="293" t="n"/>
      <c r="B2" s="293" t="n"/>
      <c r="C2" s="293" t="n"/>
      <c r="D2" s="293" t="n"/>
      <c r="E2" s="293" t="n"/>
      <c r="F2" s="293" t="n"/>
      <c r="G2" s="293" t="n"/>
      <c r="H2" s="348" t="inlineStr">
        <is>
          <t>Приложение №5</t>
        </is>
      </c>
      <c r="K2" s="293" t="n"/>
      <c r="L2" s="293" t="n"/>
      <c r="M2" s="293" t="n"/>
      <c r="N2" s="293" t="n"/>
    </row>
    <row r="3" s="295">
      <c r="A3" s="293" t="n"/>
      <c r="B3" s="293" t="n"/>
      <c r="C3" s="293" t="n"/>
      <c r="D3" s="293" t="n"/>
      <c r="E3" s="293" t="n"/>
      <c r="F3" s="293" t="n"/>
      <c r="G3" s="293" t="n"/>
      <c r="H3" s="293" t="n"/>
      <c r="I3" s="293" t="n"/>
      <c r="J3" s="293" t="n"/>
      <c r="K3" s="293" t="n"/>
      <c r="L3" s="293" t="n"/>
      <c r="M3" s="293" t="n"/>
      <c r="N3" s="293" t="n"/>
    </row>
    <row r="4" ht="12.75" customFormat="1" customHeight="1" s="283">
      <c r="A4" s="322" t="inlineStr">
        <is>
          <t>Расчет стоимости СМР и оборудования</t>
        </is>
      </c>
    </row>
    <row r="5" ht="12.75" customFormat="1" customHeight="1" s="283">
      <c r="A5" s="322" t="n"/>
      <c r="B5" s="322" t="n"/>
      <c r="C5" s="373" t="n"/>
      <c r="D5" s="322" t="n"/>
      <c r="E5" s="322" t="n"/>
      <c r="F5" s="322" t="n"/>
      <c r="G5" s="322" t="n"/>
      <c r="H5" s="322" t="n"/>
      <c r="I5" s="322" t="n"/>
      <c r="J5" s="322" t="n"/>
    </row>
    <row r="6" ht="27.75" customFormat="1" customHeight="1" s="283">
      <c r="A6" s="233" t="inlineStr">
        <is>
          <t>Наименование разрабатываемого показателя УНЦ</t>
        </is>
      </c>
      <c r="B6" s="234" t="n"/>
      <c r="C6" s="234" t="n"/>
      <c r="D6" s="325" t="inlineStr">
        <is>
          <t>Установка/замена ТТ 0,4кВ</t>
        </is>
      </c>
    </row>
    <row r="7" ht="12.75" customFormat="1" customHeight="1" s="283">
      <c r="A7" s="325" t="inlineStr">
        <is>
          <t>Единица измерения  — 1 ед.</t>
        </is>
      </c>
      <c r="I7" s="346" t="n"/>
      <c r="J7" s="346" t="n"/>
    </row>
    <row r="8" ht="13.7" customFormat="1" customHeight="1" s="283">
      <c r="A8" s="325" t="n"/>
    </row>
    <row r="9" ht="27" customHeight="1" s="295">
      <c r="A9" s="351" t="inlineStr">
        <is>
          <t>№ пп.</t>
        </is>
      </c>
      <c r="B9" s="351" t="inlineStr">
        <is>
          <t>Код ресурса</t>
        </is>
      </c>
      <c r="C9" s="351" t="inlineStr">
        <is>
          <t>Наименование</t>
        </is>
      </c>
      <c r="D9" s="351" t="inlineStr">
        <is>
          <t>Ед. изм.</t>
        </is>
      </c>
      <c r="E9" s="351" t="inlineStr">
        <is>
          <t>Кол-во единиц по проектным данным</t>
        </is>
      </c>
      <c r="F9" s="351" t="inlineStr">
        <is>
          <t>Сметная стоимость в ценах на 01.01.2000 (руб.)</t>
        </is>
      </c>
      <c r="G9" s="426" t="n"/>
      <c r="H9" s="351" t="inlineStr">
        <is>
          <t>Удельный вес, %</t>
        </is>
      </c>
      <c r="I9" s="351" t="inlineStr">
        <is>
          <t>Сметная стоимость в ценах на 01.01.2023 (руб.)</t>
        </is>
      </c>
      <c r="J9" s="426" t="n"/>
      <c r="K9" s="293" t="n"/>
      <c r="L9" s="293" t="n"/>
      <c r="M9" s="293" t="n"/>
      <c r="N9" s="293" t="n"/>
    </row>
    <row r="10" ht="28.5" customHeight="1" s="295">
      <c r="A10" s="428" t="n"/>
      <c r="B10" s="428" t="n"/>
      <c r="C10" s="428" t="n"/>
      <c r="D10" s="428" t="n"/>
      <c r="E10" s="428" t="n"/>
      <c r="F10" s="351" t="inlineStr">
        <is>
          <t>на ед. изм.</t>
        </is>
      </c>
      <c r="G10" s="351" t="inlineStr">
        <is>
          <t>общая</t>
        </is>
      </c>
      <c r="H10" s="428" t="n"/>
      <c r="I10" s="351" t="inlineStr">
        <is>
          <t>на ед. изм.</t>
        </is>
      </c>
      <c r="J10" s="351" t="inlineStr">
        <is>
          <t>общая</t>
        </is>
      </c>
      <c r="K10" s="293" t="n"/>
      <c r="L10" s="293" t="n"/>
      <c r="M10" s="293" t="n"/>
      <c r="N10" s="293" t="n"/>
    </row>
    <row r="11" s="295">
      <c r="A11" s="351" t="n">
        <v>1</v>
      </c>
      <c r="B11" s="351" t="n">
        <v>2</v>
      </c>
      <c r="C11" s="351" t="n">
        <v>3</v>
      </c>
      <c r="D11" s="351" t="n">
        <v>4</v>
      </c>
      <c r="E11" s="351" t="n">
        <v>5</v>
      </c>
      <c r="F11" s="351" t="n">
        <v>6</v>
      </c>
      <c r="G11" s="351" t="n">
        <v>7</v>
      </c>
      <c r="H11" s="351" t="n">
        <v>8</v>
      </c>
      <c r="I11" s="352" t="n">
        <v>9</v>
      </c>
      <c r="J11" s="352" t="n">
        <v>10</v>
      </c>
      <c r="K11" s="293" t="n"/>
      <c r="L11" s="293" t="n"/>
      <c r="M11" s="293" t="n"/>
      <c r="N11" s="293" t="n"/>
    </row>
    <row r="12">
      <c r="A12" s="351" t="n"/>
      <c r="B12" s="337" t="inlineStr">
        <is>
          <t>Затраты труда рабочих-строителей</t>
        </is>
      </c>
      <c r="C12" s="425" t="n"/>
      <c r="D12" s="425" t="n"/>
      <c r="E12" s="425" t="n"/>
      <c r="F12" s="425" t="n"/>
      <c r="G12" s="425" t="n"/>
      <c r="H12" s="426" t="n"/>
      <c r="I12" s="186" t="n"/>
      <c r="J12" s="186" t="n"/>
    </row>
    <row r="13" ht="25.5" customHeight="1" s="295">
      <c r="A13" s="351" t="n">
        <v>1</v>
      </c>
      <c r="B13" s="235" t="inlineStr">
        <is>
          <t>1-4-2</t>
        </is>
      </c>
      <c r="C13" s="358" t="inlineStr">
        <is>
          <t>Затраты труда рабочих-строителей среднего разряда (4,2)</t>
        </is>
      </c>
      <c r="D13" s="351" t="inlineStr">
        <is>
          <t>чел.-ч.</t>
        </is>
      </c>
      <c r="E13" s="437">
        <f>G13/F13</f>
        <v/>
      </c>
      <c r="F13" s="245" t="n">
        <v>9.92</v>
      </c>
      <c r="G13" s="245">
        <f>'Прил. 3'!H12</f>
        <v/>
      </c>
      <c r="H13" s="244">
        <f>G13/$G$14</f>
        <v/>
      </c>
      <c r="I13" s="245">
        <f>'ФОТр.тек.'!E13</f>
        <v/>
      </c>
      <c r="J13" s="245">
        <f>ROUND(I13*E13,2)</f>
        <v/>
      </c>
    </row>
    <row r="14" ht="25.5" customFormat="1" customHeight="1" s="293">
      <c r="A14" s="351" t="n"/>
      <c r="B14" s="351" t="n"/>
      <c r="C14" s="337" t="inlineStr">
        <is>
          <t>Итого по разделу "Затраты труда рабочих-строителей"</t>
        </is>
      </c>
      <c r="D14" s="351" t="inlineStr">
        <is>
          <t>чел.-ч.</t>
        </is>
      </c>
      <c r="E14" s="437">
        <f>SUM(E13:E13)</f>
        <v/>
      </c>
      <c r="F14" s="245" t="n"/>
      <c r="G14" s="245">
        <f>SUM(G13:G13)</f>
        <v/>
      </c>
      <c r="H14" s="361">
        <f>SUM(H13:H13)</f>
        <v/>
      </c>
      <c r="I14" s="186" t="n"/>
      <c r="J14" s="245">
        <f>SUM(J13:J13)</f>
        <v/>
      </c>
    </row>
    <row r="15" ht="14.25" customFormat="1" customHeight="1" s="293">
      <c r="A15" s="351" t="n"/>
      <c r="B15" s="358" t="inlineStr">
        <is>
          <t>Затраты труда машинистов</t>
        </is>
      </c>
      <c r="C15" s="425" t="n"/>
      <c r="D15" s="425" t="n"/>
      <c r="E15" s="425" t="n"/>
      <c r="F15" s="425" t="n"/>
      <c r="G15" s="425" t="n"/>
      <c r="H15" s="426" t="n"/>
      <c r="I15" s="186" t="n"/>
      <c r="J15" s="186" t="n"/>
    </row>
    <row r="16" ht="14.25" customFormat="1" customHeight="1" s="293">
      <c r="A16" s="351" t="n">
        <v>2</v>
      </c>
      <c r="B16" s="351" t="n">
        <v>2</v>
      </c>
      <c r="C16" s="358" t="inlineStr">
        <is>
          <t>Затраты труда машинистов</t>
        </is>
      </c>
      <c r="D16" s="351" t="inlineStr">
        <is>
          <t>чел.-ч.</t>
        </is>
      </c>
      <c r="E16" s="437">
        <f>'Прил. 3'!F17</f>
        <v/>
      </c>
      <c r="F16" s="245">
        <f>G16/E16</f>
        <v/>
      </c>
      <c r="G16" s="245">
        <f>'Прил. 3'!H16</f>
        <v/>
      </c>
      <c r="H16" s="361" t="n">
        <v>1</v>
      </c>
      <c r="I16" s="245">
        <f>ROUND(F16*'Прил. 10'!D11,2)</f>
        <v/>
      </c>
      <c r="J16" s="245">
        <f>ROUND(I16*E16,2)</f>
        <v/>
      </c>
    </row>
    <row r="17" ht="14.25" customFormat="1" customHeight="1" s="293">
      <c r="A17" s="351" t="n"/>
      <c r="B17" s="337" t="inlineStr">
        <is>
          <t>Машины и механизмы</t>
        </is>
      </c>
      <c r="C17" s="425" t="n"/>
      <c r="D17" s="425" t="n"/>
      <c r="E17" s="425" t="n"/>
      <c r="F17" s="425" t="n"/>
      <c r="G17" s="425" t="n"/>
      <c r="H17" s="426" t="n"/>
      <c r="I17" s="186" t="n"/>
      <c r="J17" s="186" t="n"/>
    </row>
    <row r="18" ht="14.25" customFormat="1" customHeight="1" s="293">
      <c r="A18" s="351" t="n"/>
      <c r="B18" s="358" t="inlineStr">
        <is>
          <t>Основные машины и механизмы</t>
        </is>
      </c>
      <c r="C18" s="425" t="n"/>
      <c r="D18" s="425" t="n"/>
      <c r="E18" s="425" t="n"/>
      <c r="F18" s="425" t="n"/>
      <c r="G18" s="425" t="n"/>
      <c r="H18" s="426" t="n"/>
      <c r="I18" s="186" t="n"/>
      <c r="J18" s="186" t="n"/>
    </row>
    <row r="19" ht="25.5" customFormat="1" customHeight="1" s="293">
      <c r="A19" s="351" t="n">
        <v>3</v>
      </c>
      <c r="B19" s="181" t="inlineStr">
        <is>
          <t>91.05.05-015</t>
        </is>
      </c>
      <c r="C19" s="182" t="inlineStr">
        <is>
          <t>Краны на автомобильном ходу, грузоподъемность 16 т</t>
        </is>
      </c>
      <c r="D19" s="371" t="inlineStr">
        <is>
          <t>маш.час</t>
        </is>
      </c>
      <c r="E19" s="181" t="n">
        <v>0.11</v>
      </c>
      <c r="F19" s="277" t="n">
        <v>115.4</v>
      </c>
      <c r="G19" s="245">
        <f>ROUND(E19*F19,2)</f>
        <v/>
      </c>
      <c r="H19" s="244">
        <f>G19/$G$24</f>
        <v/>
      </c>
      <c r="I19" s="245">
        <f>ROUND(F19*'Прил. 10'!$D$12,2)</f>
        <v/>
      </c>
      <c r="J19" s="245">
        <f>ROUND(I19*E19,2)</f>
        <v/>
      </c>
    </row>
    <row r="20" ht="25.5" customFormat="1" customHeight="1" s="293">
      <c r="A20" s="351" t="n">
        <v>4</v>
      </c>
      <c r="B20" s="181" t="inlineStr">
        <is>
          <t>91.06.03-058</t>
        </is>
      </c>
      <c r="C20" s="182" t="inlineStr">
        <is>
          <t>Лебедки электрические тяговым усилием 156,96 кН (16 т)</t>
        </is>
      </c>
      <c r="D20" s="371" t="inlineStr">
        <is>
          <t>маш.час</t>
        </is>
      </c>
      <c r="E20" s="181" t="n">
        <v>0.06</v>
      </c>
      <c r="F20" s="277" t="n">
        <v>131.44</v>
      </c>
      <c r="G20" s="245">
        <f>ROUND(E20*F20,2)</f>
        <v/>
      </c>
      <c r="H20" s="244">
        <f>G20/$G$24</f>
        <v/>
      </c>
      <c r="I20" s="245">
        <f>ROUND(F20*'Прил. 10'!$D$12,2)</f>
        <v/>
      </c>
      <c r="J20" s="245">
        <f>ROUND(I20*E20,2)</f>
        <v/>
      </c>
    </row>
    <row r="21" ht="25.5" customFormat="1" customHeight="1" s="293">
      <c r="A21" s="351" t="n">
        <v>5</v>
      </c>
      <c r="B21" s="181" t="inlineStr">
        <is>
          <t>91.14.02-001</t>
        </is>
      </c>
      <c r="C21" s="182" t="inlineStr">
        <is>
          <t>Автомобили бортовые, грузоподъемность до 5 т</t>
        </is>
      </c>
      <c r="D21" s="371" t="inlineStr">
        <is>
          <t>маш.час</t>
        </is>
      </c>
      <c r="E21" s="181" t="n">
        <v>0.11</v>
      </c>
      <c r="F21" s="277" t="n">
        <v>65.70999999999999</v>
      </c>
      <c r="G21" s="245">
        <f>ROUND(E21*F21,2)</f>
        <v/>
      </c>
      <c r="H21" s="244">
        <f>G21/$G$24</f>
        <v/>
      </c>
      <c r="I21" s="245">
        <f>ROUND(F21*'Прил. 10'!$D$12,2)</f>
        <v/>
      </c>
      <c r="J21" s="245">
        <f>ROUND(I21*E21,2)</f>
        <v/>
      </c>
    </row>
    <row r="22" ht="14.25" customFormat="1" customHeight="1" s="293">
      <c r="A22" s="351" t="n"/>
      <c r="B22" s="351" t="n"/>
      <c r="C22" s="358" t="inlineStr">
        <is>
          <t>Итого основные машины и механизмы</t>
        </is>
      </c>
      <c r="D22" s="351" t="n"/>
      <c r="E22" s="437" t="n"/>
      <c r="F22" s="245" t="n"/>
      <c r="G22" s="245">
        <f>SUM(G19:G21)</f>
        <v/>
      </c>
      <c r="H22" s="361">
        <f>G22/G24</f>
        <v/>
      </c>
      <c r="I22" s="243" t="n"/>
      <c r="J22" s="245">
        <f>SUM(J19:J21)</f>
        <v/>
      </c>
    </row>
    <row r="23" ht="14.25" customFormat="1" customHeight="1" s="293">
      <c r="A23" s="351" t="n"/>
      <c r="B23" s="351" t="n"/>
      <c r="C23" s="358" t="inlineStr">
        <is>
          <t>Итого прочие машины и механизмы</t>
        </is>
      </c>
      <c r="D23" s="351" t="n"/>
      <c r="E23" s="359" t="n"/>
      <c r="F23" s="245" t="n"/>
      <c r="G23" s="243" t="n">
        <v>0</v>
      </c>
      <c r="H23" s="244">
        <f>G23/G24</f>
        <v/>
      </c>
      <c r="I23" s="245" t="n"/>
      <c r="J23" s="243" t="n">
        <v>0</v>
      </c>
    </row>
    <row r="24" ht="25.5" customFormat="1" customHeight="1" s="293">
      <c r="A24" s="351" t="n"/>
      <c r="B24" s="351" t="n"/>
      <c r="C24" s="337" t="inlineStr">
        <is>
          <t>Итого по разделу «Машины и механизмы»</t>
        </is>
      </c>
      <c r="D24" s="351" t="n"/>
      <c r="E24" s="359" t="n"/>
      <c r="F24" s="245" t="n"/>
      <c r="G24" s="245">
        <f>G22+G23</f>
        <v/>
      </c>
      <c r="H24" s="361">
        <f>H22+H23</f>
        <v/>
      </c>
      <c r="I24" s="184" t="n"/>
      <c r="J24" s="245">
        <f>J22+J23</f>
        <v/>
      </c>
    </row>
    <row r="25" ht="14.25" customFormat="1" customHeight="1" s="293">
      <c r="A25" s="351" t="n"/>
      <c r="B25" s="337" t="inlineStr">
        <is>
          <t>Оборудование</t>
        </is>
      </c>
      <c r="C25" s="425" t="n"/>
      <c r="D25" s="425" t="n"/>
      <c r="E25" s="425" t="n"/>
      <c r="F25" s="425" t="n"/>
      <c r="G25" s="425" t="n"/>
      <c r="H25" s="426" t="n"/>
      <c r="I25" s="186" t="n"/>
      <c r="J25" s="186" t="n"/>
    </row>
    <row r="26">
      <c r="A26" s="351" t="n"/>
      <c r="B26" s="358" t="inlineStr">
        <is>
          <t>Основное оборудование</t>
        </is>
      </c>
      <c r="C26" s="425" t="n"/>
      <c r="D26" s="425" t="n"/>
      <c r="E26" s="425" t="n"/>
      <c r="F26" s="425" t="n"/>
      <c r="G26" s="425" t="n"/>
      <c r="H26" s="426" t="n"/>
      <c r="I26" s="186" t="n"/>
      <c r="J26" s="186" t="n"/>
      <c r="K26" s="293" t="n"/>
      <c r="L26" s="293" t="n"/>
    </row>
    <row r="27" ht="14.25" customFormat="1" customHeight="1" s="293">
      <c r="A27" s="351" t="n">
        <v>6</v>
      </c>
      <c r="B27" s="351" t="inlineStr">
        <is>
          <t>БЦ.51.14</t>
        </is>
      </c>
      <c r="C27" s="358" t="inlineStr">
        <is>
          <t>Трансформатор тока ТШП-0,66 У3 0,5S</t>
        </is>
      </c>
      <c r="D27" s="351" t="inlineStr">
        <is>
          <t>шт</t>
        </is>
      </c>
      <c r="E27" s="438" t="n">
        <v>1</v>
      </c>
      <c r="F27" s="360">
        <f>ROUND(I27/'Прил. 10'!$D$14,2)</f>
        <v/>
      </c>
      <c r="G27" s="245">
        <f>ROUND(E27*F27,2)</f>
        <v/>
      </c>
      <c r="H27" s="244" t="n">
        <v>0</v>
      </c>
      <c r="I27" s="245" t="n">
        <v>1825.74</v>
      </c>
      <c r="J27" s="245">
        <f>ROUND(I27*E27,2)</f>
        <v/>
      </c>
    </row>
    <row r="28">
      <c r="A28" s="351" t="n"/>
      <c r="B28" s="351" t="n"/>
      <c r="C28" s="358" t="inlineStr">
        <is>
          <t>Итого основное оборудование</t>
        </is>
      </c>
      <c r="D28" s="351" t="n"/>
      <c r="E28" s="438" t="n"/>
      <c r="F28" s="360" t="n"/>
      <c r="G28" s="245">
        <f>SUM(G27:G27)</f>
        <v/>
      </c>
      <c r="H28" s="244">
        <f>H27</f>
        <v/>
      </c>
      <c r="I28" s="243" t="n"/>
      <c r="J28" s="245">
        <f>SUM(J27:J27)</f>
        <v/>
      </c>
      <c r="K28" s="293" t="n"/>
      <c r="L28" s="293" t="n"/>
    </row>
    <row r="29">
      <c r="A29" s="351" t="n"/>
      <c r="B29" s="351" t="n"/>
      <c r="C29" s="358" t="inlineStr">
        <is>
          <t>Итого прочее оборудование</t>
        </is>
      </c>
      <c r="D29" s="351" t="n"/>
      <c r="E29" s="437" t="n"/>
      <c r="F29" s="360" t="n"/>
      <c r="G29" s="245" t="n">
        <v>0</v>
      </c>
      <c r="H29" s="244" t="n">
        <v>0</v>
      </c>
      <c r="I29" s="243" t="n"/>
      <c r="J29" s="245" t="n">
        <v>0</v>
      </c>
      <c r="K29" s="293" t="n"/>
      <c r="L29" s="293" t="n"/>
    </row>
    <row r="30">
      <c r="A30" s="351" t="n"/>
      <c r="B30" s="351" t="n"/>
      <c r="C30" s="337" t="inlineStr">
        <is>
          <t>Итого по разделу «Оборудование»</t>
        </is>
      </c>
      <c r="D30" s="351" t="n"/>
      <c r="E30" s="359" t="n"/>
      <c r="F30" s="360" t="n"/>
      <c r="G30" s="245">
        <f>G28+G29</f>
        <v/>
      </c>
      <c r="H30" s="244">
        <f>H28+H29</f>
        <v/>
      </c>
      <c r="I30" s="243" t="n"/>
      <c r="J30" s="245">
        <f>J29+J28</f>
        <v/>
      </c>
      <c r="K30" s="293" t="n"/>
      <c r="L30" s="293" t="n"/>
    </row>
    <row r="31">
      <c r="A31" s="351" t="n"/>
      <c r="B31" s="351" t="n"/>
      <c r="C31" s="358" t="inlineStr">
        <is>
          <t>в том числе технологическое оборудование</t>
        </is>
      </c>
      <c r="D31" s="351" t="n"/>
      <c r="E31" s="438" t="n"/>
      <c r="F31" s="360" t="n"/>
      <c r="G31" s="245">
        <f>G30</f>
        <v/>
      </c>
      <c r="H31" s="361" t="n"/>
      <c r="I31" s="243" t="n"/>
      <c r="J31" s="245">
        <f>J30</f>
        <v/>
      </c>
      <c r="K31" s="293" t="n"/>
      <c r="L31" s="293" t="n"/>
    </row>
    <row r="32" ht="14.25" customFormat="1" customHeight="1" s="293">
      <c r="A32" s="351" t="n"/>
      <c r="B32" s="337" t="inlineStr">
        <is>
          <t>Материалы</t>
        </is>
      </c>
      <c r="C32" s="425" t="n"/>
      <c r="D32" s="425" t="n"/>
      <c r="E32" s="425" t="n"/>
      <c r="F32" s="425" t="n"/>
      <c r="G32" s="425" t="n"/>
      <c r="H32" s="426" t="n"/>
      <c r="I32" s="186" t="n"/>
      <c r="J32" s="186" t="n"/>
    </row>
    <row r="33" ht="14.25" customFormat="1" customHeight="1" s="293">
      <c r="A33" s="352" t="n"/>
      <c r="B33" s="354" t="inlineStr">
        <is>
          <t>Основные материалы</t>
        </is>
      </c>
      <c r="C33" s="439" t="n"/>
      <c r="D33" s="439" t="n"/>
      <c r="E33" s="439" t="n"/>
      <c r="F33" s="439" t="n"/>
      <c r="G33" s="439" t="n"/>
      <c r="H33" s="440" t="n"/>
      <c r="I33" s="249" t="n"/>
      <c r="J33" s="249" t="n"/>
    </row>
    <row r="34" ht="34.5" customFormat="1" customHeight="1" s="293">
      <c r="A34" s="351" t="n">
        <v>7</v>
      </c>
      <c r="B34" s="351" t="inlineStr">
        <is>
          <t>21.2.03.05-0066</t>
        </is>
      </c>
      <c r="C34" s="358" t="inlineStr">
        <is>
          <t>Провод силовой установочный с медными жилами ПуГВ 1х2,5-450</t>
        </is>
      </c>
      <c r="D34" s="351" t="inlineStr">
        <is>
          <t>1000 м</t>
        </is>
      </c>
      <c r="E34" s="438" t="n">
        <v>0.012</v>
      </c>
      <c r="F34" s="360" t="n">
        <v>2291.15</v>
      </c>
      <c r="G34" s="245">
        <f>ROUND(E34*F34,2)</f>
        <v/>
      </c>
      <c r="H34" s="244">
        <f>G34/$G$50</f>
        <v/>
      </c>
      <c r="I34" s="245">
        <f>ROUND(F34*'Прил. 10'!$D$13,2)</f>
        <v/>
      </c>
      <c r="J34" s="245">
        <f>ROUND(I34*E34,2)</f>
        <v/>
      </c>
    </row>
    <row r="35" ht="14.25" customFormat="1" customHeight="1" s="293">
      <c r="A35" s="351" t="n">
        <v>8</v>
      </c>
      <c r="B35" s="351" t="inlineStr">
        <is>
          <t>25.2.01.01-0001</t>
        </is>
      </c>
      <c r="C35" s="358" t="inlineStr">
        <is>
          <t>Бирки-оконцеватели</t>
        </is>
      </c>
      <c r="D35" s="351" t="inlineStr">
        <is>
          <t>100 шт</t>
        </is>
      </c>
      <c r="E35" s="438" t="n">
        <v>0.2448</v>
      </c>
      <c r="F35" s="360" t="n">
        <v>63</v>
      </c>
      <c r="G35" s="245">
        <f>ROUND(E35*F35,2)</f>
        <v/>
      </c>
      <c r="H35" s="244">
        <f>G35/$G$50</f>
        <v/>
      </c>
      <c r="I35" s="245">
        <f>ROUND(F35*'Прил. 10'!$D$13,2)</f>
        <v/>
      </c>
      <c r="J35" s="245">
        <f>ROUND(I35*E35,2)</f>
        <v/>
      </c>
    </row>
    <row r="36" ht="14.25" customFormat="1" customHeight="1" s="293">
      <c r="A36" s="351" t="n">
        <v>9</v>
      </c>
      <c r="B36" s="351" t="inlineStr">
        <is>
          <t>20.1.02.23-0082</t>
        </is>
      </c>
      <c r="C36" s="358" t="inlineStr">
        <is>
          <t>Перемычки гибкие, тип ПГС-50</t>
        </is>
      </c>
      <c r="D36" s="351" t="inlineStr">
        <is>
          <t>10 шт</t>
        </is>
      </c>
      <c r="E36" s="438" t="n">
        <v>0.3</v>
      </c>
      <c r="F36" s="360" t="n">
        <v>39</v>
      </c>
      <c r="G36" s="245">
        <f>ROUND(E36*F36,2)</f>
        <v/>
      </c>
      <c r="H36" s="244">
        <f>G36/$G$50</f>
        <v/>
      </c>
      <c r="I36" s="245">
        <f>ROUND(F36*'Прил. 10'!$D$13,2)</f>
        <v/>
      </c>
      <c r="J36" s="245">
        <f>ROUND(I36*E36,2)</f>
        <v/>
      </c>
    </row>
    <row r="37" ht="14.25" customFormat="1" customHeight="1" s="293">
      <c r="A37" s="351" t="n">
        <v>10</v>
      </c>
      <c r="B37" s="351" t="inlineStr">
        <is>
          <t>01.7.15.03-0042</t>
        </is>
      </c>
      <c r="C37" s="358" t="inlineStr">
        <is>
          <t>Болты с гайками и шайбами строительные</t>
        </is>
      </c>
      <c r="D37" s="351" t="inlineStr">
        <is>
          <t>кг</t>
        </is>
      </c>
      <c r="E37" s="438" t="n">
        <v>1.17</v>
      </c>
      <c r="F37" s="360" t="n">
        <v>9.039999999999999</v>
      </c>
      <c r="G37" s="245">
        <f>ROUND(E37*F37,2)</f>
        <v/>
      </c>
      <c r="H37" s="244">
        <f>G37/$G$50</f>
        <v/>
      </c>
      <c r="I37" s="245">
        <f>ROUND(F37*'Прил. 10'!$D$13,2)</f>
        <v/>
      </c>
      <c r="J37" s="245">
        <f>ROUND(I37*E37,2)</f>
        <v/>
      </c>
    </row>
    <row r="38" ht="14.25" customFormat="1" customHeight="1" s="293">
      <c r="A38" s="353" t="n"/>
      <c r="B38" s="251" t="n"/>
      <c r="C38" s="252" t="inlineStr">
        <is>
          <t>Итого основные материалы</t>
        </is>
      </c>
      <c r="D38" s="353" t="n"/>
      <c r="E38" s="441" t="n"/>
      <c r="F38" s="256" t="n"/>
      <c r="G38" s="256">
        <f>SUM(G34:G37)</f>
        <v/>
      </c>
      <c r="H38" s="244">
        <f>G38/$G$50</f>
        <v/>
      </c>
      <c r="I38" s="245" t="n"/>
      <c r="J38" s="256">
        <f>SUM(J34:J37)</f>
        <v/>
      </c>
    </row>
    <row r="39" hidden="1" outlineLevel="1" ht="25.5" customFormat="1" customHeight="1" s="293">
      <c r="A39" s="351" t="n">
        <v>11</v>
      </c>
      <c r="B39" s="351" t="inlineStr">
        <is>
          <t>999-9950</t>
        </is>
      </c>
      <c r="C39" s="358" t="inlineStr">
        <is>
          <t>Вспомогательные ненормируемые ресурсы (2% от Оплаты труда рабочих)</t>
        </is>
      </c>
      <c r="D39" s="351" t="inlineStr">
        <is>
          <t>руб</t>
        </is>
      </c>
      <c r="E39" s="438" t="n">
        <v>2.214</v>
      </c>
      <c r="F39" s="360" t="n">
        <v>1</v>
      </c>
      <c r="G39" s="245">
        <f>ROUND(E39*F39,2)</f>
        <v/>
      </c>
      <c r="H39" s="244">
        <f>G39/$G$50</f>
        <v/>
      </c>
      <c r="I39" s="245">
        <f>ROUND(F39*'Прил. 10'!$D$13,2)</f>
        <v/>
      </c>
      <c r="J39" s="245">
        <f>ROUND(I39*E39,2)</f>
        <v/>
      </c>
    </row>
    <row r="40" hidden="1" outlineLevel="1" ht="21.75" customFormat="1" customHeight="1" s="293">
      <c r="A40" s="351" t="n">
        <v>12</v>
      </c>
      <c r="B40" s="351" t="inlineStr">
        <is>
          <t>14.4.03.17-0101</t>
        </is>
      </c>
      <c r="C40" s="358" t="inlineStr">
        <is>
          <t>Лак канифольный КФ-965</t>
        </is>
      </c>
      <c r="D40" s="351" t="inlineStr">
        <is>
          <t>т</t>
        </is>
      </c>
      <c r="E40" s="438" t="n">
        <v>2.4e-05</v>
      </c>
      <c r="F40" s="360" t="n">
        <v>70200</v>
      </c>
      <c r="G40" s="245">
        <f>ROUND(E40*F40,2)</f>
        <v/>
      </c>
      <c r="H40" s="244">
        <f>G40/$G$50</f>
        <v/>
      </c>
      <c r="I40" s="245">
        <f>ROUND(F40*'Прил. 10'!$D$13,2)</f>
        <v/>
      </c>
      <c r="J40" s="245">
        <f>ROUND(I40*E40,2)</f>
        <v/>
      </c>
    </row>
    <row r="41" hidden="1" outlineLevel="1" ht="14.25" customFormat="1" customHeight="1" s="293">
      <c r="A41" s="351" t="n">
        <v>13</v>
      </c>
      <c r="B41" s="351" t="inlineStr">
        <is>
          <t>01.7.06.07-0002</t>
        </is>
      </c>
      <c r="C41" s="358" t="inlineStr">
        <is>
          <t>Лента монтажная, тип ЛМ-5</t>
        </is>
      </c>
      <c r="D41" s="351" t="inlineStr">
        <is>
          <t>10 м</t>
        </is>
      </c>
      <c r="E41" s="438" t="n">
        <v>0.24</v>
      </c>
      <c r="F41" s="360" t="n">
        <v>6.9</v>
      </c>
      <c r="G41" s="245">
        <f>ROUND(E41*F41,2)</f>
        <v/>
      </c>
      <c r="H41" s="244">
        <f>G41/$G$50</f>
        <v/>
      </c>
      <c r="I41" s="245">
        <f>ROUND(F41*'Прил. 10'!$D$13,2)</f>
        <v/>
      </c>
      <c r="J41" s="245">
        <f>ROUND(I41*E41,2)</f>
        <v/>
      </c>
    </row>
    <row r="42" hidden="1" outlineLevel="1" ht="38.25" customFormat="1" customHeight="1" s="293">
      <c r="A42" s="351" t="n">
        <v>14</v>
      </c>
      <c r="B42" s="351" t="inlineStr">
        <is>
          <t>01.7.06.05-0041</t>
        </is>
      </c>
      <c r="C42" s="358" t="inlineStr">
        <is>
          <t>Лента изоляционная прорезиненная односторонняя, ширина 20 мм, толщина 0,25-0,35 мм</t>
        </is>
      </c>
      <c r="D42" s="351" t="inlineStr">
        <is>
          <t>кг</t>
        </is>
      </c>
      <c r="E42" s="438" t="n">
        <v>0.048</v>
      </c>
      <c r="F42" s="360" t="n">
        <v>30.4</v>
      </c>
      <c r="G42" s="245">
        <f>ROUND(E42*F42,2)</f>
        <v/>
      </c>
      <c r="H42" s="244">
        <f>G42/$G$50</f>
        <v/>
      </c>
      <c r="I42" s="245">
        <f>ROUND(F42*'Прил. 10'!$D$13,2)</f>
        <v/>
      </c>
      <c r="J42" s="245">
        <f>ROUND(I42*E42,2)</f>
        <v/>
      </c>
    </row>
    <row r="43" hidden="1" outlineLevel="1" ht="21.75" customFormat="1" customHeight="1" s="293">
      <c r="A43" s="351" t="n">
        <v>15</v>
      </c>
      <c r="B43" s="351" t="inlineStr">
        <is>
          <t>10.3.02.03-0011</t>
        </is>
      </c>
      <c r="C43" s="358" t="inlineStr">
        <is>
          <t>Припои оловянно-свинцовые бессурьмянистые, марка ПОС30</t>
        </is>
      </c>
      <c r="D43" s="351" t="inlineStr">
        <is>
          <t>т</t>
        </is>
      </c>
      <c r="E43" s="438" t="n">
        <v>1.92e-05</v>
      </c>
      <c r="F43" s="360" t="n">
        <v>68050</v>
      </c>
      <c r="G43" s="245">
        <f>ROUND(E43*F43,2)</f>
        <v/>
      </c>
      <c r="H43" s="244">
        <f>G43/$G$50</f>
        <v/>
      </c>
      <c r="I43" s="245">
        <f>ROUND(F43*'Прил. 10'!$D$13,2)</f>
        <v/>
      </c>
      <c r="J43" s="245">
        <f>ROUND(I43*E43,2)</f>
        <v/>
      </c>
    </row>
    <row r="44" hidden="1" outlineLevel="1" ht="14.25" customFormat="1" customHeight="1" s="293">
      <c r="A44" s="351" t="n">
        <v>16</v>
      </c>
      <c r="B44" s="351" t="inlineStr">
        <is>
          <t>01.3.01.02-0002</t>
        </is>
      </c>
      <c r="C44" s="358" t="inlineStr">
        <is>
          <t>Вазелин технический</t>
        </is>
      </c>
      <c r="D44" s="351" t="inlineStr">
        <is>
          <t>кг</t>
        </is>
      </c>
      <c r="E44" s="438" t="n">
        <v>0.024</v>
      </c>
      <c r="F44" s="360" t="n">
        <v>44.97</v>
      </c>
      <c r="G44" s="245">
        <f>ROUND(E44*F44,2)</f>
        <v/>
      </c>
      <c r="H44" s="244">
        <f>G44/$G$50</f>
        <v/>
      </c>
      <c r="I44" s="245">
        <f>ROUND(F44*'Прил. 10'!$D$13,2)</f>
        <v/>
      </c>
      <c r="J44" s="245">
        <f>ROUND(I44*E44,2)</f>
        <v/>
      </c>
    </row>
    <row r="45" hidden="1" outlineLevel="1" ht="21.75" customFormat="1" customHeight="1" s="293">
      <c r="A45" s="351" t="n">
        <v>17</v>
      </c>
      <c r="B45" s="351" t="inlineStr">
        <is>
          <t>25.2.01.01-0017</t>
        </is>
      </c>
      <c r="C45" s="358" t="inlineStr">
        <is>
          <t>Бирки маркировочные пластмассовые</t>
        </is>
      </c>
      <c r="D45" s="351" t="inlineStr">
        <is>
          <t>100 шт</t>
        </is>
      </c>
      <c r="E45" s="438" t="n">
        <v>0.03</v>
      </c>
      <c r="F45" s="360" t="n">
        <v>30.74</v>
      </c>
      <c r="G45" s="245">
        <f>ROUND(E45*F45,2)</f>
        <v/>
      </c>
      <c r="H45" s="244">
        <f>G45/$G$50</f>
        <v/>
      </c>
      <c r="I45" s="245">
        <f>ROUND(F45*'Прил. 10'!$D$13,2)</f>
        <v/>
      </c>
      <c r="J45" s="245">
        <f>ROUND(I45*E45,2)</f>
        <v/>
      </c>
    </row>
    <row r="46" hidden="1" outlineLevel="1" ht="25.5" customFormat="1" customHeight="1" s="293">
      <c r="A46" s="351" t="n">
        <v>18</v>
      </c>
      <c r="B46" s="351" t="inlineStr">
        <is>
          <t>01.7.19.04-0031</t>
        </is>
      </c>
      <c r="C46" s="358" t="inlineStr">
        <is>
          <t>Прокладки резиновые (пластина техническая прессованная)</t>
        </is>
      </c>
      <c r="D46" s="351" t="inlineStr">
        <is>
          <t>кг</t>
        </is>
      </c>
      <c r="E46" s="438" t="n">
        <v>0.024</v>
      </c>
      <c r="F46" s="360" t="n">
        <v>23.09</v>
      </c>
      <c r="G46" s="245">
        <f>ROUND(E46*F46,2)</f>
        <v/>
      </c>
      <c r="H46" s="244">
        <f>G46/$G$50</f>
        <v/>
      </c>
      <c r="I46" s="245">
        <f>ROUND(F46*'Прил. 10'!$D$13,2)</f>
        <v/>
      </c>
      <c r="J46" s="245">
        <f>ROUND(I46*E46,2)</f>
        <v/>
      </c>
    </row>
    <row r="47" hidden="1" outlineLevel="1" ht="14.25" customFormat="1" customHeight="1" s="293">
      <c r="A47" s="351" t="n">
        <v>19</v>
      </c>
      <c r="B47" s="351" t="inlineStr">
        <is>
          <t>01.7.20.04-0005</t>
        </is>
      </c>
      <c r="C47" s="358" t="inlineStr">
        <is>
          <t>Нитки швейные</t>
        </is>
      </c>
      <c r="D47" s="351" t="inlineStr">
        <is>
          <t>кг</t>
        </is>
      </c>
      <c r="E47" s="438" t="n">
        <v>0.0024</v>
      </c>
      <c r="F47" s="360" t="n">
        <v>133.05</v>
      </c>
      <c r="G47" s="245">
        <f>ROUND(E47*F47,2)</f>
        <v/>
      </c>
      <c r="H47" s="244">
        <f>G47/$G$50</f>
        <v/>
      </c>
      <c r="I47" s="245">
        <f>ROUND(F47*'Прил. 10'!$D$13,2)</f>
        <v/>
      </c>
      <c r="J47" s="245">
        <f>ROUND(I47*E47,2)</f>
        <v/>
      </c>
    </row>
    <row r="48" hidden="1" outlineLevel="1" ht="21.75" customFormat="1" customHeight="1" s="293">
      <c r="A48" s="351" t="n">
        <v>20</v>
      </c>
      <c r="B48" s="351" t="inlineStr">
        <is>
          <t>01.7.02.09-0002</t>
        </is>
      </c>
      <c r="C48" s="358" t="inlineStr">
        <is>
          <t>Шпагат бумажный</t>
        </is>
      </c>
      <c r="D48" s="351" t="inlineStr">
        <is>
          <t>кг</t>
        </is>
      </c>
      <c r="E48" s="438" t="n">
        <v>0.0048</v>
      </c>
      <c r="F48" s="360" t="n">
        <v>11.5</v>
      </c>
      <c r="G48" s="245">
        <f>ROUND(E48*F48,2)</f>
        <v/>
      </c>
      <c r="H48" s="244">
        <f>G48/$G$50</f>
        <v/>
      </c>
      <c r="I48" s="245">
        <f>ROUND(F48*'Прил. 10'!$D$13,2)</f>
        <v/>
      </c>
      <c r="J48" s="245">
        <f>ROUND(I48*E48,2)</f>
        <v/>
      </c>
    </row>
    <row r="49" collapsed="1" ht="14.25" customFormat="1" customHeight="1" s="293">
      <c r="A49" s="351" t="n"/>
      <c r="B49" s="351" t="n"/>
      <c r="C49" s="358" t="inlineStr">
        <is>
          <t>Итого прочие материалы</t>
        </is>
      </c>
      <c r="D49" s="351" t="n"/>
      <c r="E49" s="359" t="n"/>
      <c r="F49" s="360" t="n"/>
      <c r="G49" s="245">
        <f>SUM(G39:G48)</f>
        <v/>
      </c>
      <c r="H49" s="244">
        <f>G49/$G$50</f>
        <v/>
      </c>
      <c r="I49" s="245" t="n"/>
      <c r="J49" s="245">
        <f>SUM(J39:J48)</f>
        <v/>
      </c>
    </row>
    <row r="50" ht="14.25" customFormat="1" customHeight="1" s="293">
      <c r="A50" s="351" t="n"/>
      <c r="B50" s="351" t="n"/>
      <c r="C50" s="337" t="inlineStr">
        <is>
          <t>Итого по разделу «Материалы»</t>
        </is>
      </c>
      <c r="D50" s="351" t="n"/>
      <c r="E50" s="359" t="n"/>
      <c r="F50" s="360" t="n"/>
      <c r="G50" s="245">
        <f>G38+G49</f>
        <v/>
      </c>
      <c r="H50" s="361">
        <f>G50/$G$50</f>
        <v/>
      </c>
      <c r="I50" s="245" t="n"/>
      <c r="J50" s="245">
        <f>J38+J49</f>
        <v/>
      </c>
    </row>
    <row r="51" ht="14.25" customFormat="1" customHeight="1" s="293">
      <c r="A51" s="351" t="n"/>
      <c r="B51" s="351" t="n"/>
      <c r="C51" s="358" t="inlineStr">
        <is>
          <t>ИТОГО ПО РМ</t>
        </is>
      </c>
      <c r="D51" s="351" t="n"/>
      <c r="E51" s="359" t="n"/>
      <c r="F51" s="360" t="n"/>
      <c r="G51" s="245">
        <f>G14+G24+G50</f>
        <v/>
      </c>
      <c r="H51" s="361" t="n"/>
      <c r="I51" s="245" t="n"/>
      <c r="J51" s="245">
        <f>J14+J24+J50</f>
        <v/>
      </c>
    </row>
    <row r="52" ht="14.25" customFormat="1" customHeight="1" s="293">
      <c r="A52" s="351" t="n"/>
      <c r="B52" s="351" t="n"/>
      <c r="C52" s="358" t="inlineStr">
        <is>
          <t>Накладные расходы</t>
        </is>
      </c>
      <c r="D52" s="173">
        <f>ROUND(G52/(G$16+$G$14),2)</f>
        <v/>
      </c>
      <c r="E52" s="359" t="n"/>
      <c r="F52" s="360" t="n"/>
      <c r="G52" s="245" t="n">
        <v>110.25</v>
      </c>
      <c r="H52" s="361" t="n"/>
      <c r="I52" s="245" t="n"/>
      <c r="J52" s="245">
        <f>ROUND(D52*(J14+J16),2)</f>
        <v/>
      </c>
    </row>
    <row r="53" ht="14.25" customFormat="1" customHeight="1" s="293">
      <c r="A53" s="351" t="n"/>
      <c r="B53" s="351" t="n"/>
      <c r="C53" s="358" t="inlineStr">
        <is>
          <t>Сметная прибыль</t>
        </is>
      </c>
      <c r="D53" s="173">
        <f>ROUND(G53/(G$14+G$16),2)</f>
        <v/>
      </c>
      <c r="E53" s="359" t="n"/>
      <c r="F53" s="360" t="n"/>
      <c r="G53" s="245" t="n">
        <v>57.81</v>
      </c>
      <c r="H53" s="361" t="n"/>
      <c r="I53" s="245" t="n"/>
      <c r="J53" s="245">
        <f>ROUND(D53*(J14+J16),2)</f>
        <v/>
      </c>
    </row>
    <row r="54" ht="14.25" customFormat="1" customHeight="1" s="293">
      <c r="A54" s="351" t="n"/>
      <c r="B54" s="351" t="n"/>
      <c r="C54" s="358" t="inlineStr">
        <is>
          <t>Итого СМР (с НР и СП)</t>
        </is>
      </c>
      <c r="D54" s="351" t="n"/>
      <c r="E54" s="359" t="n"/>
      <c r="F54" s="360" t="n"/>
      <c r="G54" s="245">
        <f>G14+G24+G50+G52+G53</f>
        <v/>
      </c>
      <c r="H54" s="361" t="n"/>
      <c r="I54" s="245" t="n"/>
      <c r="J54" s="245">
        <f>J14+J24+J50+J52+J53</f>
        <v/>
      </c>
    </row>
    <row r="55" ht="14.25" customFormat="1" customHeight="1" s="293">
      <c r="A55" s="351" t="n"/>
      <c r="B55" s="351" t="n"/>
      <c r="C55" s="358" t="inlineStr">
        <is>
          <t>ВСЕГО СМР + ОБОРУДОВАНИЕ</t>
        </is>
      </c>
      <c r="D55" s="351" t="n"/>
      <c r="E55" s="359" t="n"/>
      <c r="F55" s="360" t="n"/>
      <c r="G55" s="245">
        <f>G54+G30</f>
        <v/>
      </c>
      <c r="H55" s="361" t="n"/>
      <c r="I55" s="245" t="n"/>
      <c r="J55" s="245">
        <f>J54+J30</f>
        <v/>
      </c>
    </row>
    <row r="56" ht="34.5" customFormat="1" customHeight="1" s="293">
      <c r="A56" s="351" t="n"/>
      <c r="B56" s="351" t="n"/>
      <c r="C56" s="358" t="inlineStr">
        <is>
          <t>ИТОГО ПОКАЗАТЕЛЬ НА ЕД. ИЗМ.</t>
        </is>
      </c>
      <c r="D56" s="351" t="inlineStr">
        <is>
          <t>ед.</t>
        </is>
      </c>
      <c r="E56" s="442" t="n">
        <v>1</v>
      </c>
      <c r="F56" s="360" t="n"/>
      <c r="G56" s="245">
        <f>G55/E56</f>
        <v/>
      </c>
      <c r="H56" s="361" t="n"/>
      <c r="I56" s="245" t="n"/>
      <c r="J56" s="245">
        <f>J55/E56</f>
        <v/>
      </c>
    </row>
    <row r="58" ht="14.25" customFormat="1" customHeight="1" s="293">
      <c r="A58" s="283" t="inlineStr">
        <is>
          <t>Составил ______________________    Е. М. Добровольская</t>
        </is>
      </c>
    </row>
    <row r="59" ht="14.25" customFormat="1" customHeight="1" s="293">
      <c r="A59" s="292" t="inlineStr">
        <is>
          <t xml:space="preserve">                         (подпись, инициалы, фамилия)</t>
        </is>
      </c>
    </row>
    <row r="60" ht="14.25" customFormat="1" customHeight="1" s="293">
      <c r="A60" s="283" t="n"/>
    </row>
    <row r="61" ht="14.25" customFormat="1" customHeight="1" s="293">
      <c r="A61" s="283" t="inlineStr">
        <is>
          <t>Проверил ______________________        А.В. Костянецкая</t>
        </is>
      </c>
    </row>
    <row r="62" ht="14.25" customFormat="1" customHeight="1" s="293">
      <c r="A62" s="29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25:H2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F17" sqref="F17"/>
    </sheetView>
  </sheetViews>
  <sheetFormatPr baseColWidth="8" defaultRowHeight="15"/>
  <cols>
    <col width="5.7109375" customWidth="1" style="295" min="1" max="1"/>
    <col width="17.7109375" customWidth="1" style="295" min="2" max="2"/>
    <col width="39.140625" customWidth="1" style="295" min="3" max="3"/>
    <col width="10.7109375" customWidth="1" style="295" min="4" max="4"/>
    <col width="13.85546875" customWidth="1" style="295" min="5" max="5"/>
    <col width="13.28515625" customWidth="1" style="295" min="6" max="6"/>
    <col width="14.140625" customWidth="1" style="295" min="7" max="7"/>
  </cols>
  <sheetData>
    <row r="1">
      <c r="A1" s="366" t="inlineStr">
        <is>
          <t>Приложение №6</t>
        </is>
      </c>
    </row>
    <row r="2" ht="21.75" customHeight="1" s="295">
      <c r="A2" s="366" t="n"/>
      <c r="B2" s="366" t="n"/>
      <c r="C2" s="366" t="n"/>
      <c r="D2" s="366" t="n"/>
      <c r="E2" s="366" t="n"/>
      <c r="F2" s="366" t="n"/>
      <c r="G2" s="366" t="n"/>
    </row>
    <row r="3">
      <c r="A3" s="322" t="inlineStr">
        <is>
          <t>Расчет стоимости оборудования</t>
        </is>
      </c>
    </row>
    <row r="4" ht="27" customHeight="1" s="295">
      <c r="A4" s="325" t="inlineStr">
        <is>
          <t>Наименование разрабатываемого показателя УНЦ — Установка/замена ТТ 0,4кВ</t>
        </is>
      </c>
    </row>
    <row r="5">
      <c r="A5" s="283" t="n"/>
      <c r="B5" s="283" t="n"/>
      <c r="C5" s="283" t="n"/>
      <c r="D5" s="283" t="n"/>
      <c r="E5" s="283" t="n"/>
      <c r="F5" s="283" t="n"/>
      <c r="G5" s="283" t="n"/>
    </row>
    <row r="6" ht="30.2" customHeight="1" s="295">
      <c r="A6" s="371" t="inlineStr">
        <is>
          <t>№ пп.</t>
        </is>
      </c>
      <c r="B6" s="371" t="inlineStr">
        <is>
          <t>Код ресурса</t>
        </is>
      </c>
      <c r="C6" s="371" t="inlineStr">
        <is>
          <t>Наименование</t>
        </is>
      </c>
      <c r="D6" s="371" t="inlineStr">
        <is>
          <t>Ед. изм.</t>
        </is>
      </c>
      <c r="E6" s="351" t="inlineStr">
        <is>
          <t>Кол-во единиц по проектным данным</t>
        </is>
      </c>
      <c r="F6" s="371" t="inlineStr">
        <is>
          <t>Сметная стоимость в ценах на 01.01.2000 (руб.)</t>
        </is>
      </c>
      <c r="G6" s="426" t="n"/>
    </row>
    <row r="7">
      <c r="A7" s="428" t="n"/>
      <c r="B7" s="428" t="n"/>
      <c r="C7" s="428" t="n"/>
      <c r="D7" s="428" t="n"/>
      <c r="E7" s="428" t="n"/>
      <c r="F7" s="351" t="inlineStr">
        <is>
          <t>на ед. изм.</t>
        </is>
      </c>
      <c r="G7" s="351" t="inlineStr">
        <is>
          <t>общая</t>
        </is>
      </c>
    </row>
    <row r="8">
      <c r="A8" s="351" t="n">
        <v>1</v>
      </c>
      <c r="B8" s="351" t="n">
        <v>2</v>
      </c>
      <c r="C8" s="351" t="n">
        <v>3</v>
      </c>
      <c r="D8" s="351" t="n">
        <v>4</v>
      </c>
      <c r="E8" s="351" t="n">
        <v>5</v>
      </c>
      <c r="F8" s="351" t="n">
        <v>6</v>
      </c>
      <c r="G8" s="351" t="n">
        <v>7</v>
      </c>
    </row>
    <row r="9" ht="15" customHeight="1" s="295">
      <c r="A9" s="222" t="n"/>
      <c r="B9" s="358" t="inlineStr">
        <is>
          <t>ИНЖЕНЕРНОЕ ОБОРУДОВАНИЕ</t>
        </is>
      </c>
      <c r="C9" s="425" t="n"/>
      <c r="D9" s="425" t="n"/>
      <c r="E9" s="425" t="n"/>
      <c r="F9" s="425" t="n"/>
      <c r="G9" s="426" t="n"/>
    </row>
    <row r="10" ht="27" customHeight="1" s="295">
      <c r="A10" s="351" t="n"/>
      <c r="B10" s="337" t="n"/>
      <c r="C10" s="358" t="inlineStr">
        <is>
          <t>ИТОГО ИНЖЕНЕРНОЕ ОБОРУДОВАНИЕ</t>
        </is>
      </c>
      <c r="D10" s="337" t="n"/>
      <c r="E10" s="169" t="n"/>
      <c r="F10" s="360" t="n"/>
      <c r="G10" s="360" t="n">
        <v>0</v>
      </c>
    </row>
    <row r="11">
      <c r="A11" s="351" t="n"/>
      <c r="B11" s="358" t="inlineStr">
        <is>
          <t>ТЕХНОЛОГИЧЕСКОЕ ОБОРУДОВАНИЕ</t>
        </is>
      </c>
      <c r="C11" s="425" t="n"/>
      <c r="D11" s="425" t="n"/>
      <c r="E11" s="425" t="n"/>
      <c r="F11" s="425" t="n"/>
      <c r="G11" s="426" t="n"/>
    </row>
    <row r="12" ht="33" customHeight="1" s="295">
      <c r="A12" s="351" t="n">
        <v>1</v>
      </c>
      <c r="B12" s="358">
        <f>'Прил.5 Расчет СМР и ОБ'!B27</f>
        <v/>
      </c>
      <c r="C12" s="358">
        <f>'Прил.5 Расчет СМР и ОБ'!C27</f>
        <v/>
      </c>
      <c r="D12" s="351">
        <f>'Прил.5 Расчет СМР и ОБ'!D27</f>
        <v/>
      </c>
      <c r="E12" s="351">
        <f>'Прил.5 Расчет СМР и ОБ'!E27</f>
        <v/>
      </c>
      <c r="F12" s="359">
        <f>'Прил.5 Расчет СМР и ОБ'!F27</f>
        <v/>
      </c>
      <c r="G12" s="359">
        <f>ROUND(E12*F12,2)</f>
        <v/>
      </c>
    </row>
    <row r="13" ht="25.5" customHeight="1" s="295">
      <c r="A13" s="351" t="n"/>
      <c r="B13" s="358" t="n"/>
      <c r="C13" s="358" t="inlineStr">
        <is>
          <t>ИТОГО ТЕХНОЛОГИЧЕСКОЕ ОБОРУДОВАНИЕ</t>
        </is>
      </c>
      <c r="D13" s="358" t="n"/>
      <c r="E13" s="370" t="n"/>
      <c r="F13" s="360" t="n"/>
      <c r="G13" s="245">
        <f>SUM(G12:G12)</f>
        <v/>
      </c>
    </row>
    <row r="14" ht="19.5" customHeight="1" s="295">
      <c r="A14" s="351" t="n"/>
      <c r="B14" s="358" t="n"/>
      <c r="C14" s="358" t="inlineStr">
        <is>
          <t>Всего по разделу «Оборудование»</t>
        </is>
      </c>
      <c r="D14" s="358" t="n"/>
      <c r="E14" s="370" t="n"/>
      <c r="F14" s="360" t="n"/>
      <c r="G14" s="245">
        <f>G10+G13</f>
        <v/>
      </c>
    </row>
    <row r="15">
      <c r="A15" s="294" t="n"/>
      <c r="B15" s="289" t="n"/>
      <c r="C15" s="294" t="n"/>
      <c r="D15" s="294" t="n"/>
      <c r="E15" s="294" t="n"/>
      <c r="F15" s="294" t="n"/>
      <c r="G15" s="294" t="n"/>
    </row>
    <row r="16">
      <c r="A16" s="283" t="inlineStr">
        <is>
          <t>Составил ______________________    Е. М. Добровольская</t>
        </is>
      </c>
      <c r="B16" s="293" t="n"/>
      <c r="C16" s="293" t="n"/>
      <c r="D16" s="294" t="n"/>
      <c r="E16" s="294" t="n"/>
      <c r="F16" s="294" t="n"/>
      <c r="G16" s="294" t="n"/>
    </row>
    <row r="17">
      <c r="A17" s="292" t="inlineStr">
        <is>
          <t xml:space="preserve">                         (подпись, инициалы, фамилия)</t>
        </is>
      </c>
      <c r="B17" s="293" t="n"/>
      <c r="C17" s="293" t="n"/>
      <c r="D17" s="294" t="n"/>
      <c r="E17" s="294" t="n"/>
      <c r="F17" s="294" t="n"/>
      <c r="G17" s="294" t="n"/>
    </row>
    <row r="18">
      <c r="A18" s="283" t="n"/>
      <c r="B18" s="293" t="n"/>
      <c r="C18" s="293" t="n"/>
      <c r="D18" s="294" t="n"/>
      <c r="E18" s="294" t="n"/>
      <c r="F18" s="294" t="n"/>
      <c r="G18" s="294" t="n"/>
    </row>
    <row r="19">
      <c r="A19" s="283" t="inlineStr">
        <is>
          <t>Проверил ______________________        А.В. Костянецкая</t>
        </is>
      </c>
      <c r="B19" s="293" t="n"/>
      <c r="C19" s="293" t="n"/>
      <c r="D19" s="294" t="n"/>
      <c r="E19" s="294" t="n"/>
      <c r="F19" s="294" t="n"/>
      <c r="G19" s="294" t="n"/>
    </row>
    <row r="20">
      <c r="A20" s="292" t="inlineStr">
        <is>
          <t xml:space="preserve">                        (подпись, инициалы, фамилия)</t>
        </is>
      </c>
      <c r="B20" s="293" t="n"/>
      <c r="C20" s="293" t="n"/>
      <c r="D20" s="294" t="n"/>
      <c r="E20" s="294" t="n"/>
      <c r="F20" s="294" t="n"/>
      <c r="G20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95" min="1" max="1"/>
    <col width="29.7109375" customWidth="1" style="295" min="2" max="2"/>
    <col width="39.140625" customWidth="1" style="295" min="3" max="3"/>
    <col width="24.5703125" customWidth="1" style="295" min="4" max="4"/>
    <col width="8.85546875" customWidth="1" style="295" min="5" max="5"/>
  </cols>
  <sheetData>
    <row r="1">
      <c r="B1" s="283" t="n"/>
      <c r="C1" s="283" t="n"/>
      <c r="D1" s="366" t="inlineStr">
        <is>
          <t>Приложение №7</t>
        </is>
      </c>
    </row>
    <row r="2">
      <c r="A2" s="366" t="n"/>
      <c r="B2" s="366" t="n"/>
      <c r="C2" s="366" t="n"/>
      <c r="D2" s="366" t="n"/>
    </row>
    <row r="3" ht="24.75" customHeight="1" s="295">
      <c r="A3" s="322" t="inlineStr">
        <is>
          <t>Расчет показателя УНЦ</t>
        </is>
      </c>
    </row>
    <row r="4" ht="24.75" customHeight="1" s="295">
      <c r="A4" s="322" t="n"/>
      <c r="B4" s="322" t="n"/>
      <c r="C4" s="322" t="n"/>
      <c r="D4" s="322" t="n"/>
    </row>
    <row r="5" ht="24.6" customHeight="1" s="295">
      <c r="A5" s="325" t="inlineStr">
        <is>
          <t xml:space="preserve">Наименование разрабатываемого показателя УНЦ - </t>
        </is>
      </c>
      <c r="D5" s="325">
        <f>'Прил.5 Расчет СМР и ОБ'!D6:J6</f>
        <v/>
      </c>
    </row>
    <row r="6" ht="19.9" customHeight="1" s="295">
      <c r="A6" s="325" t="inlineStr">
        <is>
          <t>Единица измерения  — 1 ед</t>
        </is>
      </c>
      <c r="D6" s="325" t="n"/>
    </row>
    <row r="7">
      <c r="A7" s="283" t="n"/>
      <c r="B7" s="283" t="n"/>
      <c r="C7" s="283" t="n"/>
      <c r="D7" s="283" t="n"/>
    </row>
    <row r="8" ht="14.45" customHeight="1" s="295">
      <c r="A8" s="333" t="inlineStr">
        <is>
          <t>Код показателя</t>
        </is>
      </c>
      <c r="B8" s="333" t="inlineStr">
        <is>
          <t>Наименование показателя</t>
        </is>
      </c>
      <c r="C8" s="333" t="inlineStr">
        <is>
          <t>Наименование РМ, входящих в состав показателя</t>
        </is>
      </c>
      <c r="D8" s="333" t="inlineStr">
        <is>
          <t>Норматив цены на 01.01.2023, тыс.руб.</t>
        </is>
      </c>
    </row>
    <row r="9" ht="15" customHeight="1" s="295">
      <c r="A9" s="428" t="n"/>
      <c r="B9" s="428" t="n"/>
      <c r="C9" s="428" t="n"/>
      <c r="D9" s="428" t="n"/>
    </row>
    <row r="10">
      <c r="A10" s="351" t="n">
        <v>1</v>
      </c>
      <c r="B10" s="351" t="n">
        <v>2</v>
      </c>
      <c r="C10" s="351" t="n">
        <v>3</v>
      </c>
      <c r="D10" s="351" t="n">
        <v>4</v>
      </c>
    </row>
    <row r="11" ht="41.45" customHeight="1" s="295">
      <c r="A11" s="351" t="inlineStr">
        <is>
          <t>А1-85</t>
        </is>
      </c>
      <c r="B11" s="351" t="inlineStr">
        <is>
          <t>УНЦ ИИК</t>
        </is>
      </c>
      <c r="C11" s="285">
        <f>D5</f>
        <v/>
      </c>
      <c r="D11" s="286">
        <f>'Прил.4 РМ'!C41/1000</f>
        <v/>
      </c>
      <c r="E11" s="287" t="n"/>
    </row>
    <row r="12">
      <c r="A12" s="294" t="n"/>
      <c r="B12" s="289" t="n"/>
      <c r="C12" s="294" t="n"/>
      <c r="D12" s="294" t="n"/>
    </row>
    <row r="13">
      <c r="A13" s="283" t="inlineStr">
        <is>
          <t>Составил ______________________      Е. М. Добровольская</t>
        </is>
      </c>
      <c r="B13" s="293" t="n"/>
      <c r="C13" s="293" t="n"/>
      <c r="D13" s="294" t="n"/>
    </row>
    <row r="14">
      <c r="A14" s="292" t="inlineStr">
        <is>
          <t xml:space="preserve">                         (подпись, инициалы, фамилия)</t>
        </is>
      </c>
      <c r="B14" s="293" t="n"/>
      <c r="C14" s="293" t="n"/>
      <c r="D14" s="294" t="n"/>
    </row>
    <row r="15">
      <c r="A15" s="283" t="n"/>
      <c r="B15" s="293" t="n"/>
      <c r="C15" s="293" t="n"/>
      <c r="D15" s="294" t="n"/>
    </row>
    <row r="16">
      <c r="A16" s="283" t="inlineStr">
        <is>
          <t>Проверил ______________________        А.В. Костянецкая</t>
        </is>
      </c>
      <c r="B16" s="293" t="n"/>
      <c r="C16" s="293" t="n"/>
      <c r="D16" s="294" t="n"/>
    </row>
    <row r="17">
      <c r="A17" s="292" t="inlineStr">
        <is>
          <t xml:space="preserve">                        (подпись, инициалы, фамилия)</t>
        </is>
      </c>
      <c r="B17" s="293" t="n"/>
      <c r="C17" s="293" t="n"/>
      <c r="D17" s="2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295" min="1" max="1"/>
    <col width="40.7109375" customWidth="1" style="295" min="2" max="2"/>
    <col width="37.7109375" customWidth="1" style="295" min="3" max="3"/>
    <col width="32" customWidth="1" style="295" min="4" max="4"/>
    <col width="9.140625" customWidth="1" style="295" min="5" max="5"/>
  </cols>
  <sheetData>
    <row r="4" ht="15.75" customHeight="1" s="295">
      <c r="B4" s="329" t="inlineStr">
        <is>
          <t>Приложение № 10</t>
        </is>
      </c>
    </row>
    <row r="5" ht="18.75" customHeight="1" s="295">
      <c r="B5" s="153" t="n"/>
    </row>
    <row r="6" ht="15.75" customHeight="1" s="295">
      <c r="B6" s="330" t="inlineStr">
        <is>
          <t>Используемые индексы изменений сметной стоимости и нормы сопутствующих затрат</t>
        </is>
      </c>
    </row>
    <row r="7">
      <c r="B7" s="372" t="n"/>
    </row>
    <row r="8">
      <c r="B8" s="372" t="n"/>
      <c r="C8" s="372" t="n"/>
      <c r="D8" s="372" t="n"/>
      <c r="E8" s="372" t="n"/>
    </row>
    <row r="9" ht="47.25" customHeight="1" s="295">
      <c r="B9" s="333" t="inlineStr">
        <is>
          <t>Наименование индекса / норм сопутствующих затрат</t>
        </is>
      </c>
      <c r="C9" s="333" t="inlineStr">
        <is>
          <t>Дата применения и обоснование индекса / норм сопутствующих затрат</t>
        </is>
      </c>
      <c r="D9" s="333" t="inlineStr">
        <is>
          <t>Размер индекса / норма сопутствующих затрат</t>
        </is>
      </c>
    </row>
    <row r="10" ht="15.75" customHeight="1" s="295">
      <c r="B10" s="333" t="n">
        <v>1</v>
      </c>
      <c r="C10" s="333" t="n">
        <v>2</v>
      </c>
      <c r="D10" s="333" t="n">
        <v>3</v>
      </c>
    </row>
    <row r="11" ht="45" customHeight="1" s="295">
      <c r="B11" s="333" t="inlineStr">
        <is>
          <t xml:space="preserve">Индекс изменения сметной стоимости на 1 квартал 2023 года. ОЗП </t>
        </is>
      </c>
      <c r="C11" s="333" t="inlineStr">
        <is>
          <t>Письмо Минстроя России от 30.03.2023г. №17106-ИФ/09  прил.1</t>
        </is>
      </c>
      <c r="D11" s="333" t="n">
        <v>44.29</v>
      </c>
    </row>
    <row r="12" ht="29.25" customHeight="1" s="295">
      <c r="B12" s="333" t="inlineStr">
        <is>
          <t>Индекс изменения сметной стоимости на 1 квартал 2023 года. ЭМ</t>
        </is>
      </c>
      <c r="C12" s="333" t="inlineStr">
        <is>
          <t>Письмо Минстроя России от 30.03.2023г. №17106-ИФ/09  прил.1</t>
        </is>
      </c>
      <c r="D12" s="333" t="n">
        <v>13.47</v>
      </c>
    </row>
    <row r="13" ht="29.25" customHeight="1" s="295">
      <c r="B13" s="333" t="inlineStr">
        <is>
          <t>Индекс изменения сметной стоимости на 1 квартал 2023 года. МАТ</t>
        </is>
      </c>
      <c r="C13" s="333" t="inlineStr">
        <is>
          <t>Письмо Минстроя России от 30.03.2023г. №17106-ИФ/09  прил.1</t>
        </is>
      </c>
      <c r="D13" s="333" t="n">
        <v>8.039999999999999</v>
      </c>
    </row>
    <row r="14" ht="30.75" customHeight="1" s="295">
      <c r="B14" s="333" t="inlineStr">
        <is>
          <t>Индекс изменения сметной стоимости на 1 квартал 2023 года. ОБ</t>
        </is>
      </c>
      <c r="C14" s="274" t="inlineStr">
        <is>
          <t>Письмо Минстроя России от 23.02.2023г. №9791-ИФ/09 прил.6</t>
        </is>
      </c>
      <c r="D14" s="333" t="n">
        <v>6.26</v>
      </c>
    </row>
    <row r="15" ht="89.45" customHeight="1" s="295">
      <c r="B15" s="333" t="inlineStr">
        <is>
          <t>Временные здания и сооружения</t>
        </is>
      </c>
      <c r="C15" s="333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295">
      <c r="B16" s="333" t="inlineStr">
        <is>
          <t>Дополнительные затраты при производстве строительно-монтажных работ в зимнее время</t>
        </is>
      </c>
      <c r="C16" s="333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1.7" customHeight="1" s="295">
      <c r="B17" s="333" t="inlineStr">
        <is>
          <t>Строительный контроль</t>
        </is>
      </c>
      <c r="C17" s="333" t="inlineStr">
        <is>
          <t>Постановление Правительства РФ от 21.06.10 г. № 468</t>
        </is>
      </c>
      <c r="D17" s="156" t="n">
        <v>0.0214</v>
      </c>
    </row>
    <row r="18" ht="31.7" customHeight="1" s="295">
      <c r="B18" s="333" t="inlineStr">
        <is>
          <t>Авторский надзор - 0,2%</t>
        </is>
      </c>
      <c r="C18" s="333" t="inlineStr">
        <is>
          <t>Приказ от 4.08.2020 № 421/пр п.173</t>
        </is>
      </c>
      <c r="D18" s="156" t="n">
        <v>0.002</v>
      </c>
    </row>
    <row r="19" ht="24" customHeight="1" s="295">
      <c r="B19" s="333" t="inlineStr">
        <is>
          <t>Непредвиденные расходы</t>
        </is>
      </c>
      <c r="C19" s="333" t="inlineStr">
        <is>
          <t>Приказ от 4.08.2020 № 421/пр п.179</t>
        </is>
      </c>
      <c r="D19" s="156" t="n">
        <v>0.03</v>
      </c>
    </row>
    <row r="20" ht="18.75" customHeight="1" s="295">
      <c r="B20" s="161" t="n"/>
    </row>
    <row r="21" ht="18.75" customHeight="1" s="295">
      <c r="B21" s="161" t="n"/>
    </row>
    <row r="22" ht="18.75" customHeight="1" s="295">
      <c r="B22" s="161" t="n"/>
    </row>
    <row r="23" ht="18.75" customHeight="1" s="295">
      <c r="B23" s="161" t="n"/>
    </row>
    <row r="26">
      <c r="B26" s="283" t="inlineStr">
        <is>
          <t>Составил ______________________    Е. М. Добровольская</t>
        </is>
      </c>
      <c r="C26" s="293" t="n"/>
    </row>
    <row r="27">
      <c r="B27" s="292" t="inlineStr">
        <is>
          <t xml:space="preserve">                         (подпись, инициалы, фамилия)</t>
        </is>
      </c>
      <c r="C27" s="293" t="n"/>
    </row>
    <row r="28">
      <c r="B28" s="283" t="n"/>
      <c r="C28" s="293" t="n"/>
    </row>
    <row r="29">
      <c r="B29" s="283" t="inlineStr">
        <is>
          <t>Проверил ______________________        А.В. Костянецкая</t>
        </is>
      </c>
      <c r="C29" s="293" t="n"/>
    </row>
    <row r="30">
      <c r="B30" s="292" t="inlineStr">
        <is>
          <t xml:space="preserve">                        (подпись, инициалы, фамилия)</t>
        </is>
      </c>
      <c r="C30" s="29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3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5" min="2" max="2"/>
    <col width="13" customWidth="1" style="295" min="3" max="3"/>
    <col width="22.85546875" customWidth="1" style="295" min="4" max="4"/>
    <col width="21.5703125" customWidth="1" style="295" min="5" max="5"/>
    <col width="53.7109375" bestFit="1" customWidth="1" style="295" min="6" max="6"/>
  </cols>
  <sheetData>
    <row r="1" s="295"/>
    <row r="2" ht="17.25" customHeight="1" s="295">
      <c r="A2" s="330" t="inlineStr">
        <is>
          <t>Расчет размера средств на оплату труда рабочих-строителей в текущем уровне цен (ФОТр.тек.)</t>
        </is>
      </c>
    </row>
    <row r="3" s="295"/>
    <row r="4" ht="18" customHeight="1" s="295">
      <c r="A4" s="296" t="inlineStr">
        <is>
          <t>Составлен в уровне цен на 01.01.2023 г.</t>
        </is>
      </c>
      <c r="B4" s="297" t="n"/>
      <c r="C4" s="297" t="n"/>
      <c r="D4" s="297" t="n"/>
      <c r="E4" s="297" t="n"/>
      <c r="F4" s="297" t="n"/>
      <c r="G4" s="297" t="n"/>
    </row>
    <row r="5" ht="15.75" customHeight="1" s="295">
      <c r="A5" s="298" t="inlineStr">
        <is>
          <t>№ пп.</t>
        </is>
      </c>
      <c r="B5" s="298" t="inlineStr">
        <is>
          <t>Наименование элемента</t>
        </is>
      </c>
      <c r="C5" s="298" t="inlineStr">
        <is>
          <t>Обозначение</t>
        </is>
      </c>
      <c r="D5" s="298" t="inlineStr">
        <is>
          <t>Формула</t>
        </is>
      </c>
      <c r="E5" s="298" t="inlineStr">
        <is>
          <t>Величина элемента</t>
        </is>
      </c>
      <c r="F5" s="298" t="inlineStr">
        <is>
          <t>Наименования обосновывающих документов</t>
        </is>
      </c>
      <c r="G5" s="297" t="n"/>
    </row>
    <row r="6" ht="15.75" customHeight="1" s="295">
      <c r="A6" s="298" t="n">
        <v>1</v>
      </c>
      <c r="B6" s="298" t="n">
        <v>2</v>
      </c>
      <c r="C6" s="298" t="n">
        <v>3</v>
      </c>
      <c r="D6" s="298" t="n">
        <v>4</v>
      </c>
      <c r="E6" s="298" t="n">
        <v>5</v>
      </c>
      <c r="F6" s="298" t="n">
        <v>6</v>
      </c>
      <c r="G6" s="297" t="n"/>
    </row>
    <row r="7" ht="110.25" customHeight="1" s="295">
      <c r="A7" s="299" t="inlineStr">
        <is>
          <t>1.1</t>
        </is>
      </c>
      <c r="B7" s="30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3" t="inlineStr">
        <is>
          <t>С1ср</t>
        </is>
      </c>
      <c r="D7" s="333" t="inlineStr">
        <is>
          <t>-</t>
        </is>
      </c>
      <c r="E7" s="302" t="n">
        <v>47872.94</v>
      </c>
      <c r="F7" s="30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7" t="n"/>
    </row>
    <row r="8" ht="31.5" customHeight="1" s="295">
      <c r="A8" s="299" t="inlineStr">
        <is>
          <t>1.2</t>
        </is>
      </c>
      <c r="B8" s="304" t="inlineStr">
        <is>
          <t>Среднегодовое нормативное число часов работы одного рабочего в месяц, часы (ч.)</t>
        </is>
      </c>
      <c r="C8" s="333" t="inlineStr">
        <is>
          <t>tср</t>
        </is>
      </c>
      <c r="D8" s="333" t="inlineStr">
        <is>
          <t>1973ч/12мес.</t>
        </is>
      </c>
      <c r="E8" s="303">
        <f>1973/12</f>
        <v/>
      </c>
      <c r="F8" s="304" t="inlineStr">
        <is>
          <t>Производственный календарь 2023 год
(40-часов.неделя)</t>
        </is>
      </c>
      <c r="G8" s="306" t="n"/>
    </row>
    <row r="9" ht="15.75" customHeight="1" s="295">
      <c r="A9" s="299" t="inlineStr">
        <is>
          <t>1.3</t>
        </is>
      </c>
      <c r="B9" s="304" t="inlineStr">
        <is>
          <t>Коэффициент увеличения</t>
        </is>
      </c>
      <c r="C9" s="333" t="inlineStr">
        <is>
          <t>Кув</t>
        </is>
      </c>
      <c r="D9" s="333" t="inlineStr">
        <is>
          <t>-</t>
        </is>
      </c>
      <c r="E9" s="303" t="n">
        <v>1</v>
      </c>
      <c r="F9" s="304" t="n"/>
      <c r="G9" s="306" t="n"/>
    </row>
    <row r="10" ht="15.75" customHeight="1" s="295">
      <c r="A10" s="299" t="inlineStr">
        <is>
          <t>1.4</t>
        </is>
      </c>
      <c r="B10" s="304" t="inlineStr">
        <is>
          <t>Средний разряд работ</t>
        </is>
      </c>
      <c r="C10" s="333" t="n"/>
      <c r="D10" s="333" t="n"/>
      <c r="E10" s="443" t="n">
        <v>4.2</v>
      </c>
      <c r="F10" s="304" t="inlineStr">
        <is>
          <t>РТМ</t>
        </is>
      </c>
      <c r="G10" s="306" t="n"/>
    </row>
    <row r="11" ht="78.75" customHeight="1" s="295">
      <c r="A11" s="299" t="inlineStr">
        <is>
          <t>1.5</t>
        </is>
      </c>
      <c r="B11" s="304" t="inlineStr">
        <is>
          <t>Тарифный коэффициент среднего разряда работ</t>
        </is>
      </c>
      <c r="C11" s="333" t="inlineStr">
        <is>
          <t>КТ</t>
        </is>
      </c>
      <c r="D11" s="333" t="inlineStr">
        <is>
          <t>-</t>
        </is>
      </c>
      <c r="E11" s="444" t="n">
        <v>1.38</v>
      </c>
      <c r="F11" s="30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7" t="n"/>
    </row>
    <row r="12" ht="78.75" customHeight="1" s="295">
      <c r="A12" s="309" t="inlineStr">
        <is>
          <t>1.6</t>
        </is>
      </c>
      <c r="B12" s="417" t="inlineStr">
        <is>
          <t>Коэффициент инфляции, определяемый поквартально</t>
        </is>
      </c>
      <c r="C12" s="334" t="inlineStr">
        <is>
          <t>Кинф</t>
        </is>
      </c>
      <c r="D12" s="334" t="inlineStr">
        <is>
          <t>-</t>
        </is>
      </c>
      <c r="E12" s="445" t="n">
        <v>1.139</v>
      </c>
      <c r="F12" s="4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5">
      <c r="A13" s="420" t="inlineStr">
        <is>
          <t>1.7</t>
        </is>
      </c>
      <c r="B13" s="421" t="inlineStr">
        <is>
          <t>Размер средств на оплату труда рабочих-строителей в текущем уровне цен (ФОТр.тек.), руб/чел.-ч</t>
        </is>
      </c>
      <c r="C13" s="422" t="inlineStr">
        <is>
          <t>ФОТр.тек.</t>
        </is>
      </c>
      <c r="D13" s="422" t="inlineStr">
        <is>
          <t>(С1ср/tср*КТ*Т*Кув)*Кинф</t>
        </is>
      </c>
      <c r="E13" s="423">
        <f>((E7*E9/E8)*E11)*E12</f>
        <v/>
      </c>
      <c r="F13" s="4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2025-01-24T11:52:18Z</dcterms:modified>
  <cp:lastModifiedBy>Николай Трофименко</cp:lastModifiedBy>
  <cp:lastPrinted>2023-12-01T12:11:37Z</cp:lastPrinted>
</cp:coreProperties>
</file>