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0.0000"/>
    <numFmt numFmtId="166" formatCode="0.0"/>
    <numFmt numFmtId="167" formatCode="#,##0.0000"/>
    <numFmt numFmtId="168" formatCode="#,##0.00\ _₽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b val="1"/>
      <color rgb="FF000000"/>
      <sz val="12"/>
    </font>
    <font>
      <name val="Times New Roman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2" fontId="18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49" fontId="0" fillId="0" borderId="0" pivotButton="0" quotePrefix="0" xfId="0"/>
    <xf numFmtId="166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0" fontId="1" fillId="0" borderId="5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19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5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 wrapText="1"/>
    </xf>
    <xf numFmtId="165" fontId="21" fillId="0" borderId="1" applyAlignment="1" pivotButton="0" quotePrefix="0" xfId="0">
      <alignment horizontal="center" vertical="center" wrapText="1"/>
    </xf>
    <xf numFmtId="2" fontId="2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 wrapText="1"/>
    </xf>
    <xf numFmtId="168" fontId="2" fillId="0" borderId="1" applyAlignment="1" pivotButton="0" quotePrefix="0" xfId="0">
      <alignment horizontal="right" vertical="center" wrapText="1"/>
    </xf>
    <xf numFmtId="49" fontId="1" fillId="0" borderId="5" applyAlignment="1" pivotButton="0" quotePrefix="0" xfId="0">
      <alignment horizontal="center" vertical="center" wrapText="1"/>
    </xf>
    <xf numFmtId="168" fontId="21" fillId="0" borderId="1" applyAlignment="1" pivotButton="0" quotePrefix="0" xfId="0">
      <alignment vertical="center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/>
    </xf>
    <xf numFmtId="4" fontId="1" fillId="0" borderId="1" applyAlignment="1" pivotButton="0" quotePrefix="0" xfId="0">
      <alignment horizontal="right" vertical="top" wrapText="1"/>
    </xf>
    <xf numFmtId="0" fontId="22" fillId="0" borderId="4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" fontId="1" fillId="0" borderId="0" applyAlignment="1" pivotButton="0" quotePrefix="0" xfId="0">
      <alignment horizontal="left" vertical="center" wrapText="1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5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24" fillId="0" borderId="5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4" fontId="24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4" fillId="0" borderId="1" applyAlignment="1" pivotButton="0" quotePrefix="0" xfId="0">
      <alignment vertical="center" wrapText="1"/>
    </xf>
    <xf numFmtId="4" fontId="24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 wrapText="1"/>
    </xf>
    <xf numFmtId="14" fontId="17" fillId="0" borderId="1" applyAlignment="1" pivotButton="0" quotePrefix="0" xfId="0">
      <alignment horizontal="center" vertical="center" wrapText="1"/>
    </xf>
    <xf numFmtId="49" fontId="15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4" fontId="22" fillId="0" borderId="4" applyAlignment="1" pivotButton="0" quotePrefix="0" xfId="0">
      <alignment vertical="center" wrapText="1"/>
    </xf>
    <xf numFmtId="2" fontId="22" fillId="0" borderId="4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24" fillId="0" borderId="4" applyAlignment="1" pivotButton="0" quotePrefix="0" xfId="0">
      <alignment horizontal="right" vertical="center" wrapText="1"/>
    </xf>
    <xf numFmtId="0" fontId="24" fillId="0" borderId="1" applyAlignment="1" pivotButton="0" quotePrefix="0" xfId="0">
      <alignment horizontal="right" vertical="center" wrapText="1"/>
    </xf>
    <xf numFmtId="0" fontId="24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center" vertical="center" wrapText="1"/>
    </xf>
    <xf numFmtId="4" fontId="4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right" vertical="top"/>
    </xf>
    <xf numFmtId="4" fontId="1" fillId="0" borderId="0" applyAlignment="1" pivotButton="0" quotePrefix="0" xfId="0">
      <alignment horizontal="right" vertical="top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8" pivotButton="0" quotePrefix="0" xfId="0"/>
    <xf numFmtId="0" fontId="0" fillId="0" borderId="14" pivotButton="0" quotePrefix="0" xfId="0"/>
    <xf numFmtId="165" fontId="21" fillId="0" borderId="1" applyAlignment="1" pivotButton="0" quotePrefix="0" xfId="0">
      <alignment horizontal="center" vertical="center" wrapText="1"/>
    </xf>
    <xf numFmtId="166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9" fontId="2" fillId="0" borderId="4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right" vertical="center" wrapText="1"/>
    </xf>
    <xf numFmtId="168" fontId="21" fillId="0" borderId="1" applyAlignment="1" pivotButton="0" quotePrefix="0" xfId="0">
      <alignment vertical="center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5" fontId="17" fillId="0" borderId="1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D31"/>
  <sheetViews>
    <sheetView view="pageBreakPreview" topLeftCell="A23" zoomScale="115" zoomScaleNormal="70" zoomScaleSheetLayoutView="115" workbookViewId="0">
      <selection activeCell="C41" sqref="C41"/>
    </sheetView>
  </sheetViews>
  <sheetFormatPr baseColWidth="8" defaultRowHeight="15"/>
  <cols>
    <col width="36.85546875" customWidth="1" min="3" max="3"/>
    <col width="43.85546875" customWidth="1" min="4" max="4"/>
  </cols>
  <sheetData>
    <row r="3" ht="15.75" customHeight="1">
      <c r="B3" s="221" t="inlineStr">
        <is>
          <t>Приложение № 1</t>
        </is>
      </c>
    </row>
    <row r="4" ht="18.75" customHeight="1">
      <c r="B4" s="222" t="inlineStr">
        <is>
          <t>Сравнительная таблица отбора объекта-представителя</t>
        </is>
      </c>
    </row>
    <row r="5" ht="84" customHeight="1">
      <c r="B5" s="22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4" t="n"/>
      <c r="C6" s="114" t="n"/>
      <c r="D6" s="114" t="n"/>
    </row>
    <row r="7" ht="42" customHeight="1">
      <c r="B7" s="220" t="inlineStr">
        <is>
          <t>Наименование разрабатываемого показателя УНЦ — ИВКЭ для ТП (СП, РП, РТП), РУ 6-20 кВ</t>
        </is>
      </c>
    </row>
    <row r="8" ht="31.5" customHeight="1">
      <c r="B8" s="220" t="inlineStr">
        <is>
          <t>Сопоставимый уровень цен: 3 кв. 2019 г.</t>
        </is>
      </c>
    </row>
    <row r="9" ht="15.75" customHeight="1">
      <c r="B9" s="220" t="inlineStr">
        <is>
          <t>Единица измерения  — 1 ед</t>
        </is>
      </c>
    </row>
    <row r="10" ht="18.75" customHeight="1">
      <c r="B10" s="115" t="n"/>
    </row>
    <row r="11" ht="15.75" customHeight="1">
      <c r="B11" s="227" t="inlineStr">
        <is>
          <t>№ п/п</t>
        </is>
      </c>
      <c r="C11" s="227" t="inlineStr">
        <is>
          <t>Параметр</t>
        </is>
      </c>
      <c r="D11" s="227" t="inlineStr">
        <is>
          <t xml:space="preserve">Объект-представитель </t>
        </is>
      </c>
    </row>
    <row r="12" ht="88.15000000000001" customHeight="1">
      <c r="B12" s="227" t="n">
        <v>1</v>
      </c>
      <c r="C12" s="117" t="inlineStr">
        <is>
          <t>Наименование объекта-представителя</t>
        </is>
      </c>
      <c r="D12" s="227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 ht="31.5" customHeight="1">
      <c r="B13" s="227" t="n">
        <v>2</v>
      </c>
      <c r="C13" s="117" t="inlineStr">
        <is>
          <t>Наименование субъекта Российской Федерации</t>
        </is>
      </c>
      <c r="D13" s="227" t="inlineStr">
        <is>
          <t>Республика Калмыкия</t>
        </is>
      </c>
    </row>
    <row r="14" ht="15.75" customHeight="1">
      <c r="B14" s="227" t="n">
        <v>3</v>
      </c>
      <c r="C14" s="117" t="inlineStr">
        <is>
          <t>Климатический район и подрайон</t>
        </is>
      </c>
      <c r="D14" s="227" t="inlineStr">
        <is>
          <t>IVГ</t>
        </is>
      </c>
    </row>
    <row r="15" ht="15.75" customHeight="1">
      <c r="B15" s="227" t="n">
        <v>4</v>
      </c>
      <c r="C15" s="117" t="inlineStr">
        <is>
          <t>Мощность объекта</t>
        </is>
      </c>
      <c r="D15" s="227" t="n">
        <v>1</v>
      </c>
    </row>
    <row r="16" ht="107.25" customHeight="1">
      <c r="B16" s="227" t="n">
        <v>5</v>
      </c>
      <c r="C16" s="11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7" t="inlineStr">
        <is>
          <t>Счётчик трёхфазный прямого включения в шкафном исполнении с передачей данных в ИВКЭ</t>
        </is>
      </c>
    </row>
    <row r="17" ht="95.25" customHeight="1">
      <c r="B17" s="227" t="n">
        <v>6</v>
      </c>
      <c r="C17" s="11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6">
        <f>D18+D19+D20+D21</f>
        <v/>
      </c>
    </row>
    <row r="18" ht="15.75" customHeight="1">
      <c r="B18" s="119" t="inlineStr">
        <is>
          <t>6.1</t>
        </is>
      </c>
      <c r="C18" s="117" t="inlineStr">
        <is>
          <t>строительно-монтажные работы</t>
        </is>
      </c>
      <c r="D18" s="206">
        <f>'Прил.2 Расч стоим'!F12+'Прил.2 Расч стоим'!G12</f>
        <v/>
      </c>
    </row>
    <row r="19" ht="15.75" customHeight="1">
      <c r="B19" s="119" t="inlineStr">
        <is>
          <t>6.2</t>
        </is>
      </c>
      <c r="C19" s="117" t="inlineStr">
        <is>
          <t>оборудование и инвентарь</t>
        </is>
      </c>
      <c r="D19" s="206">
        <f>'Прил.2 Расч стоим'!H12</f>
        <v/>
      </c>
    </row>
    <row r="20" ht="15.75" customHeight="1">
      <c r="B20" s="119" t="inlineStr">
        <is>
          <t>6.3</t>
        </is>
      </c>
      <c r="C20" s="117" t="inlineStr">
        <is>
          <t>пусконаладочные работы</t>
        </is>
      </c>
      <c r="D20" s="206" t="n"/>
    </row>
    <row r="21" ht="19.5" customHeight="1">
      <c r="B21" s="119" t="inlineStr">
        <is>
          <t>6.4</t>
        </is>
      </c>
      <c r="C21" s="117" t="inlineStr">
        <is>
          <t>прочие и лимитированные затраты</t>
        </is>
      </c>
      <c r="D21" s="206">
        <f>D18*0.039+(D18*0.039+D18)*0.021</f>
        <v/>
      </c>
    </row>
    <row r="22" ht="15.75" customHeight="1">
      <c r="B22" s="227" t="n">
        <v>7</v>
      </c>
      <c r="C22" s="117" t="inlineStr">
        <is>
          <t>Сопоставимый уровень цен</t>
        </is>
      </c>
      <c r="D22" s="207" t="inlineStr">
        <is>
          <t>3 кв. 2019 г.</t>
        </is>
      </c>
    </row>
    <row r="23" ht="125.25" customHeight="1">
      <c r="B23" s="227" t="n">
        <v>8</v>
      </c>
      <c r="C23" s="11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6">
        <f>D17</f>
        <v/>
      </c>
    </row>
    <row r="24" ht="61.5" customHeight="1">
      <c r="B24" s="227" t="n">
        <v>9</v>
      </c>
      <c r="C24" s="118" t="inlineStr">
        <is>
          <t>Приведенная сметная стоимость на единицу мощности, тыс. руб. (строка 8/строку 4)</t>
        </is>
      </c>
      <c r="D24" s="206">
        <f>D23/D15</f>
        <v/>
      </c>
    </row>
    <row r="25" ht="37.5" customHeight="1">
      <c r="B25" s="120" t="n"/>
      <c r="C25" s="121" t="n"/>
      <c r="D25" s="121" t="n"/>
    </row>
    <row r="26">
      <c r="B26" s="4" t="inlineStr">
        <is>
          <t>Составил ______________________        А.Р. Маркова</t>
        </is>
      </c>
      <c r="C26" s="12" t="n"/>
    </row>
    <row r="27">
      <c r="B27" s="31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1" t="inlineStr">
        <is>
          <t xml:space="preserve">                        (подпись, инициалы, фамилия)</t>
        </is>
      </c>
      <c r="C30" s="12" t="n"/>
    </row>
    <row r="31" ht="15.75" customHeight="1">
      <c r="B31" s="121" t="n"/>
      <c r="C31" s="121" t="n"/>
      <c r="D31" s="12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60" zoomScaleNormal="70" workbookViewId="0">
      <selection activeCell="G18" sqref="G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21" t="inlineStr">
        <is>
          <t>Приложение № 2</t>
        </is>
      </c>
    </row>
    <row r="4" ht="15.75" customHeight="1">
      <c r="B4" s="226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2" t="n"/>
      <c r="C5" s="122" t="n"/>
      <c r="D5" s="122" t="n"/>
      <c r="E5" s="122" t="n"/>
      <c r="F5" s="122" t="n"/>
      <c r="G5" s="122" t="n"/>
      <c r="H5" s="122" t="n"/>
      <c r="I5" s="122" t="n"/>
      <c r="J5" s="122" t="n"/>
      <c r="K5" s="122" t="n"/>
    </row>
    <row r="6" ht="15.75" customHeight="1">
      <c r="B6" s="220" t="inlineStr">
        <is>
          <t>Наименование разрабатываемого показателя УНЦ - ИВКЭ для ТП (СП, РП, РТП), РУ 6-20 кВ</t>
        </is>
      </c>
    </row>
    <row r="7" ht="15.75" customHeight="1">
      <c r="B7" s="220" t="inlineStr">
        <is>
          <t>Единица измерения  — 1 ед</t>
        </is>
      </c>
    </row>
    <row r="8" ht="18.75" customHeight="1">
      <c r="B8" s="115" t="n"/>
    </row>
    <row r="9" ht="15.75" customHeight="1">
      <c r="B9" s="227" t="inlineStr">
        <is>
          <t>№ п/п</t>
        </is>
      </c>
      <c r="C9" s="2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7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27" t="inlineStr">
        <is>
          <t>Номер сметы</t>
        </is>
      </c>
      <c r="E10" s="227" t="inlineStr">
        <is>
          <t>Наименование сметы</t>
        </is>
      </c>
      <c r="F10" s="227" t="inlineStr">
        <is>
          <t>Сметная стоимость в уровне цен 3 кв. 2019г.,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81" customHeight="1">
      <c r="B12" s="162" t="n">
        <v>1</v>
      </c>
      <c r="C12" s="227" t="inlineStr">
        <is>
          <t>Счётчик трёхфазный прямого включения в шкафном исполнении с передачей данных в ИВКЭ</t>
        </is>
      </c>
      <c r="D12" s="208" t="inlineStr">
        <is>
          <t>02-01-01</t>
        </is>
      </c>
      <c r="E12" s="209" t="inlineStr">
        <is>
          <t>Установка ПКУ 10 кВ</t>
        </is>
      </c>
      <c r="F12" s="209" t="n">
        <v>0</v>
      </c>
      <c r="G12" s="210" t="n">
        <v>8.69</v>
      </c>
      <c r="H12" s="210" t="n">
        <v>56.77</v>
      </c>
      <c r="I12" s="209" t="n">
        <v>0</v>
      </c>
      <c r="J12" s="209">
        <f>SUM(F12:I12)</f>
        <v/>
      </c>
    </row>
    <row r="13" ht="15.75" customHeight="1">
      <c r="B13" s="224" t="inlineStr">
        <is>
          <t>Всего по объекту:</t>
        </is>
      </c>
      <c r="C13" s="312" t="n"/>
      <c r="D13" s="312" t="n"/>
      <c r="E13" s="313" t="n"/>
      <c r="F13" s="179">
        <f>F12</f>
        <v/>
      </c>
      <c r="G13" s="179">
        <f>G12</f>
        <v/>
      </c>
      <c r="H13" s="179">
        <f>H12</f>
        <v/>
      </c>
      <c r="I13" s="179">
        <f>I12</f>
        <v/>
      </c>
      <c r="J13" s="179">
        <f>SUM(F13:I13)</f>
        <v/>
      </c>
    </row>
    <row r="14" ht="28.5" customHeight="1">
      <c r="B14" s="225" t="inlineStr">
        <is>
          <t>Всего по объекту в сопоставимом уровне цен 3 кв. 2019г:</t>
        </is>
      </c>
      <c r="C14" s="308" t="n"/>
      <c r="D14" s="308" t="n"/>
      <c r="E14" s="309" t="n"/>
      <c r="F14" s="179">
        <f>F13</f>
        <v/>
      </c>
      <c r="G14" s="179">
        <f>G13</f>
        <v/>
      </c>
      <c r="H14" s="179">
        <f>H13</f>
        <v/>
      </c>
      <c r="I14" s="211">
        <f>'Прил.1 Сравнит табл'!D21</f>
        <v/>
      </c>
      <c r="J14" s="212">
        <f>SUM(F14:I14)</f>
        <v/>
      </c>
    </row>
    <row r="15" ht="18.75" customHeight="1">
      <c r="B15" s="115" t="n"/>
    </row>
    <row r="18">
      <c r="C18" s="4" t="inlineStr">
        <is>
          <t>Составил ______________________    А.Р. Маркова</t>
        </is>
      </c>
      <c r="D18" s="12" t="n"/>
    </row>
    <row r="19">
      <c r="C19" s="31" t="inlineStr">
        <is>
          <t xml:space="preserve">                         (подпись, инициалы, фамилия)</t>
        </is>
      </c>
      <c r="D19" s="12" t="n"/>
    </row>
    <row r="20">
      <c r="C20" s="4" t="n"/>
      <c r="D20" s="12" t="n"/>
    </row>
    <row r="21">
      <c r="C21" s="4" t="inlineStr">
        <is>
          <t>Проверил ______________________        А.В. Костянецкая</t>
        </is>
      </c>
      <c r="D21" s="12" t="n"/>
    </row>
    <row r="22">
      <c r="C22" s="31" t="inlineStr">
        <is>
          <t xml:space="preserve">                        (подпись, инициалы, фамилия)</t>
        </is>
      </c>
      <c r="D22" s="1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40"/>
  <sheetViews>
    <sheetView tabSelected="1" view="pageBreakPreview" zoomScale="70" workbookViewId="0">
      <selection activeCell="A9" sqref="A9:A10"/>
    </sheetView>
  </sheetViews>
  <sheetFormatPr baseColWidth="8" defaultRowHeight="15"/>
  <cols>
    <col width="8.5703125" customWidth="1" min="1" max="1"/>
    <col width="12.85546875" customWidth="1" min="2" max="2"/>
    <col width="20.7109375" customWidth="1" min="3" max="3"/>
    <col width="59" customWidth="1" min="4" max="4"/>
    <col width="12.28515625" customWidth="1" min="5" max="5"/>
    <col width="19.85546875" customWidth="1" min="6" max="6"/>
    <col width="17.85546875" customWidth="1" min="7" max="7"/>
    <col width="19.42578125" customWidth="1" style="144" min="8" max="8"/>
    <col hidden="1" width="10.140625" customWidth="1" min="9" max="9"/>
    <col hidden="1" width="10.140625" customWidth="1" min="11" max="11"/>
  </cols>
  <sheetData>
    <row r="2" ht="15.75" customHeight="1">
      <c r="A2" s="221" t="inlineStr">
        <is>
          <t xml:space="preserve">Приложение № 3 </t>
        </is>
      </c>
      <c r="I2" s="120" t="n"/>
    </row>
    <row r="3" ht="18.75" customHeight="1">
      <c r="A3" s="222" t="inlineStr">
        <is>
          <t>Объектная ресурсная ведомость</t>
        </is>
      </c>
    </row>
    <row r="4" ht="25.5" customHeight="1">
      <c r="B4" s="143" t="n"/>
      <c r="C4" s="302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132" t="n"/>
      <c r="D5" s="132" t="n"/>
      <c r="E5" s="132" t="n"/>
      <c r="F5" s="132" t="n"/>
      <c r="G5" s="132" t="n"/>
      <c r="H5" s="133" t="n"/>
    </row>
    <row r="6" ht="15" customHeight="1">
      <c r="A6" s="237" t="inlineStr">
        <is>
          <t>Наименование разрабатываемого показателя УНЦ - ИВКЭ для ТП (СП, РП, РТП), РУ 6-20 кВ</t>
        </is>
      </c>
    </row>
    <row r="7" ht="14.25" customHeight="1"/>
    <row r="8" ht="15.75" customHeight="1">
      <c r="C8" s="134" t="n"/>
      <c r="D8" s="304" t="n"/>
      <c r="E8" s="136" t="n"/>
      <c r="F8" s="303" t="n"/>
      <c r="G8" s="138" t="n"/>
      <c r="H8" s="139" t="n"/>
    </row>
    <row r="9" ht="38.25" customHeight="1">
      <c r="A9" s="227" t="inlineStr">
        <is>
          <t>п/п</t>
        </is>
      </c>
      <c r="B9" s="227" t="inlineStr">
        <is>
          <t>№ЛСР</t>
        </is>
      </c>
      <c r="C9" s="227" t="inlineStr">
        <is>
          <t>Код ресурса</t>
        </is>
      </c>
      <c r="D9" s="227" t="inlineStr">
        <is>
          <t>Наименование ресурса</t>
        </is>
      </c>
      <c r="E9" s="227" t="inlineStr">
        <is>
          <t>Ед. изм.</t>
        </is>
      </c>
      <c r="F9" s="227" t="inlineStr">
        <is>
          <t>Кол-во единиц по данным объекта-представителя</t>
        </is>
      </c>
      <c r="G9" s="227" t="inlineStr">
        <is>
          <t>Сметная стоимость в ценах на 01.01.2000 (руб.)</t>
        </is>
      </c>
      <c r="H9" s="309" t="n"/>
    </row>
    <row r="10" ht="40.5" customHeight="1">
      <c r="A10" s="311" t="n"/>
      <c r="B10" s="311" t="n"/>
      <c r="C10" s="311" t="n"/>
      <c r="D10" s="311" t="n"/>
      <c r="E10" s="311" t="n"/>
      <c r="F10" s="311" t="n"/>
      <c r="G10" s="227" t="inlineStr">
        <is>
          <t>на ед.изм.</t>
        </is>
      </c>
      <c r="H10" s="227" t="inlineStr">
        <is>
          <t>общая</t>
        </is>
      </c>
    </row>
    <row r="11" ht="15.75" customHeight="1">
      <c r="A11" s="227" t="n">
        <v>1</v>
      </c>
      <c r="B11" s="162" t="n"/>
      <c r="C11" s="227" t="n">
        <v>2</v>
      </c>
      <c r="D11" s="227" t="inlineStr">
        <is>
          <t>З</t>
        </is>
      </c>
      <c r="E11" s="227" t="n">
        <v>4</v>
      </c>
      <c r="F11" s="227" t="n">
        <v>5</v>
      </c>
      <c r="G11" s="162" t="n">
        <v>6</v>
      </c>
      <c r="H11" s="162" t="n">
        <v>7</v>
      </c>
    </row>
    <row r="12" ht="15" customHeight="1">
      <c r="A12" s="233" t="inlineStr">
        <is>
          <t>Затраты труда рабочих</t>
        </is>
      </c>
      <c r="B12" s="308" t="n"/>
      <c r="C12" s="308" t="n"/>
      <c r="D12" s="309" t="n"/>
      <c r="E12" s="163" t="n"/>
      <c r="F12" s="314" t="n">
        <v>35.34</v>
      </c>
      <c r="G12" s="163" t="n"/>
      <c r="H12" s="165">
        <f>SUM(H13:H16)</f>
        <v/>
      </c>
    </row>
    <row r="13">
      <c r="A13" s="147" t="inlineStr">
        <is>
          <t>1</t>
        </is>
      </c>
      <c r="B13" s="147" t="n"/>
      <c r="C13" s="147" t="inlineStr">
        <is>
          <t>10-3-1</t>
        </is>
      </c>
      <c r="D13" s="246" t="inlineStr">
        <is>
          <t>Инженер I категории</t>
        </is>
      </c>
      <c r="E13" s="243" t="inlineStr">
        <is>
          <t>чел.час</t>
        </is>
      </c>
      <c r="F13" s="247" t="n">
        <v>16</v>
      </c>
      <c r="G13" s="255" t="n">
        <v>15.49</v>
      </c>
      <c r="H13" s="30">
        <f>ROUND(F13*G13,2)</f>
        <v/>
      </c>
      <c r="J13" s="315" t="n"/>
      <c r="K13" s="140" t="n"/>
      <c r="L13" s="140" t="n"/>
    </row>
    <row r="14">
      <c r="A14" s="147" t="inlineStr">
        <is>
          <t>2</t>
        </is>
      </c>
      <c r="B14" s="147" t="n"/>
      <c r="C14" s="147" t="inlineStr">
        <is>
          <t>10-3-2</t>
        </is>
      </c>
      <c r="D14" s="246" t="inlineStr">
        <is>
          <t>Инженер II категории</t>
        </is>
      </c>
      <c r="E14" s="243" t="inlineStr">
        <is>
          <t>чел.час</t>
        </is>
      </c>
      <c r="F14" s="247" t="n">
        <v>16</v>
      </c>
      <c r="G14" s="255" t="n">
        <v>14.09</v>
      </c>
      <c r="H14" s="30">
        <f>ROUND(F14*G14,2)</f>
        <v/>
      </c>
      <c r="J14" s="315" t="n"/>
      <c r="K14" s="140" t="n"/>
      <c r="L14" s="140" t="n"/>
    </row>
    <row r="15">
      <c r="A15" s="147" t="inlineStr">
        <is>
          <t>3</t>
        </is>
      </c>
      <c r="B15" s="147" t="n"/>
      <c r="C15" s="147" t="inlineStr">
        <is>
          <t>1-4-2</t>
        </is>
      </c>
      <c r="D15" s="246" t="inlineStr">
        <is>
          <t>Затраты труда рабочих (средний разряд работы 4,2)</t>
        </is>
      </c>
      <c r="E15" s="243" t="inlineStr">
        <is>
          <t>чел.час</t>
        </is>
      </c>
      <c r="F15" s="316" t="n">
        <v>2.31</v>
      </c>
      <c r="G15" s="255" t="n">
        <v>9.92</v>
      </c>
      <c r="H15" s="30">
        <f>ROUND(F15*G15,2)</f>
        <v/>
      </c>
      <c r="J15" s="315" t="n"/>
      <c r="K15" s="317" t="n"/>
      <c r="L15" s="140" t="n"/>
      <c r="M15" s="140" t="n"/>
      <c r="O15" s="140" t="n"/>
    </row>
    <row r="16">
      <c r="A16" s="147" t="inlineStr">
        <is>
          <t>4</t>
        </is>
      </c>
      <c r="B16" s="147" t="n"/>
      <c r="C16" s="147" t="inlineStr">
        <is>
          <t>1-3-1</t>
        </is>
      </c>
      <c r="D16" s="246" t="inlineStr">
        <is>
          <t>Затраты труда рабочих (средний разряд работы 3,1)</t>
        </is>
      </c>
      <c r="E16" s="243" t="inlineStr">
        <is>
          <t>чел.час</t>
        </is>
      </c>
      <c r="F16" s="316" t="n">
        <v>1.03</v>
      </c>
      <c r="G16" s="255" t="n">
        <v>8.640000000000001</v>
      </c>
      <c r="H16" s="30">
        <f>ROUND(F16*G16,2)</f>
        <v/>
      </c>
      <c r="J16" s="315" t="n"/>
      <c r="K16" s="140" t="n"/>
      <c r="L16" s="140" t="n"/>
      <c r="M16" s="140" t="n"/>
    </row>
    <row r="17">
      <c r="A17" s="318" t="inlineStr">
        <is>
          <t>Затраты труда машинистов</t>
        </is>
      </c>
      <c r="B17" s="312" t="n"/>
      <c r="C17" s="312" t="n"/>
      <c r="D17" s="313" t="n"/>
      <c r="E17" s="256" t="n"/>
      <c r="F17" s="142" t="n"/>
      <c r="G17" s="166" t="n"/>
      <c r="H17" s="319">
        <f>H18</f>
        <v/>
      </c>
      <c r="L17" s="140" t="n"/>
    </row>
    <row r="18">
      <c r="A18" s="168" t="inlineStr">
        <is>
          <t>5</t>
        </is>
      </c>
      <c r="B18" s="168" t="n"/>
      <c r="C18" s="147" t="n">
        <v>2</v>
      </c>
      <c r="D18" s="246" t="inlineStr">
        <is>
          <t>Затраты труда машинистов</t>
        </is>
      </c>
      <c r="E18" s="243" t="inlineStr">
        <is>
          <t>чел.час</t>
        </is>
      </c>
      <c r="F18" s="142" t="inlineStr">
        <is>
          <t>0,37</t>
        </is>
      </c>
      <c r="G18" s="255" t="n"/>
      <c r="H18" s="166" t="n">
        <v>35.16</v>
      </c>
    </row>
    <row r="19" ht="15" customHeight="1">
      <c r="A19" s="233" t="inlineStr">
        <is>
          <t>Машины и механизмы</t>
        </is>
      </c>
      <c r="B19" s="308" t="n"/>
      <c r="C19" s="308" t="n"/>
      <c r="D19" s="309" t="n"/>
      <c r="E19" s="163" t="n"/>
      <c r="F19" s="163" t="n"/>
      <c r="G19" s="163" t="n"/>
      <c r="H19" s="320">
        <f>SUM(H20:H24)</f>
        <v/>
      </c>
      <c r="K19" s="140" t="n"/>
    </row>
    <row r="20" ht="25.5" customHeight="1">
      <c r="A20" s="147" t="inlineStr">
        <is>
          <t>6</t>
        </is>
      </c>
      <c r="B20" s="147" t="n"/>
      <c r="C20" s="142" t="inlineStr">
        <is>
          <t>91.18.01-007</t>
        </is>
      </c>
      <c r="D20" s="17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0" s="177" t="inlineStr">
        <is>
          <t>маш.час</t>
        </is>
      </c>
      <c r="F20" s="177" t="n">
        <v>0.22</v>
      </c>
      <c r="G20" s="175" t="n">
        <v>90</v>
      </c>
      <c r="H20" s="178">
        <f>ROUND(F20*G20,2)</f>
        <v/>
      </c>
      <c r="I20" s="170" t="n"/>
    </row>
    <row r="21">
      <c r="A21" s="147" t="inlineStr">
        <is>
          <t>7</t>
        </is>
      </c>
      <c r="B21" s="147" t="n"/>
      <c r="C21" s="142" t="inlineStr">
        <is>
          <t>91.05.05-014</t>
        </is>
      </c>
      <c r="D21" s="173" t="inlineStr">
        <is>
          <t>Краны на автомобильном ходу, грузоподъемность 10 т</t>
        </is>
      </c>
      <c r="E21" s="177" t="inlineStr">
        <is>
          <t>маш.час</t>
        </is>
      </c>
      <c r="F21" s="177" t="n">
        <v>0.07000000000000001</v>
      </c>
      <c r="G21" s="175" t="n">
        <v>111.99</v>
      </c>
      <c r="H21" s="178">
        <f>ROUND(F21*G21,2)</f>
        <v/>
      </c>
      <c r="I21" s="170" t="n"/>
    </row>
    <row r="22">
      <c r="A22" s="147" t="inlineStr">
        <is>
          <t>8</t>
        </is>
      </c>
      <c r="B22" s="147" t="n"/>
      <c r="C22" s="142" t="inlineStr">
        <is>
          <t>91.17.04-233</t>
        </is>
      </c>
      <c r="D22" s="173" t="inlineStr">
        <is>
          <t>Установки для сварки: ручной дуговой (постоянного тока)</t>
        </is>
      </c>
      <c r="E22" s="177" t="inlineStr">
        <is>
          <t>маш.час</t>
        </is>
      </c>
      <c r="F22" s="177" t="n">
        <v>0.71</v>
      </c>
      <c r="G22" s="175" t="n">
        <v>8.1</v>
      </c>
      <c r="H22" s="178">
        <f>ROUND(F22*G22,2)</f>
        <v/>
      </c>
      <c r="I22" s="170" t="n"/>
    </row>
    <row r="23">
      <c r="A23" s="147" t="inlineStr">
        <is>
          <t>9</t>
        </is>
      </c>
      <c r="B23" s="147" t="n"/>
      <c r="C23" s="142" t="inlineStr">
        <is>
          <t>91.14.02-001</t>
        </is>
      </c>
      <c r="D23" s="173" t="inlineStr">
        <is>
          <t>Автомобили бортовые, грузоподъемность: до 5 т</t>
        </is>
      </c>
      <c r="E23" s="177" t="inlineStr">
        <is>
          <t>маш.час</t>
        </is>
      </c>
      <c r="F23" s="177" t="n">
        <v>0.08</v>
      </c>
      <c r="G23" s="175" t="n">
        <v>65.70999999999999</v>
      </c>
      <c r="H23" s="178">
        <f>ROUND(F23*G23,2)</f>
        <v/>
      </c>
      <c r="I23" s="170" t="n"/>
    </row>
    <row r="24" ht="25.5" customHeight="1">
      <c r="A24" s="147" t="inlineStr">
        <is>
          <t>10</t>
        </is>
      </c>
      <c r="B24" s="147" t="n"/>
      <c r="C24" s="142" t="inlineStr">
        <is>
          <t>91.04.01-041</t>
        </is>
      </c>
      <c r="D24" s="173" t="inlineStr">
        <is>
          <t>Молотки бурильные: легкие при работе от передвижных компрессорных станций</t>
        </is>
      </c>
      <c r="E24" s="177" t="inlineStr">
        <is>
          <t>маш.час</t>
        </is>
      </c>
      <c r="F24" s="177" t="n">
        <v>0.22</v>
      </c>
      <c r="G24" s="175" t="n">
        <v>2.99</v>
      </c>
      <c r="H24" s="178">
        <f>ROUND(F24*G24,2)</f>
        <v/>
      </c>
      <c r="I24" s="170" t="n"/>
    </row>
    <row r="25" ht="15" customHeight="1">
      <c r="A25" s="234" t="inlineStr">
        <is>
          <t>Оборудование</t>
        </is>
      </c>
      <c r="B25" s="308" t="n"/>
      <c r="C25" s="308" t="n"/>
      <c r="D25" s="309" t="n"/>
      <c r="E25" s="171" t="n"/>
      <c r="F25" s="172" t="n"/>
      <c r="G25" s="166" t="n"/>
      <c r="H25" s="320">
        <f>SUM(H26:H26)</f>
        <v/>
      </c>
      <c r="I25" s="170" t="n"/>
      <c r="K25" s="127" t="n"/>
    </row>
    <row r="26" ht="41.45" customHeight="1">
      <c r="A26" s="147" t="inlineStr">
        <is>
          <t>11</t>
        </is>
      </c>
      <c r="B26" s="147" t="n"/>
      <c r="C26" s="142" t="inlineStr">
        <is>
          <t>Прайс из СД ОП</t>
        </is>
      </c>
      <c r="D26" s="173" t="inlineStr">
        <is>
          <t>Устройство промежуточного сбора, хранения и передачи данных учета электроэнергии для учета электроэнергии на КТП (ТП-6(10)/0,4 кВ) УСПД СЕ 805М RP01</t>
        </is>
      </c>
      <c r="E26" s="256" t="inlineStr">
        <is>
          <t>шт.</t>
        </is>
      </c>
      <c r="F26" s="142" t="inlineStr">
        <is>
          <t>1</t>
        </is>
      </c>
      <c r="G26" s="181" t="n">
        <v>12052.93</v>
      </c>
      <c r="H26" s="178">
        <f>ROUND(F26*G26,2)</f>
        <v/>
      </c>
      <c r="I26" s="170" t="n"/>
    </row>
    <row r="27" ht="15" customHeight="1">
      <c r="A27" s="233" t="inlineStr">
        <is>
          <t>Материалы</t>
        </is>
      </c>
      <c r="B27" s="308" t="n"/>
      <c r="C27" s="308" t="n"/>
      <c r="D27" s="309" t="n"/>
      <c r="E27" s="174" t="n"/>
      <c r="F27" s="174" t="n"/>
      <c r="G27" s="163" t="n"/>
      <c r="H27" s="320">
        <f>SUM(H28:H31)</f>
        <v/>
      </c>
    </row>
    <row r="28" ht="33.75" customHeight="1">
      <c r="A28" s="147" t="inlineStr">
        <is>
          <t>12</t>
        </is>
      </c>
      <c r="B28" s="147" t="n"/>
      <c r="C28" s="142" t="inlineStr">
        <is>
          <t>999-9950</t>
        </is>
      </c>
      <c r="D28" s="173" t="inlineStr">
        <is>
          <t>Вспомогательные ненормируемые ресурсы (2% от Оплаты труда рабочих)</t>
        </is>
      </c>
      <c r="E28" s="177" t="inlineStr">
        <is>
          <t>руб.</t>
        </is>
      </c>
      <c r="F28" s="175" t="n">
        <v>10.12</v>
      </c>
      <c r="G28" s="175" t="n">
        <v>1</v>
      </c>
      <c r="H28" s="178">
        <f>ROUND(F28*G28,2)</f>
        <v/>
      </c>
      <c r="I28" s="170">
        <f>H28/$H$27</f>
        <v/>
      </c>
    </row>
    <row r="29" ht="25.5" customHeight="1">
      <c r="A29" s="147" t="inlineStr">
        <is>
          <t>13</t>
        </is>
      </c>
      <c r="B29" s="147" t="n"/>
      <c r="C29" s="142" t="inlineStr">
        <is>
          <t>01.7.11.07-0034</t>
        </is>
      </c>
      <c r="D29" s="173" t="inlineStr">
        <is>
          <t>Электроды диаметром: 4 мм Э42А</t>
        </is>
      </c>
      <c r="E29" s="177" t="inlineStr">
        <is>
          <t>кг</t>
        </is>
      </c>
      <c r="F29" s="175" t="n">
        <v>0.1</v>
      </c>
      <c r="G29" s="175" t="n">
        <v>10.57</v>
      </c>
      <c r="H29" s="178">
        <f>ROUND(F29*G29,2)</f>
        <v/>
      </c>
      <c r="I29" s="170">
        <f>H29/$H$27</f>
        <v/>
      </c>
    </row>
    <row r="30">
      <c r="A30" s="147" t="inlineStr">
        <is>
          <t>14</t>
        </is>
      </c>
      <c r="B30" s="147" t="n"/>
      <c r="C30" s="142" t="inlineStr">
        <is>
          <t>01.7.15.03-0042</t>
        </is>
      </c>
      <c r="D30" s="173" t="inlineStr">
        <is>
          <t>Болты с гайками и шайбами строительные</t>
        </is>
      </c>
      <c r="E30" s="177" t="inlineStr">
        <is>
          <t>кг</t>
        </is>
      </c>
      <c r="F30" s="175" t="n">
        <v>0.1</v>
      </c>
      <c r="G30" s="175" t="n">
        <v>9.039999999999999</v>
      </c>
      <c r="H30" s="178">
        <f>ROUND(F30*G30,2)</f>
        <v/>
      </c>
      <c r="I30" s="170">
        <f>H30/$H$27</f>
        <v/>
      </c>
    </row>
    <row r="31">
      <c r="A31" s="147" t="inlineStr">
        <is>
          <t>15</t>
        </is>
      </c>
      <c r="B31" s="147" t="n"/>
      <c r="C31" s="142" t="inlineStr">
        <is>
          <t>14.4.02.09-0001</t>
        </is>
      </c>
      <c r="D31" s="173" t="inlineStr">
        <is>
          <t>Краска</t>
        </is>
      </c>
      <c r="E31" s="177" t="inlineStr">
        <is>
          <t>кг</t>
        </is>
      </c>
      <c r="F31" s="175" t="n">
        <v>0.02</v>
      </c>
      <c r="G31" s="175" t="n">
        <v>28.6</v>
      </c>
      <c r="H31" s="178">
        <f>ROUND(F31*G31,2)</f>
        <v/>
      </c>
      <c r="I31" s="170">
        <f>H31/$H$27</f>
        <v/>
      </c>
    </row>
    <row r="32">
      <c r="A32" s="302" t="n"/>
      <c r="B32" s="302" t="n"/>
      <c r="C32" s="303" t="n"/>
      <c r="D32" s="304" t="n"/>
      <c r="E32" s="305" t="n"/>
      <c r="F32" s="306" t="n"/>
      <c r="G32" s="306" t="n"/>
      <c r="H32" s="307" t="n"/>
      <c r="I32" s="170" t="n"/>
    </row>
    <row r="33">
      <c r="A33" s="302" t="n"/>
      <c r="B33" s="302" t="n"/>
      <c r="C33" s="303" t="n"/>
      <c r="D33" s="304" t="n"/>
      <c r="E33" s="305" t="n"/>
      <c r="F33" s="306" t="n"/>
      <c r="G33" s="306" t="n"/>
      <c r="H33" s="307" t="n"/>
      <c r="I33" s="170" t="n"/>
    </row>
    <row r="34">
      <c r="C34" s="303" t="n"/>
      <c r="D34" s="304" t="n"/>
      <c r="E34" s="136" t="n"/>
      <c r="F34" s="136" t="n"/>
      <c r="G34" s="138" t="n"/>
      <c r="H34" s="307" t="n"/>
    </row>
    <row r="36" ht="14.25" customFormat="1" customHeight="1" s="12">
      <c r="A36" s="4" t="inlineStr">
        <is>
          <t>Составил ______________________    А.Р, Маркова</t>
        </is>
      </c>
    </row>
    <row r="37" ht="14.25" customFormat="1" customHeight="1" s="12">
      <c r="A37" s="31" t="inlineStr">
        <is>
          <t xml:space="preserve">                         (подпись, инициалы, фамилия)</t>
        </is>
      </c>
    </row>
    <row r="38" ht="14.25" customFormat="1" customHeight="1" s="12">
      <c r="A38" s="4" t="n"/>
    </row>
    <row r="39" ht="14.25" customFormat="1" customHeight="1" s="12">
      <c r="A39" s="4" t="inlineStr">
        <is>
          <t>Проверил ______________________        А.В. Костянецкая</t>
        </is>
      </c>
    </row>
    <row r="40" ht="14.25" customFormat="1" customHeight="1" s="12">
      <c r="A40" s="31" t="inlineStr">
        <is>
          <t xml:space="preserve">                        (подпись, инициалы, фамилия)</t>
        </is>
      </c>
    </row>
  </sheetData>
  <mergeCells count="16">
    <mergeCell ref="C9:C10"/>
    <mergeCell ref="A17:D17"/>
    <mergeCell ref="B9:B10"/>
    <mergeCell ref="A27:D27"/>
    <mergeCell ref="E9:E10"/>
    <mergeCell ref="D9:D10"/>
    <mergeCell ref="F9:F10"/>
    <mergeCell ref="A9:A10"/>
    <mergeCell ref="A12:D12"/>
    <mergeCell ref="A2:H2"/>
    <mergeCell ref="A6:H7"/>
    <mergeCell ref="A25:D25"/>
    <mergeCell ref="C4:H4"/>
    <mergeCell ref="A19:D19"/>
    <mergeCell ref="A3:I3"/>
    <mergeCell ref="G9:H9"/>
  </mergeCells>
  <pageMargins left="0.7086614173228347" right="0.7086614173228347" top="0.7480314960629921" bottom="0.7480314960629921" header="0.3149606299212598" footer="0.3149606299212598"/>
  <pageSetup orientation="landscape" paperSize="9" scale="77" fitToHeight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25" t="n"/>
      <c r="C6" s="4" t="n"/>
      <c r="D6" s="4" t="n"/>
      <c r="E6" s="4" t="n"/>
    </row>
    <row r="7" ht="25.5" customHeight="1">
      <c r="B7" s="238" t="inlineStr">
        <is>
          <t>Наименование разрабатываемой расценки УНЦ — ИВКЭ для ТП (СП, РП, РТП), РУ 6-20 кВ</t>
        </is>
      </c>
    </row>
    <row r="8">
      <c r="B8" s="239" t="inlineStr">
        <is>
          <t>Единица измерения  — 1 ед</t>
        </is>
      </c>
    </row>
    <row r="9">
      <c r="B9" s="125" t="n"/>
      <c r="C9" s="4" t="n"/>
      <c r="D9" s="4" t="n"/>
      <c r="E9" s="4" t="n"/>
    </row>
    <row r="10" ht="51" customHeight="1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0">
        <f>'Прил.5 Расчет СМР и ОБ'!J16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0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0">
        <f>'Прил.5 Расчет СМР и ОБ'!J27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0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0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0">
        <f>'Прил.5 Расчет СМР и ОБ'!J40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0">
        <f>'Прил.5 Расчет СМР и ОБ'!J43</f>
        <v/>
      </c>
      <c r="D17" s="26">
        <f>C17/$C$24</f>
        <v/>
      </c>
      <c r="E17" s="26">
        <f>C17/$C$40</f>
        <v/>
      </c>
      <c r="G17" s="321" t="n"/>
    </row>
    <row r="18">
      <c r="B18" s="24" t="inlineStr">
        <is>
          <t>МАТЕРИАЛЫ, ВСЕГО:</t>
        </is>
      </c>
      <c r="C18" s="150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0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0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ОБ'!D47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0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ОБ'!D46</f>
        <v/>
      </c>
      <c r="D23" s="26" t="n"/>
      <c r="E23" s="24" t="n"/>
    </row>
    <row r="24">
      <c r="B24" s="24" t="inlineStr">
        <is>
          <t>ВСЕГО СМР с НР и СП</t>
        </is>
      </c>
      <c r="C24" s="150">
        <f>C19+C20+C22</f>
        <v/>
      </c>
      <c r="D24" s="26">
        <f>C24/$C$24</f>
        <v/>
      </c>
      <c r="E24" s="26">
        <f>C24/$C$40</f>
        <v/>
      </c>
    </row>
    <row r="25" ht="25.5" customHeight="1">
      <c r="B25" s="24" t="inlineStr">
        <is>
          <t>ВСЕГО стоимость оборудования, в том числе</t>
        </is>
      </c>
      <c r="C25" s="150">
        <f>'Прил.5 Расчет СМР и ОБ'!J34</f>
        <v/>
      </c>
      <c r="D25" s="26" t="n"/>
      <c r="E25" s="26">
        <f>C25/$C$40</f>
        <v/>
      </c>
    </row>
    <row r="26" ht="25.5" customHeight="1">
      <c r="B26" s="24" t="inlineStr">
        <is>
          <t>стоимость оборудования технологического</t>
        </is>
      </c>
      <c r="C26" s="150">
        <f>C25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>
      <c r="B29" s="24" t="inlineStr">
        <is>
          <t>Временные здания и сооружения - 2,5%</t>
        </is>
      </c>
      <c r="C29" s="25">
        <f>ROUND(C24*2.5%,2)</f>
        <v/>
      </c>
      <c r="D29" s="24" t="n"/>
      <c r="E29" s="26">
        <f>C29/$C$40</f>
        <v/>
      </c>
    </row>
    <row r="30" ht="38.25" customHeight="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 ht="25.5" customHeight="1">
      <c r="B31" s="24" t="inlineStr">
        <is>
          <t>Пусконаладочные работы (на основании СД ОП)</t>
        </is>
      </c>
      <c r="C31" s="182" t="n">
        <v>9896.16</v>
      </c>
      <c r="D31" s="24" t="n"/>
      <c r="E31" s="26">
        <f>C31/$C$40</f>
        <v/>
      </c>
    </row>
    <row r="32" ht="25.5" customHeight="1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ROUND(C27*0%,2)</f>
        <v/>
      </c>
      <c r="D34" s="24" t="n"/>
      <c r="E34" s="26">
        <f>C34/$C$40</f>
        <v/>
      </c>
    </row>
    <row r="35" ht="76.5" customHeight="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27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27" t="n"/>
    </row>
    <row r="38" ht="38.25" customHeight="1">
      <c r="B38" s="24" t="inlineStr">
        <is>
          <t>ИТОГО (СМР+ОБОРУДОВАНИЕ+ПРОЧ. ЗАТР., УЧТЕННЫЕ ПОКАЗАТЕЛЕМ)</t>
        </is>
      </c>
      <c r="C38" s="150">
        <f>C27+C32+C33+C34+C35+C29+C31+C30+C36+C37</f>
        <v/>
      </c>
      <c r="D38" s="24" t="n"/>
      <c r="E38" s="26">
        <f>C38/$C$40</f>
        <v/>
      </c>
    </row>
    <row r="39" ht="13.5" customHeight="1">
      <c r="B39" s="24" t="inlineStr">
        <is>
          <t>Непредвиденные расходы</t>
        </is>
      </c>
      <c r="C39" s="150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0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0">
        <f>C40/'Прил.5 Расчет СМР и ОБ'!E50</f>
        <v/>
      </c>
      <c r="D41" s="24" t="n"/>
      <c r="E41" s="24" t="n"/>
    </row>
    <row r="42">
      <c r="B42" s="128" t="n"/>
      <c r="C42" s="4" t="n"/>
      <c r="D42" s="4" t="n"/>
      <c r="E42" s="4" t="n"/>
    </row>
    <row r="43">
      <c r="B43" s="12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2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28" t="n"/>
      <c r="C45" s="4" t="n"/>
      <c r="D45" s="4" t="n"/>
      <c r="E45" s="4" t="n"/>
    </row>
    <row r="46">
      <c r="B46" s="12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16" zoomScale="80" zoomScaleNormal="100" zoomScaleSheetLayoutView="80" workbookViewId="0">
      <selection activeCell="E52" sqref="E52"/>
    </sheetView>
  </sheetViews>
  <sheetFormatPr baseColWidth="8" defaultColWidth="9.140625" defaultRowHeight="15" outlineLevelRow="1"/>
  <cols>
    <col width="9.14062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2.42578125" customWidth="1" style="12" min="12" max="12"/>
  </cols>
  <sheetData>
    <row r="1">
      <c r="M1" s="12" t="n"/>
      <c r="N1" s="12" t="n"/>
    </row>
    <row r="2" ht="15.75" customHeight="1">
      <c r="H2" s="24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21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58" t="n"/>
      <c r="D5" s="213" t="n"/>
      <c r="E5" s="213" t="n"/>
      <c r="F5" s="213" t="n"/>
      <c r="G5" s="213" t="n"/>
      <c r="H5" s="213" t="n"/>
      <c r="I5" s="213" t="n"/>
      <c r="J5" s="213" t="n"/>
    </row>
    <row r="6" ht="21" customFormat="1" customHeight="1" s="4">
      <c r="A6" s="216" t="inlineStr">
        <is>
          <t>Наименование разрабатываемого показателя УНЦ</t>
        </is>
      </c>
      <c r="D6" s="216" t="inlineStr">
        <is>
          <t>ИВКЭ для ТП (СП, РП, РТП), РУ 6-20 кВ</t>
        </is>
      </c>
    </row>
    <row r="7" ht="25.5" customFormat="1" customHeight="1" s="4">
      <c r="A7" s="216" t="inlineStr">
        <is>
          <t>Единица измерения  — 1 ед.</t>
        </is>
      </c>
      <c r="I7" s="238" t="n"/>
      <c r="J7" s="238" t="n"/>
    </row>
    <row r="8" ht="12.75" customFormat="1" customHeight="1" s="4">
      <c r="A8" s="216" t="n"/>
    </row>
    <row r="9" ht="30.75" customHeight="1">
      <c r="A9" s="243" t="inlineStr">
        <is>
          <t>№ пп.</t>
        </is>
      </c>
      <c r="B9" s="243" t="inlineStr">
        <is>
          <t>Код ресурса</t>
        </is>
      </c>
      <c r="C9" s="243" t="inlineStr">
        <is>
          <t>Наименование</t>
        </is>
      </c>
      <c r="D9" s="243" t="inlineStr">
        <is>
          <t>Ед. изм.</t>
        </is>
      </c>
      <c r="E9" s="243" t="inlineStr">
        <is>
          <t>Кол-во единиц по проектным данным</t>
        </is>
      </c>
      <c r="F9" s="243" t="inlineStr">
        <is>
          <t>Сметная стоимость в ценах на 01.01.2000 (руб.)</t>
        </is>
      </c>
      <c r="G9" s="309" t="n"/>
      <c r="H9" s="243" t="inlineStr">
        <is>
          <t>Удельный вес, %</t>
        </is>
      </c>
      <c r="I9" s="243" t="inlineStr">
        <is>
          <t>Сметная стоимость в ценах на 01.01.2023 (руб.)</t>
        </is>
      </c>
      <c r="J9" s="309" t="n"/>
      <c r="M9" s="12" t="n"/>
      <c r="N9" s="12" t="n"/>
    </row>
    <row r="10" ht="29.25" customHeight="1">
      <c r="A10" s="311" t="n"/>
      <c r="B10" s="311" t="n"/>
      <c r="C10" s="311" t="n"/>
      <c r="D10" s="311" t="n"/>
      <c r="E10" s="311" t="n"/>
      <c r="F10" s="243" t="inlineStr">
        <is>
          <t>на ед. изм.</t>
        </is>
      </c>
      <c r="G10" s="243" t="inlineStr">
        <is>
          <t>общая</t>
        </is>
      </c>
      <c r="H10" s="311" t="n"/>
      <c r="I10" s="243" t="inlineStr">
        <is>
          <t>на ед. изм.</t>
        </is>
      </c>
      <c r="J10" s="243" t="inlineStr">
        <is>
          <t>общая</t>
        </is>
      </c>
      <c r="M10" s="12" t="n"/>
      <c r="N10" s="12" t="n"/>
    </row>
    <row r="11">
      <c r="A11" s="243" t="n">
        <v>1</v>
      </c>
      <c r="B11" s="243" t="n">
        <v>2</v>
      </c>
      <c r="C11" s="243" t="n">
        <v>3</v>
      </c>
      <c r="D11" s="243" t="n">
        <v>4</v>
      </c>
      <c r="E11" s="243" t="n">
        <v>5</v>
      </c>
      <c r="F11" s="243" t="n">
        <v>6</v>
      </c>
      <c r="G11" s="243" t="n">
        <v>7</v>
      </c>
      <c r="H11" s="243" t="n">
        <v>8</v>
      </c>
      <c r="I11" s="244" t="n">
        <v>9</v>
      </c>
      <c r="J11" s="244" t="n">
        <v>10</v>
      </c>
      <c r="M11" s="12" t="n"/>
      <c r="N11" s="12" t="n"/>
    </row>
    <row r="12">
      <c r="A12" s="243" t="n"/>
      <c r="B12" s="250" t="inlineStr">
        <is>
          <t>Затраты труда рабочих-строителей</t>
        </is>
      </c>
      <c r="C12" s="308" t="n"/>
      <c r="D12" s="308" t="n"/>
      <c r="E12" s="308" t="n"/>
      <c r="F12" s="308" t="n"/>
      <c r="G12" s="308" t="n"/>
      <c r="H12" s="309" t="n"/>
      <c r="I12" s="152" t="n"/>
      <c r="J12" s="152" t="n"/>
    </row>
    <row r="13" ht="25.5" customHeight="1">
      <c r="A13" s="243" t="n">
        <v>1</v>
      </c>
      <c r="B13" s="147" t="inlineStr">
        <is>
          <t>1-3-9</t>
        </is>
      </c>
      <c r="C13" s="246" t="inlineStr">
        <is>
          <t>Затраты труда рабочих-строителей среднего разряда (3,9)</t>
        </is>
      </c>
      <c r="D13" s="243" t="inlineStr">
        <is>
          <t>чел.-ч.</t>
        </is>
      </c>
      <c r="E13" s="322" t="n">
        <v>3.34</v>
      </c>
      <c r="F13" s="30" t="n">
        <v>9.51</v>
      </c>
      <c r="G13" s="30">
        <f>ROUND(E13*F13,2)</f>
        <v/>
      </c>
      <c r="H13" s="154">
        <f>G13/G16</f>
        <v/>
      </c>
      <c r="I13" s="30">
        <f>'ФОТр.тек.'!E13</f>
        <v/>
      </c>
      <c r="J13" s="30">
        <f>ROUND(I13*E13,2)</f>
        <v/>
      </c>
    </row>
    <row r="14">
      <c r="A14" s="243" t="n">
        <v>2</v>
      </c>
      <c r="B14" s="147" t="inlineStr">
        <is>
          <t>10-30-1</t>
        </is>
      </c>
      <c r="C14" s="246" t="inlineStr">
        <is>
          <t>Инженер I категории</t>
        </is>
      </c>
      <c r="D14" s="243" t="inlineStr">
        <is>
          <t>чел.-ч.</t>
        </is>
      </c>
      <c r="E14" s="322" t="n">
        <v>16</v>
      </c>
      <c r="F14" s="30" t="n">
        <v>15.49</v>
      </c>
      <c r="G14" s="30">
        <f>ROUND(E14*F14,2)</f>
        <v/>
      </c>
      <c r="H14" s="154">
        <f>G14/G16</f>
        <v/>
      </c>
      <c r="I14" s="30">
        <f>'ФОТр.тек.'!E21</f>
        <v/>
      </c>
      <c r="J14" s="30">
        <f>ROUND(I14*E14,2)</f>
        <v/>
      </c>
    </row>
    <row r="15">
      <c r="A15" s="243" t="n">
        <v>3</v>
      </c>
      <c r="B15" s="147" t="inlineStr">
        <is>
          <t>10-30-2</t>
        </is>
      </c>
      <c r="C15" s="246" t="inlineStr">
        <is>
          <t>Инженер II категории</t>
        </is>
      </c>
      <c r="D15" s="243" t="inlineStr">
        <is>
          <t>чел.-ч.</t>
        </is>
      </c>
      <c r="E15" s="316" t="n">
        <v>16</v>
      </c>
      <c r="F15" s="30" t="n">
        <v>14.09</v>
      </c>
      <c r="G15" s="30">
        <f>ROUND(E15*F15,2)</f>
        <v/>
      </c>
      <c r="H15" s="154">
        <f>G15/G16</f>
        <v/>
      </c>
      <c r="I15" s="30">
        <f>'ФОТр.тек.'!E29</f>
        <v/>
      </c>
      <c r="J15" s="30">
        <f>ROUND(I15*E15,2)</f>
        <v/>
      </c>
    </row>
    <row r="16" ht="25.5" customFormat="1" customHeight="1" s="12">
      <c r="A16" s="243" t="n"/>
      <c r="B16" s="243" t="n"/>
      <c r="C16" s="250" t="inlineStr">
        <is>
          <t>Итого по разделу "Затраты труда рабочих-строителей"</t>
        </is>
      </c>
      <c r="D16" s="243" t="inlineStr">
        <is>
          <t>чел.-ч.</t>
        </is>
      </c>
      <c r="E16" s="322">
        <f>SUM(E13:E15)</f>
        <v/>
      </c>
      <c r="F16" s="30" t="n"/>
      <c r="G16" s="30">
        <f>SUM(G13:G15)</f>
        <v/>
      </c>
      <c r="H16" s="249" t="n">
        <v>1</v>
      </c>
      <c r="I16" s="152" t="n"/>
      <c r="J16" s="30">
        <f>SUM(J13:J15)</f>
        <v/>
      </c>
    </row>
    <row r="17" ht="14.25" customFormat="1" customHeight="1" s="12">
      <c r="A17" s="243" t="n"/>
      <c r="B17" s="246" t="inlineStr">
        <is>
          <t>Затраты труда машинистов</t>
        </is>
      </c>
      <c r="C17" s="308" t="n"/>
      <c r="D17" s="308" t="n"/>
      <c r="E17" s="308" t="n"/>
      <c r="F17" s="308" t="n"/>
      <c r="G17" s="308" t="n"/>
      <c r="H17" s="309" t="n"/>
      <c r="I17" s="152" t="n"/>
      <c r="J17" s="152" t="n"/>
    </row>
    <row r="18" ht="14.25" customFormat="1" customHeight="1" s="12">
      <c r="A18" s="243" t="n">
        <v>4</v>
      </c>
      <c r="B18" s="243" t="n">
        <v>2</v>
      </c>
      <c r="C18" s="246" t="inlineStr">
        <is>
          <t>Затраты труда машинистов</t>
        </is>
      </c>
      <c r="D18" s="243" t="inlineStr">
        <is>
          <t>чел.-ч.</t>
        </is>
      </c>
      <c r="E18" s="322" t="n">
        <v>0.37</v>
      </c>
      <c r="F18" s="30">
        <f>G18/E18</f>
        <v/>
      </c>
      <c r="G18" s="30">
        <f>'Прил. 3'!H18</f>
        <v/>
      </c>
      <c r="H18" s="249" t="n">
        <v>1</v>
      </c>
      <c r="I18" s="30">
        <f>ROUND(F18*Прил.10!D11,2)</f>
        <v/>
      </c>
      <c r="J18" s="30">
        <f>ROUND(I18*E18,2)</f>
        <v/>
      </c>
    </row>
    <row r="19" ht="14.25" customFormat="1" customHeight="1" s="12">
      <c r="A19" s="243" t="n"/>
      <c r="B19" s="250" t="inlineStr">
        <is>
          <t>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52" t="n"/>
      <c r="J19" s="152" t="n"/>
    </row>
    <row r="20" ht="14.25" customFormat="1" customHeight="1" s="12">
      <c r="A20" s="243" t="n"/>
      <c r="B20" s="246" t="inlineStr">
        <is>
          <t>Основные машины и механизмы</t>
        </is>
      </c>
      <c r="C20" s="308" t="n"/>
      <c r="D20" s="308" t="n"/>
      <c r="E20" s="308" t="n"/>
      <c r="F20" s="308" t="n"/>
      <c r="G20" s="308" t="n"/>
      <c r="H20" s="309" t="n"/>
      <c r="I20" s="152" t="n"/>
      <c r="J20" s="152" t="n"/>
    </row>
    <row r="21" ht="38.25" customFormat="1" customHeight="1" s="12">
      <c r="A21" s="243" t="n">
        <v>5</v>
      </c>
      <c r="B21" s="147" t="inlineStr">
        <is>
          <t>91.18.01-007</t>
        </is>
      </c>
      <c r="C21" s="24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7" t="inlineStr">
        <is>
          <t>маш.час</t>
        </is>
      </c>
      <c r="E21" s="323" t="n">
        <v>0.22</v>
      </c>
      <c r="F21" s="176" t="n">
        <v>90</v>
      </c>
      <c r="G21" s="30">
        <f>ROUND(E21*F21,2)</f>
        <v/>
      </c>
      <c r="H21" s="154">
        <f>G21/$G$28</f>
        <v/>
      </c>
      <c r="I21" s="30">
        <f>ROUND(F21*Прил.10!D12,2)</f>
        <v/>
      </c>
      <c r="J21" s="30">
        <f>ROUND(I21*E21,2)</f>
        <v/>
      </c>
    </row>
    <row r="22" ht="25.5" customFormat="1" customHeight="1" s="12">
      <c r="A22" s="243" t="n">
        <v>6</v>
      </c>
      <c r="B22" s="147" t="inlineStr">
        <is>
          <t>91.05.05-014</t>
        </is>
      </c>
      <c r="C22" s="246" t="inlineStr">
        <is>
          <t>Краны на автомобильном ходу, грузоподъемность 10 т</t>
        </is>
      </c>
      <c r="D22" s="7" t="inlineStr">
        <is>
          <t>маш.час</t>
        </is>
      </c>
      <c r="E22" s="323" t="n">
        <v>0.07000000000000001</v>
      </c>
      <c r="F22" s="176" t="n">
        <v>111.99</v>
      </c>
      <c r="G22" s="30">
        <f>ROUND(E22*F22,2)</f>
        <v/>
      </c>
      <c r="H22" s="154">
        <f>G22/$G$28</f>
        <v/>
      </c>
      <c r="I22" s="30">
        <f>ROUND(F22*Прил.10!$D$12,2)</f>
        <v/>
      </c>
      <c r="J22" s="30">
        <f>ROUND(I22*E22,2)</f>
        <v/>
      </c>
    </row>
    <row r="23" ht="25.5" customFormat="1" customHeight="1" s="12">
      <c r="A23" s="243" t="n">
        <v>7</v>
      </c>
      <c r="B23" s="147" t="inlineStr">
        <is>
          <t>91.17.04-233</t>
        </is>
      </c>
      <c r="C23" s="246" t="inlineStr">
        <is>
          <t>Установки для сварки: ручной дуговой (постоянного тока)</t>
        </is>
      </c>
      <c r="D23" s="7" t="inlineStr">
        <is>
          <t>маш.час</t>
        </is>
      </c>
      <c r="E23" s="323" t="n">
        <v>0.71</v>
      </c>
      <c r="F23" s="176" t="n">
        <v>8.1</v>
      </c>
      <c r="G23" s="30">
        <f>ROUND(E23*F23,2)</f>
        <v/>
      </c>
      <c r="H23" s="154">
        <f>G23/$G$28</f>
        <v/>
      </c>
      <c r="I23" s="30">
        <f>ROUND(F23*Прил.10!$D$12,2)</f>
        <v/>
      </c>
      <c r="J23" s="30">
        <f>ROUND(I23*E23,2)</f>
        <v/>
      </c>
    </row>
    <row r="24" ht="25.5" customFormat="1" customHeight="1" s="12">
      <c r="A24" s="243" t="n">
        <v>8</v>
      </c>
      <c r="B24" s="147" t="inlineStr">
        <is>
          <t>91.14.02-001</t>
        </is>
      </c>
      <c r="C24" s="246" t="inlineStr">
        <is>
          <t>Автомобили бортовые, грузоподъемность: до 5 т</t>
        </is>
      </c>
      <c r="D24" s="7" t="inlineStr">
        <is>
          <t>маш.час</t>
        </is>
      </c>
      <c r="E24" s="323" t="n">
        <v>0.08</v>
      </c>
      <c r="F24" s="176" t="n">
        <v>65.70999999999999</v>
      </c>
      <c r="G24" s="30">
        <f>ROUND(E24*F24,2)</f>
        <v/>
      </c>
      <c r="H24" s="154">
        <f>G24/$G$28</f>
        <v/>
      </c>
      <c r="I24" s="30">
        <f>ROUND(F24*Прил.10!$D$12,2)</f>
        <v/>
      </c>
      <c r="J24" s="30">
        <f>ROUND(I24*E24,2)</f>
        <v/>
      </c>
    </row>
    <row r="25" ht="19.5" customFormat="1" customHeight="1" s="12">
      <c r="A25" s="243" t="n"/>
      <c r="B25" s="243" t="n"/>
      <c r="C25" s="246" t="inlineStr">
        <is>
          <t>Итого основные машины и механизмы</t>
        </is>
      </c>
      <c r="D25" s="243" t="n"/>
      <c r="E25" s="316" t="n"/>
      <c r="F25" s="30" t="n"/>
      <c r="G25" s="30">
        <f>SUM(G21:G24)</f>
        <v/>
      </c>
      <c r="H25" s="249">
        <f>G25/G28</f>
        <v/>
      </c>
      <c r="I25" s="155" t="n"/>
      <c r="J25" s="30">
        <f>SUM(J21:J24)</f>
        <v/>
      </c>
    </row>
    <row r="26" hidden="1" outlineLevel="1" ht="38.25" customFormat="1" customHeight="1" s="12">
      <c r="A26" s="243" t="n">
        <v>9</v>
      </c>
      <c r="B26" s="147" t="inlineStr">
        <is>
          <t>91.04.01-041</t>
        </is>
      </c>
      <c r="C26" s="246" t="inlineStr">
        <is>
          <t>Молотки бурильные: легкие при работе от передвижных компрессорных станций</t>
        </is>
      </c>
      <c r="D26" s="7" t="inlineStr">
        <is>
          <t>маш.час</t>
        </is>
      </c>
      <c r="E26" s="323" t="n">
        <v>0.22</v>
      </c>
      <c r="F26" s="176" t="n">
        <v>2.99</v>
      </c>
      <c r="G26" s="30">
        <f>ROUND(E26*F26,2)</f>
        <v/>
      </c>
      <c r="H26" s="154">
        <f>G26/$G$28</f>
        <v/>
      </c>
      <c r="I26" s="30">
        <f>ROUND(F26*Прил.10!$D$12,2)</f>
        <v/>
      </c>
      <c r="J26" s="30">
        <f>ROUND(I26*E26,2)</f>
        <v/>
      </c>
    </row>
    <row r="27" collapsed="1" ht="14.25" customFormat="1" customHeight="1" s="12">
      <c r="A27" s="243" t="n"/>
      <c r="B27" s="243" t="n"/>
      <c r="C27" s="246" t="inlineStr">
        <is>
          <t>Итого прочие машины и механизмы</t>
        </is>
      </c>
      <c r="D27" s="243" t="n"/>
      <c r="E27" s="247" t="n"/>
      <c r="F27" s="30" t="n"/>
      <c r="G27" s="155">
        <f>SUM(G26:G26)</f>
        <v/>
      </c>
      <c r="H27" s="154">
        <f>G27/G28</f>
        <v/>
      </c>
      <c r="I27" s="30" t="n"/>
      <c r="J27" s="30">
        <f>SUM(J26:J26)</f>
        <v/>
      </c>
    </row>
    <row r="28" ht="25.5" customFormat="1" customHeight="1" s="12">
      <c r="A28" s="243" t="n"/>
      <c r="B28" s="243" t="n"/>
      <c r="C28" s="250" t="inlineStr">
        <is>
          <t>Итого по разделу «Машины и механизмы»</t>
        </is>
      </c>
      <c r="D28" s="243" t="n"/>
      <c r="E28" s="247" t="n"/>
      <c r="F28" s="30" t="n"/>
      <c r="G28" s="30">
        <f>G27+G25</f>
        <v/>
      </c>
      <c r="H28" s="156" t="n">
        <v>1</v>
      </c>
      <c r="I28" s="157" t="n"/>
      <c r="J28" s="158">
        <f>J27+J25</f>
        <v/>
      </c>
    </row>
    <row r="29">
      <c r="A29" s="243" t="n"/>
      <c r="B29" s="250" t="inlineStr">
        <is>
          <t xml:space="preserve">Оборудование </t>
        </is>
      </c>
      <c r="C29" s="308" t="n"/>
      <c r="D29" s="308" t="n"/>
      <c r="E29" s="308" t="n"/>
      <c r="F29" s="308" t="n"/>
      <c r="G29" s="308" t="n"/>
      <c r="H29" s="308" t="n"/>
      <c r="I29" s="308" t="n"/>
      <c r="J29" s="309" t="n"/>
    </row>
    <row r="30">
      <c r="A30" s="243" t="n"/>
      <c r="B30" s="246" t="inlineStr">
        <is>
          <t>Основное оборудование</t>
        </is>
      </c>
      <c r="C30" s="308" t="n"/>
      <c r="D30" s="308" t="n"/>
      <c r="E30" s="308" t="n"/>
      <c r="F30" s="308" t="n"/>
      <c r="G30" s="308" t="n"/>
      <c r="H30" s="309" t="n"/>
      <c r="I30" s="152" t="n"/>
      <c r="J30" s="152" t="n"/>
    </row>
    <row r="31" ht="38.25" customHeight="1">
      <c r="A31" s="243" t="n">
        <v>10</v>
      </c>
      <c r="B31" s="147" t="inlineStr">
        <is>
          <t>БЦ.51.16</t>
        </is>
      </c>
      <c r="C31" s="246" t="inlineStr">
        <is>
          <t>Устройство промежуточного сбора, хранения и передачи данных учета электроэнергии для учета электроэнергии</t>
        </is>
      </c>
      <c r="D31" s="243" t="inlineStr">
        <is>
          <t>шт.</t>
        </is>
      </c>
      <c r="E31" s="316" t="n">
        <v>1</v>
      </c>
      <c r="F31" s="248">
        <f>ROUND(I31/Прил.10!$D$14,2)</f>
        <v/>
      </c>
      <c r="G31" s="30">
        <f>ROUND(E31*F31,2)</f>
        <v/>
      </c>
      <c r="H31" s="249">
        <f>G31/$G$34</f>
        <v/>
      </c>
      <c r="I31" s="30" t="n">
        <v>239412.79</v>
      </c>
      <c r="J31" s="159">
        <f>ROUND(I31*E31,2)</f>
        <v/>
      </c>
    </row>
    <row r="32">
      <c r="A32" s="243" t="n"/>
      <c r="B32" s="243" t="n"/>
      <c r="C32" s="246" t="inlineStr">
        <is>
          <t>Итого основное оборудование</t>
        </is>
      </c>
      <c r="D32" s="243" t="n"/>
      <c r="E32" s="247" t="n"/>
      <c r="F32" s="248" t="n"/>
      <c r="G32" s="30">
        <f>G31</f>
        <v/>
      </c>
      <c r="H32" s="249">
        <f>G32/$G$34</f>
        <v/>
      </c>
      <c r="I32" s="155" t="n"/>
      <c r="J32" s="30">
        <f>J31</f>
        <v/>
      </c>
    </row>
    <row r="33">
      <c r="A33" s="243" t="n"/>
      <c r="B33" s="243" t="n"/>
      <c r="C33" s="246" t="inlineStr">
        <is>
          <t>Итого прочее оборудование</t>
        </is>
      </c>
      <c r="D33" s="243" t="n"/>
      <c r="E33" s="247" t="n"/>
      <c r="F33" s="248" t="n"/>
      <c r="G33" s="30" t="n">
        <v>0</v>
      </c>
      <c r="H33" s="249">
        <f>G33/$G$34</f>
        <v/>
      </c>
      <c r="I33" s="155" t="n"/>
      <c r="J33" s="30" t="n">
        <v>0</v>
      </c>
    </row>
    <row r="34">
      <c r="A34" s="243" t="n"/>
      <c r="B34" s="243" t="n"/>
      <c r="C34" s="250" t="inlineStr">
        <is>
          <t>Итого по разделу «Оборудование»</t>
        </is>
      </c>
      <c r="D34" s="243" t="n"/>
      <c r="E34" s="247" t="n"/>
      <c r="F34" s="248" t="n"/>
      <c r="G34" s="30">
        <f>G33+G32</f>
        <v/>
      </c>
      <c r="H34" s="249">
        <f>G34/$G$34</f>
        <v/>
      </c>
      <c r="I34" s="155" t="n"/>
      <c r="J34" s="30">
        <f>J33+J32</f>
        <v/>
      </c>
    </row>
    <row r="35" ht="25.5" customHeight="1">
      <c r="A35" s="243" t="n"/>
      <c r="B35" s="243" t="n"/>
      <c r="C35" s="246" t="inlineStr">
        <is>
          <t>в том числе технологическое оборудование</t>
        </is>
      </c>
      <c r="D35" s="243" t="n"/>
      <c r="E35" s="316" t="n"/>
      <c r="F35" s="248" t="n"/>
      <c r="G35" s="30">
        <f>G34</f>
        <v/>
      </c>
      <c r="H35" s="249" t="n"/>
      <c r="I35" s="155" t="n"/>
      <c r="J35" s="30">
        <f>J34</f>
        <v/>
      </c>
    </row>
    <row r="36" ht="14.25" customFormat="1" customHeight="1" s="12">
      <c r="A36" s="243" t="n"/>
      <c r="B36" s="250" t="inlineStr">
        <is>
          <t xml:space="preserve">Материалы </t>
        </is>
      </c>
      <c r="C36" s="308" t="n"/>
      <c r="D36" s="308" t="n"/>
      <c r="E36" s="308" t="n"/>
      <c r="F36" s="308" t="n"/>
      <c r="G36" s="308" t="n"/>
      <c r="H36" s="308" t="n"/>
      <c r="I36" s="308" t="n"/>
      <c r="J36" s="309" t="n"/>
    </row>
    <row r="37" ht="14.25" customFormat="1" customHeight="1" s="12">
      <c r="A37" s="243" t="n"/>
      <c r="B37" s="246" t="inlineStr">
        <is>
          <t>Основные материалы</t>
        </is>
      </c>
      <c r="C37" s="308" t="n"/>
      <c r="D37" s="308" t="n"/>
      <c r="E37" s="308" t="n"/>
      <c r="F37" s="308" t="n"/>
      <c r="G37" s="308" t="n"/>
      <c r="H37" s="309" t="n"/>
      <c r="I37" s="152" t="n"/>
      <c r="J37" s="152" t="n"/>
    </row>
    <row r="38" ht="25.15" customFormat="1" customHeight="1" s="12">
      <c r="A38" s="243" t="n">
        <v>12</v>
      </c>
      <c r="B38" s="147" t="inlineStr">
        <is>
          <t>999-9950</t>
        </is>
      </c>
      <c r="C38" s="246" t="inlineStr">
        <is>
          <t>Вспомогательные ненормируемые ресурсы (2% от Оплаты труда рабочих)</t>
        </is>
      </c>
      <c r="D38" s="7" t="inlineStr">
        <is>
          <t>руб.</t>
        </is>
      </c>
      <c r="E38" s="323" t="n">
        <v>10.12</v>
      </c>
      <c r="F38" s="176" t="n">
        <v>1</v>
      </c>
      <c r="G38" s="30">
        <f>ROUND(E38*F38,2)</f>
        <v/>
      </c>
      <c r="H38" s="154">
        <f>G38/$G$44</f>
        <v/>
      </c>
      <c r="I38" s="30">
        <f>ROUND(F38*Прил.10!$D$13,2)</f>
        <v/>
      </c>
      <c r="J38" s="30">
        <f>ROUND(I38*E38,2)</f>
        <v/>
      </c>
    </row>
    <row r="39" ht="13.15" customFormat="1" customHeight="1" s="12">
      <c r="A39" s="243" t="n">
        <v>13</v>
      </c>
      <c r="B39" s="147" t="inlineStr">
        <is>
          <t>01.7.11.07-0034</t>
        </is>
      </c>
      <c r="C39" s="246" t="inlineStr">
        <is>
          <t>Электроды диаметром: 4 мм Э42А</t>
        </is>
      </c>
      <c r="D39" s="7" t="inlineStr">
        <is>
          <t>кг</t>
        </is>
      </c>
      <c r="E39" s="323" t="n">
        <v>0.1</v>
      </c>
      <c r="F39" s="176" t="n">
        <v>10.57</v>
      </c>
      <c r="G39" s="30">
        <f>ROUND(E39*F39,2)</f>
        <v/>
      </c>
      <c r="H39" s="154">
        <f>G39/$G$44</f>
        <v/>
      </c>
      <c r="I39" s="30">
        <f>ROUND(F39*Прил.10!$D$13,2)</f>
        <v/>
      </c>
      <c r="J39" s="30">
        <f>ROUND(I39*E39,2)</f>
        <v/>
      </c>
    </row>
    <row r="40" ht="12" customFormat="1" customHeight="1" s="12">
      <c r="A40" s="243" t="n"/>
      <c r="B40" s="243" t="n"/>
      <c r="C40" s="246" t="inlineStr">
        <is>
          <t>Итого основные материалы</t>
        </is>
      </c>
      <c r="D40" s="243" t="n"/>
      <c r="E40" s="316" t="n"/>
      <c r="F40" s="248" t="n"/>
      <c r="G40" s="30">
        <f>SUM(G38:G39)</f>
        <v/>
      </c>
      <c r="H40" s="249">
        <f>G40/$G$44</f>
        <v/>
      </c>
      <c r="I40" s="155" t="n"/>
      <c r="J40" s="30">
        <f>SUM(J38:J39)</f>
        <v/>
      </c>
    </row>
    <row r="41" hidden="1" outlineLevel="1" ht="16.9" customFormat="1" customHeight="1" s="12">
      <c r="A41" s="243" t="n">
        <v>14</v>
      </c>
      <c r="B41" s="147" t="inlineStr">
        <is>
          <t>01.7.15.03-0042</t>
        </is>
      </c>
      <c r="C41" s="246" t="inlineStr">
        <is>
          <t>Болты с гайками и шайбами строительные</t>
        </is>
      </c>
      <c r="D41" s="7" t="inlineStr">
        <is>
          <t>кг</t>
        </is>
      </c>
      <c r="E41" s="323" t="n">
        <v>0.1</v>
      </c>
      <c r="F41" s="176" t="n">
        <v>9.039999999999999</v>
      </c>
      <c r="G41" s="30">
        <f>E41*F41</f>
        <v/>
      </c>
      <c r="H41" s="154">
        <f>G41/$G$44</f>
        <v/>
      </c>
      <c r="I41" s="30">
        <f>ROUND(F41*Прил.10!$D$13,2)</f>
        <v/>
      </c>
      <c r="J41" s="30">
        <f>ROUND(I41*E41,2)</f>
        <v/>
      </c>
    </row>
    <row r="42" hidden="1" outlineLevel="1" ht="13.9" customFormat="1" customHeight="1" s="12">
      <c r="A42" s="243" t="n">
        <v>15</v>
      </c>
      <c r="B42" s="147" t="inlineStr">
        <is>
          <t>14.4.02.09-0001</t>
        </is>
      </c>
      <c r="C42" s="246" t="inlineStr">
        <is>
          <t>Краска</t>
        </is>
      </c>
      <c r="D42" s="7" t="inlineStr">
        <is>
          <t>кг</t>
        </is>
      </c>
      <c r="E42" s="323" t="n">
        <v>0.02</v>
      </c>
      <c r="F42" s="176" t="n">
        <v>28.6</v>
      </c>
      <c r="G42" s="30">
        <f>E42*F42</f>
        <v/>
      </c>
      <c r="H42" s="154">
        <f>G42/$G$44</f>
        <v/>
      </c>
      <c r="I42" s="30">
        <f>ROUND(F42*Прил.10!$D$13,2)</f>
        <v/>
      </c>
      <c r="J42" s="30">
        <f>ROUND(I42*E42,2)</f>
        <v/>
      </c>
    </row>
    <row r="43" collapsed="1" ht="14.25" customFormat="1" customHeight="1" s="12">
      <c r="A43" s="243" t="n"/>
      <c r="B43" s="243" t="n"/>
      <c r="C43" s="246" t="inlineStr">
        <is>
          <t>Итого прочие материалы</t>
        </is>
      </c>
      <c r="D43" s="243" t="n"/>
      <c r="E43" s="247" t="n"/>
      <c r="F43" s="248" t="n"/>
      <c r="G43" s="30">
        <f>SUM(G41:G42)</f>
        <v/>
      </c>
      <c r="H43" s="249">
        <f>G43/G44</f>
        <v/>
      </c>
      <c r="I43" s="30" t="n"/>
      <c r="J43" s="30">
        <f>SUM(J41:J42)</f>
        <v/>
      </c>
    </row>
    <row r="44" ht="14.25" customFormat="1" customHeight="1" s="12">
      <c r="A44" s="243" t="n"/>
      <c r="B44" s="243" t="n"/>
      <c r="C44" s="250" t="inlineStr">
        <is>
          <t>Итого по разделу «Материалы»</t>
        </is>
      </c>
      <c r="D44" s="243" t="n"/>
      <c r="E44" s="247" t="n"/>
      <c r="F44" s="248" t="n"/>
      <c r="G44" s="30">
        <f>G40+G43</f>
        <v/>
      </c>
      <c r="H44" s="249" t="n">
        <v>1</v>
      </c>
      <c r="I44" s="30" t="n"/>
      <c r="J44" s="30">
        <f>J40+J43</f>
        <v/>
      </c>
    </row>
    <row r="45" ht="14.25" customFormat="1" customHeight="1" s="12">
      <c r="A45" s="243" t="n"/>
      <c r="B45" s="243" t="n"/>
      <c r="C45" s="246" t="inlineStr">
        <is>
          <t>ИТОГО ПО РМ</t>
        </is>
      </c>
      <c r="D45" s="243" t="n"/>
      <c r="E45" s="247" t="n"/>
      <c r="F45" s="248" t="n"/>
      <c r="G45" s="30">
        <f>G16+G28+G44</f>
        <v/>
      </c>
      <c r="H45" s="249" t="n"/>
      <c r="I45" s="30" t="n"/>
      <c r="J45" s="30">
        <f>J16+J28+J44</f>
        <v/>
      </c>
    </row>
    <row r="46" ht="14.25" customFormat="1" customHeight="1" s="12">
      <c r="A46" s="243" t="n"/>
      <c r="B46" s="243" t="n"/>
      <c r="C46" s="246" t="inlineStr">
        <is>
          <t>Накладные расходы</t>
        </is>
      </c>
      <c r="D46" s="160">
        <f>ROUND(G46/(G$18+$G$16),2)</f>
        <v/>
      </c>
      <c r="E46" s="247" t="n"/>
      <c r="F46" s="248" t="n"/>
      <c r="G46" s="30" t="n">
        <v>413</v>
      </c>
      <c r="H46" s="249" t="n"/>
      <c r="I46" s="30" t="n"/>
      <c r="J46" s="30">
        <f>ROUND(D46*(J16+J18),2)</f>
        <v/>
      </c>
    </row>
    <row r="47" ht="14.25" customFormat="1" customHeight="1" s="12">
      <c r="A47" s="243" t="n"/>
      <c r="B47" s="243" t="n"/>
      <c r="C47" s="246" t="inlineStr">
        <is>
          <t>Сметная прибыль</t>
        </is>
      </c>
      <c r="D47" s="160">
        <f>ROUND(G47/(G$16+G$18),2)</f>
        <v/>
      </c>
      <c r="E47" s="247" t="n"/>
      <c r="F47" s="248" t="n"/>
      <c r="G47" s="30" t="n">
        <v>308</v>
      </c>
      <c r="H47" s="249" t="n"/>
      <c r="I47" s="30" t="n"/>
      <c r="J47" s="30">
        <f>ROUND(D47*(J16+J18),2)</f>
        <v/>
      </c>
    </row>
    <row r="48" ht="14.25" customFormat="1" customHeight="1" s="12">
      <c r="A48" s="243" t="n"/>
      <c r="B48" s="243" t="n"/>
      <c r="C48" s="246" t="inlineStr">
        <is>
          <t>Итого СМР (с НР и СП)</t>
        </is>
      </c>
      <c r="D48" s="243" t="n"/>
      <c r="E48" s="247" t="n"/>
      <c r="F48" s="248" t="n"/>
      <c r="G48" s="30">
        <f>G16+G28+G44+G46+G47</f>
        <v/>
      </c>
      <c r="H48" s="249" t="n"/>
      <c r="I48" s="30" t="n"/>
      <c r="J48" s="30">
        <f>J16+J28+J44+J46+J47</f>
        <v/>
      </c>
    </row>
    <row r="49" ht="14.25" customFormat="1" customHeight="1" s="12">
      <c r="A49" s="243" t="n"/>
      <c r="B49" s="243" t="n"/>
      <c r="C49" s="246" t="inlineStr">
        <is>
          <t>ВСЕГО СМР + ОБОРУДОВАНИЕ</t>
        </is>
      </c>
      <c r="D49" s="243" t="n"/>
      <c r="E49" s="247" t="n"/>
      <c r="F49" s="248" t="n"/>
      <c r="G49" s="30">
        <f>G48+G34</f>
        <v/>
      </c>
      <c r="H49" s="249" t="n"/>
      <c r="I49" s="30" t="n"/>
      <c r="J49" s="30">
        <f>J48+J34</f>
        <v/>
      </c>
    </row>
    <row r="50" ht="14.25" customFormat="1" customHeight="1" s="12">
      <c r="A50" s="243" t="n"/>
      <c r="B50" s="243" t="n"/>
      <c r="C50" s="246" t="inlineStr">
        <is>
          <t>ИТОГО ПОКАЗАТЕЛЬ НА ЕД. ИЗМ.</t>
        </is>
      </c>
      <c r="D50" s="243" t="inlineStr">
        <is>
          <t>ед.</t>
        </is>
      </c>
      <c r="E50" s="247" t="n">
        <v>1</v>
      </c>
      <c r="F50" s="248" t="n"/>
      <c r="G50" s="30">
        <f>G49/E50</f>
        <v/>
      </c>
      <c r="H50" s="249" t="n"/>
      <c r="I50" s="30" t="n"/>
      <c r="J50" s="30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1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1" t="inlineStr">
        <is>
          <t xml:space="preserve">                        (подпись, инициалы, фамилия)</t>
        </is>
      </c>
    </row>
  </sheetData>
  <mergeCells count="22">
    <mergeCell ref="H9:H10"/>
    <mergeCell ref="B30:H30"/>
    <mergeCell ref="A4:J4"/>
    <mergeCell ref="H2:J2"/>
    <mergeCell ref="B20:H20"/>
    <mergeCell ref="B29:J29"/>
    <mergeCell ref="C9:C10"/>
    <mergeCell ref="E9:E10"/>
    <mergeCell ref="A7:H7"/>
    <mergeCell ref="B9:B10"/>
    <mergeCell ref="D9:D10"/>
    <mergeCell ref="B36:J36"/>
    <mergeCell ref="B12:H12"/>
    <mergeCell ref="D6:J6"/>
    <mergeCell ref="A8:H8"/>
    <mergeCell ref="F9:G9"/>
    <mergeCell ref="B17:H17"/>
    <mergeCell ref="A9:A10"/>
    <mergeCell ref="A6:C6"/>
    <mergeCell ref="B19:H19"/>
    <mergeCell ref="B37:H37"/>
    <mergeCell ref="I9:J9"/>
  </mergeCells>
  <pageMargins left="0.6299212598425197" right="0.2362204724409449" top="0.7480314960629921" bottom="0.7480314960629921" header="0.3149606299212598" footer="0.3149606299212598"/>
  <pageSetup orientation="landscape" paperSize="9" scale="83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G14" sqref="G14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1" t="inlineStr">
        <is>
          <t>Приложение №6</t>
        </is>
      </c>
    </row>
    <row r="2" ht="21.75" customHeight="1">
      <c r="A2" s="251" t="n"/>
      <c r="B2" s="251" t="n"/>
      <c r="C2" s="251" t="n"/>
      <c r="D2" s="251" t="n"/>
      <c r="E2" s="251" t="n"/>
      <c r="F2" s="251" t="n"/>
      <c r="G2" s="251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ИВКЭ для ТП (СП, РП, РТП), РУ 6-20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6" t="inlineStr">
        <is>
          <t>№ пп.</t>
        </is>
      </c>
      <c r="B6" s="256" t="inlineStr">
        <is>
          <t>Код ресурса</t>
        </is>
      </c>
      <c r="C6" s="256" t="inlineStr">
        <is>
          <t>Наименование</t>
        </is>
      </c>
      <c r="D6" s="256" t="inlineStr">
        <is>
          <t>Ед. изм.</t>
        </is>
      </c>
      <c r="E6" s="243" t="inlineStr">
        <is>
          <t>Кол-во единиц по проектным данным</t>
        </is>
      </c>
      <c r="F6" s="256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3" t="inlineStr">
        <is>
          <t>на ед. изм.</t>
        </is>
      </c>
      <c r="G7" s="243" t="inlineStr">
        <is>
          <t>общая</t>
        </is>
      </c>
    </row>
    <row r="8">
      <c r="A8" s="243" t="n">
        <v>1</v>
      </c>
      <c r="B8" s="243" t="n">
        <v>2</v>
      </c>
      <c r="C8" s="243" t="n">
        <v>3</v>
      </c>
      <c r="D8" s="243" t="n">
        <v>4</v>
      </c>
      <c r="E8" s="243" t="n">
        <v>5</v>
      </c>
      <c r="F8" s="243" t="n">
        <v>6</v>
      </c>
      <c r="G8" s="243" t="n">
        <v>7</v>
      </c>
    </row>
    <row r="9" ht="15" customHeight="1">
      <c r="A9" s="24" t="n"/>
      <c r="B9" s="246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3" t="n"/>
      <c r="B10" s="250" t="n"/>
      <c r="C10" s="246" t="inlineStr">
        <is>
          <t>ИТОГО ИНЖЕНЕРНОЕ ОБОРУДОВАНИЕ</t>
        </is>
      </c>
      <c r="D10" s="250" t="n"/>
      <c r="E10" s="103" t="n"/>
      <c r="F10" s="248" t="n"/>
      <c r="G10" s="248" t="n">
        <v>0</v>
      </c>
    </row>
    <row r="11">
      <c r="A11" s="243" t="n"/>
      <c r="B11" s="246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73.15000000000001" customHeight="1">
      <c r="A12" s="243" t="n">
        <v>1</v>
      </c>
      <c r="B12" s="246">
        <f>'Прил.5 Расчет СМР и ОБ'!B31</f>
        <v/>
      </c>
      <c r="C12" s="246">
        <f>'Прил.5 Расчет СМР и ОБ'!C31</f>
        <v/>
      </c>
      <c r="D12" s="243">
        <f>'Прил.5 Расчет СМР и ОБ'!D31</f>
        <v/>
      </c>
      <c r="E12" s="243">
        <f>'Прил.5 Расчет СМР и ОБ'!E31</f>
        <v/>
      </c>
      <c r="F12" s="255">
        <f>'Прил.5 Расчет СМР и ОБ'!F31</f>
        <v/>
      </c>
      <c r="G12" s="30">
        <f>E12*F12</f>
        <v/>
      </c>
    </row>
    <row r="13" ht="25.5" customHeight="1">
      <c r="A13" s="243" t="n"/>
      <c r="B13" s="246" t="n"/>
      <c r="C13" s="246" t="inlineStr">
        <is>
          <t>ИТОГО ТЕХНОЛОГИЧЕСКОЕ ОБОРУДОВАНИЕ</t>
        </is>
      </c>
      <c r="D13" s="246" t="n"/>
      <c r="E13" s="255" t="n"/>
      <c r="F13" s="248" t="n"/>
      <c r="G13" s="30">
        <f>G12</f>
        <v/>
      </c>
    </row>
    <row r="14" ht="19.5" customHeight="1">
      <c r="A14" s="243" t="n"/>
      <c r="B14" s="246" t="n"/>
      <c r="C14" s="246" t="inlineStr">
        <is>
          <t>Всего по разделу «Оборудование»</t>
        </is>
      </c>
      <c r="D14" s="246" t="n"/>
      <c r="E14" s="255" t="n"/>
      <c r="F14" s="248" t="n"/>
      <c r="G14" s="30">
        <f>G10+G13</f>
        <v/>
      </c>
    </row>
    <row r="15">
      <c r="A15" s="28" t="n"/>
      <c r="B15" s="104" t="n"/>
      <c r="C15" s="28" t="n"/>
      <c r="D15" s="28" t="n"/>
      <c r="E15" s="28" t="n"/>
      <c r="F15" s="28" t="n"/>
      <c r="G15" s="28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28" t="n"/>
      <c r="E16" s="28" t="n"/>
      <c r="F16" s="28" t="n"/>
      <c r="G16" s="28" t="n"/>
    </row>
    <row r="17">
      <c r="A17" s="31" t="inlineStr">
        <is>
          <t xml:space="preserve">                         (подпись, инициалы, фамилия)</t>
        </is>
      </c>
      <c r="B17" s="12" t="n"/>
      <c r="C17" s="12" t="n"/>
      <c r="D17" s="28" t="n"/>
      <c r="E17" s="28" t="n"/>
      <c r="F17" s="28" t="n"/>
      <c r="G17" s="28" t="n"/>
    </row>
    <row r="18">
      <c r="A18" s="4" t="n"/>
      <c r="B18" s="12" t="n"/>
      <c r="C18" s="12" t="n"/>
      <c r="D18" s="28" t="n"/>
      <c r="E18" s="28" t="n"/>
      <c r="F18" s="28" t="n"/>
      <c r="G18" s="28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8" t="n"/>
      <c r="E19" s="28" t="n"/>
      <c r="F19" s="28" t="n"/>
      <c r="G19" s="28" t="n"/>
    </row>
    <row r="20">
      <c r="A20" s="31" t="inlineStr">
        <is>
          <t xml:space="preserve">                        (подпись, инициалы, фамилия)</t>
        </is>
      </c>
      <c r="B20" s="12" t="n"/>
      <c r="C20" s="12" t="n"/>
      <c r="D20" s="28" t="n"/>
      <c r="E20" s="28" t="n"/>
      <c r="F20" s="28" t="n"/>
      <c r="G20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51" t="inlineStr">
        <is>
          <t>Приложение №7</t>
        </is>
      </c>
    </row>
    <row r="2">
      <c r="A2" s="251" t="n"/>
      <c r="B2" s="251" t="n"/>
      <c r="C2" s="251" t="n"/>
      <c r="D2" s="251" t="n"/>
    </row>
    <row r="3" ht="24.75" customHeight="1">
      <c r="A3" s="213" t="inlineStr">
        <is>
          <t>Расчет показателя УНЦ</t>
        </is>
      </c>
    </row>
    <row r="4" ht="24.75" customHeight="1">
      <c r="A4" s="213" t="n"/>
      <c r="B4" s="213" t="n"/>
      <c r="C4" s="213" t="n"/>
      <c r="D4" s="213" t="n"/>
    </row>
    <row r="5" ht="24.6" customHeight="1">
      <c r="A5" s="216" t="inlineStr">
        <is>
          <t xml:space="preserve">Наименование разрабатываемого показателя УНЦ - </t>
        </is>
      </c>
      <c r="D5" s="216">
        <f>'Прил.5 Расчет СМР и ОБ'!D6:J6</f>
        <v/>
      </c>
    </row>
    <row r="6" ht="19.9" customHeight="1">
      <c r="A6" s="216" t="inlineStr">
        <is>
          <t>Единица измерения  — 1 ед</t>
        </is>
      </c>
      <c r="D6" s="216" t="n"/>
    </row>
    <row r="7">
      <c r="A7" s="4" t="n"/>
      <c r="B7" s="4" t="n"/>
      <c r="C7" s="4" t="n"/>
      <c r="D7" s="4" t="n"/>
    </row>
    <row r="8" ht="14.45" customHeight="1">
      <c r="A8" s="227" t="inlineStr">
        <is>
          <t>Код показателя</t>
        </is>
      </c>
      <c r="B8" s="227" t="inlineStr">
        <is>
          <t>Наименование показателя</t>
        </is>
      </c>
      <c r="C8" s="227" t="inlineStr">
        <is>
          <t>Наименование РМ, входящих в состав показателя</t>
        </is>
      </c>
      <c r="D8" s="227" t="inlineStr">
        <is>
          <t>Норматив цены на 01.01.2023, тыс.руб.</t>
        </is>
      </c>
    </row>
    <row r="9" ht="15" customHeight="1">
      <c r="A9" s="311" t="n"/>
      <c r="B9" s="311" t="n"/>
      <c r="C9" s="311" t="n"/>
      <c r="D9" s="311" t="n"/>
    </row>
    <row r="10">
      <c r="A10" s="243" t="n">
        <v>1</v>
      </c>
      <c r="B10" s="243" t="n">
        <v>2</v>
      </c>
      <c r="C10" s="243" t="n">
        <v>3</v>
      </c>
      <c r="D10" s="243" t="n">
        <v>4</v>
      </c>
    </row>
    <row r="11" ht="41.45" customHeight="1">
      <c r="A11" s="243" t="inlineStr">
        <is>
          <t>А2-01</t>
        </is>
      </c>
      <c r="B11" s="243" t="inlineStr">
        <is>
          <t>УНЦ ИВКЭ</t>
        </is>
      </c>
      <c r="C11" s="150">
        <f>D5</f>
        <v/>
      </c>
      <c r="D11" s="3">
        <f>'Прил.4 РМ'!C41/1000</f>
        <v/>
      </c>
      <c r="E11" s="128" t="n"/>
    </row>
    <row r="12">
      <c r="A12" s="28" t="n"/>
      <c r="B12" s="104" t="n"/>
      <c r="C12" s="28" t="n"/>
      <c r="D12" s="28" t="n"/>
    </row>
    <row r="13">
      <c r="A13" s="4" t="inlineStr">
        <is>
          <t>Составил ______________________      А.Р. Маркова</t>
        </is>
      </c>
      <c r="B13" s="12" t="n"/>
      <c r="C13" s="12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12" t="n"/>
      <c r="C14" s="12" t="n"/>
      <c r="D14" s="28" t="n"/>
    </row>
    <row r="15">
      <c r="A15" s="4" t="n"/>
      <c r="B15" s="12" t="n"/>
      <c r="C15" s="12" t="n"/>
      <c r="D15" s="28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12" t="n"/>
      <c r="C17" s="12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27"/>
  <sheetViews>
    <sheetView view="pageBreakPreview" zoomScale="60" zoomScaleNormal="85" workbookViewId="0">
      <selection activeCell="K24" sqref="K24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21" t="inlineStr">
        <is>
          <t>Приложение № 10</t>
        </is>
      </c>
    </row>
    <row r="5" ht="18.75" customHeight="1">
      <c r="B5" s="123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57" t="inlineStr">
        <is>
          <t>*Стоимость ПНР принята на основании СД ОП</t>
        </is>
      </c>
    </row>
    <row r="8">
      <c r="B8" s="257" t="n"/>
      <c r="C8" s="257" t="n"/>
      <c r="D8" s="257" t="n"/>
      <c r="E8" s="257" t="n"/>
    </row>
    <row r="9" ht="47.25" customHeight="1">
      <c r="B9" s="227" t="inlineStr">
        <is>
          <t>Наименование индекса / норм сопутствующих затрат</t>
        </is>
      </c>
      <c r="C9" s="227" t="inlineStr">
        <is>
          <t>Дата применения и обоснование индекса / норм сопутствующих затрат</t>
        </is>
      </c>
      <c r="D9" s="227" t="inlineStr">
        <is>
          <t>Размер индекса / норма сопутствующих затрат</t>
        </is>
      </c>
    </row>
    <row r="10" ht="15.75" customHeight="1">
      <c r="B10" s="227" t="n">
        <v>1</v>
      </c>
      <c r="C10" s="227" t="n">
        <v>2</v>
      </c>
      <c r="D10" s="227" t="n">
        <v>3</v>
      </c>
    </row>
    <row r="11" ht="45" customHeight="1">
      <c r="B11" s="227" t="inlineStr">
        <is>
          <t xml:space="preserve">Индекс изменения сметной стоимости на 1 квартал 2023 года. ОЗП </t>
        </is>
      </c>
      <c r="C11" s="227" t="inlineStr">
        <is>
          <t>Письмо Минстроя России от 30.03.2023г. №17106-ИФ/09  прил.1</t>
        </is>
      </c>
      <c r="D11" s="227" t="n">
        <v>44.29</v>
      </c>
    </row>
    <row r="12" ht="29.25" customHeight="1">
      <c r="B12" s="227" t="inlineStr">
        <is>
          <t>Индекс изменения сметной стоимости на 1 квартал 2023 года. ЭМ</t>
        </is>
      </c>
      <c r="C12" s="227" t="inlineStr">
        <is>
          <t>Письмо Минстроя России от 30.03.2023г. №17106-ИФ/09  прил.1</t>
        </is>
      </c>
      <c r="D12" s="227" t="n">
        <v>13.47</v>
      </c>
    </row>
    <row r="13" ht="29.25" customHeight="1">
      <c r="B13" s="227" t="inlineStr">
        <is>
          <t>Индекс изменения сметной стоимости на 1 квартал 2023 года. МАТ</t>
        </is>
      </c>
      <c r="C13" s="227" t="inlineStr">
        <is>
          <t>Письмо Минстроя России от 30.03.2023г. №17106-ИФ/09  прил.1</t>
        </is>
      </c>
      <c r="D13" s="227" t="n">
        <v>8.039999999999999</v>
      </c>
    </row>
    <row r="14" ht="30.75" customHeight="1">
      <c r="B14" s="227" t="inlineStr">
        <is>
          <t>Индекс изменения сметной стоимости на 1 квартал 2023 года. ОБ</t>
        </is>
      </c>
      <c r="C14" s="118" t="inlineStr">
        <is>
          <t>Письмо Минстроя России от 23.02.2023г. №9791-ИФ/09 прил.6</t>
        </is>
      </c>
      <c r="D14" s="227" t="n">
        <v>6.26</v>
      </c>
    </row>
    <row r="15" ht="89.25" customHeight="1">
      <c r="B15" s="227" t="inlineStr">
        <is>
          <t>Временные здания и сооружения</t>
        </is>
      </c>
      <c r="C15" s="22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4" t="n">
        <v>0.025</v>
      </c>
    </row>
    <row r="16" ht="78.75" customHeight="1">
      <c r="B16" s="227" t="inlineStr">
        <is>
          <t>Дополнительные затраты при производстве строительно-монтажных работ в зимнее время</t>
        </is>
      </c>
      <c r="C16" s="22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4" t="n">
        <v>0.021</v>
      </c>
    </row>
    <row r="17" ht="34.5" customHeight="1">
      <c r="B17" s="227" t="n"/>
      <c r="C17" s="227" t="n"/>
      <c r="D17" s="227" t="n"/>
    </row>
    <row r="18" ht="31.5" customHeight="1">
      <c r="B18" s="227" t="inlineStr">
        <is>
          <t>Строительный контроль</t>
        </is>
      </c>
      <c r="C18" s="227" t="inlineStr">
        <is>
          <t>Постановление Правительства РФ от 21.06.10 г. № 468</t>
        </is>
      </c>
      <c r="D18" s="124" t="n">
        <v>0.0214</v>
      </c>
    </row>
    <row r="19" ht="31.5" customHeight="1">
      <c r="B19" s="227" t="inlineStr">
        <is>
          <t>Авторский надзор - 0,2%</t>
        </is>
      </c>
      <c r="C19" s="227" t="inlineStr">
        <is>
          <t>Приказ от 4.08.2020 № 421/пр п.173</t>
        </is>
      </c>
      <c r="D19" s="124" t="n">
        <v>0.002</v>
      </c>
    </row>
    <row r="20" ht="24" customHeight="1">
      <c r="B20" s="227" t="inlineStr">
        <is>
          <t>Непредвиденные расходы</t>
        </is>
      </c>
      <c r="C20" s="227" t="inlineStr">
        <is>
          <t>Приказ от 4.08.2020 № 421/пр п.179</t>
        </is>
      </c>
      <c r="D20" s="124" t="n">
        <v>0.03</v>
      </c>
    </row>
    <row r="21" ht="18.75" customHeight="1">
      <c r="B21" s="115" t="n"/>
    </row>
    <row r="23">
      <c r="B23" s="4" t="inlineStr">
        <is>
          <t>Составил ______________________        А.Р. Маркова</t>
        </is>
      </c>
      <c r="C23" s="12" t="n"/>
    </row>
    <row r="24">
      <c r="B24" s="31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1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29"/>
  <sheetViews>
    <sheetView view="pageBreakPreview" zoomScale="60" zoomScaleNormal="55" workbookViewId="0">
      <selection activeCell="A1" sqref="A1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84" t="inlineStr">
        <is>
          <t>Составлен в уровне цен на 01.01.2023 г.</t>
        </is>
      </c>
      <c r="B4" s="185" t="n"/>
      <c r="C4" s="185" t="n"/>
      <c r="D4" s="185" t="n"/>
      <c r="E4" s="185" t="n"/>
      <c r="F4" s="185" t="n"/>
      <c r="G4" s="185" t="n"/>
    </row>
    <row r="5" ht="15.75" customHeight="1">
      <c r="A5" s="186" t="inlineStr">
        <is>
          <t>№ пп.</t>
        </is>
      </c>
      <c r="B5" s="186" t="inlineStr">
        <is>
          <t>Наименование элемента</t>
        </is>
      </c>
      <c r="C5" s="186" t="inlineStr">
        <is>
          <t>Обозначение</t>
        </is>
      </c>
      <c r="D5" s="186" t="inlineStr">
        <is>
          <t>Формула</t>
        </is>
      </c>
      <c r="E5" s="186" t="inlineStr">
        <is>
          <t>Величина элемента</t>
        </is>
      </c>
      <c r="F5" s="186" t="inlineStr">
        <is>
          <t>Наименования обосновывающих документов</t>
        </is>
      </c>
      <c r="G5" s="185" t="n"/>
    </row>
    <row r="6" ht="15.75" customHeight="1">
      <c r="A6" s="186" t="n">
        <v>1</v>
      </c>
      <c r="B6" s="186" t="n">
        <v>2</v>
      </c>
      <c r="C6" s="186" t="n">
        <v>3</v>
      </c>
      <c r="D6" s="186" t="n">
        <v>4</v>
      </c>
      <c r="E6" s="186" t="n">
        <v>5</v>
      </c>
      <c r="F6" s="186" t="n">
        <v>6</v>
      </c>
      <c r="G6" s="185" t="n"/>
    </row>
    <row r="7" ht="110.25" customHeight="1">
      <c r="A7" s="187" t="inlineStr">
        <is>
          <t>1.1</t>
        </is>
      </c>
      <c r="B7" s="18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7" t="inlineStr">
        <is>
          <t>С1ср</t>
        </is>
      </c>
      <c r="D7" s="227" t="inlineStr">
        <is>
          <t>-</t>
        </is>
      </c>
      <c r="E7" s="59" t="n">
        <v>47872.94</v>
      </c>
      <c r="F7" s="18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5" t="n"/>
    </row>
    <row r="8" ht="31.5" customHeight="1">
      <c r="A8" s="187" t="inlineStr">
        <is>
          <t>1.2</t>
        </is>
      </c>
      <c r="B8" s="188" t="inlineStr">
        <is>
          <t>Среднегодовое нормативное число часов работы одного рабочего в месяц, часы (ч.)</t>
        </is>
      </c>
      <c r="C8" s="227" t="inlineStr">
        <is>
          <t>tср</t>
        </is>
      </c>
      <c r="D8" s="227" t="inlineStr">
        <is>
          <t>1973ч/12мес.</t>
        </is>
      </c>
      <c r="E8" s="189">
        <f>1973/12</f>
        <v/>
      </c>
      <c r="F8" s="188" t="inlineStr">
        <is>
          <t>Производственный календарь 2023 год
(40-часов.неделя)</t>
        </is>
      </c>
      <c r="G8" s="190" t="n"/>
    </row>
    <row r="9" ht="15.75" customHeight="1">
      <c r="A9" s="187" t="inlineStr">
        <is>
          <t>1.3</t>
        </is>
      </c>
      <c r="B9" s="188" t="inlineStr">
        <is>
          <t>Коэффициент увеличения</t>
        </is>
      </c>
      <c r="C9" s="227" t="inlineStr">
        <is>
          <t>Кув</t>
        </is>
      </c>
      <c r="D9" s="227" t="inlineStr">
        <is>
          <t>-</t>
        </is>
      </c>
      <c r="E9" s="189" t="n">
        <v>1</v>
      </c>
      <c r="F9" s="188" t="n"/>
      <c r="G9" s="190" t="n"/>
    </row>
    <row r="10" ht="15.75" customHeight="1">
      <c r="A10" s="187" t="inlineStr">
        <is>
          <t>1.4</t>
        </is>
      </c>
      <c r="B10" s="188" t="inlineStr">
        <is>
          <t>Средний разряд работ</t>
        </is>
      </c>
      <c r="C10" s="227" t="n"/>
      <c r="D10" s="227" t="n"/>
      <c r="E10" s="324" t="n">
        <v>3.9</v>
      </c>
      <c r="F10" s="188" t="inlineStr">
        <is>
          <t>РТМ</t>
        </is>
      </c>
      <c r="G10" s="190" t="n"/>
    </row>
    <row r="11" ht="78.75" customHeight="1">
      <c r="A11" s="187" t="inlineStr">
        <is>
          <t>1.5</t>
        </is>
      </c>
      <c r="B11" s="188" t="inlineStr">
        <is>
          <t>Тарифный коэффициент среднего разряда работ</t>
        </is>
      </c>
      <c r="C11" s="227" t="inlineStr">
        <is>
          <t>КТ</t>
        </is>
      </c>
      <c r="D11" s="227" t="inlineStr">
        <is>
          <t>-</t>
        </is>
      </c>
      <c r="E11" s="325" t="n">
        <v>1.324</v>
      </c>
      <c r="F11" s="18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5" t="n"/>
    </row>
    <row r="12" ht="78.75" customHeight="1">
      <c r="A12" s="187" t="inlineStr">
        <is>
          <t>1.6</t>
        </is>
      </c>
      <c r="B12" s="117" t="inlineStr">
        <is>
          <t>Коэффициент инфляции, определяемый поквартально</t>
        </is>
      </c>
      <c r="C12" s="227" t="inlineStr">
        <is>
          <t>Кинф</t>
        </is>
      </c>
      <c r="D12" s="227" t="inlineStr">
        <is>
          <t>-</t>
        </is>
      </c>
      <c r="E12" s="326" t="n">
        <v>1.139</v>
      </c>
      <c r="F12" s="19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5" t="inlineStr">
        <is>
          <t>1.7</t>
        </is>
      </c>
      <c r="B13" s="196" t="inlineStr">
        <is>
          <t>Размер средств на оплату труда рабочих-строителей в текущем уровне цен (ФОТр.тек.), руб/чел.-ч</t>
        </is>
      </c>
      <c r="C13" s="228" t="inlineStr">
        <is>
          <t>ФОТр.тек.</t>
        </is>
      </c>
      <c r="D13" s="228" t="inlineStr">
        <is>
          <t>(С1ср/tср*КТ*Т*Кув)*Кинф</t>
        </is>
      </c>
      <c r="E13" s="198">
        <f>((E7*E9/E8)*E11)*E12</f>
        <v/>
      </c>
      <c r="F13" s="19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5" t="n"/>
    </row>
    <row r="14" ht="15.75" customHeight="1">
      <c r="A14" s="200" t="n"/>
      <c r="B14" s="201" t="inlineStr">
        <is>
          <t>Инженер I категории</t>
        </is>
      </c>
      <c r="C14" s="201" t="n"/>
      <c r="D14" s="201" t="n"/>
      <c r="E14" s="201" t="n"/>
      <c r="F14" s="202" t="n"/>
    </row>
    <row r="15" ht="110.25" customHeight="1">
      <c r="A15" s="187" t="inlineStr">
        <is>
          <t>1.1</t>
        </is>
      </c>
      <c r="B15" s="18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27" t="inlineStr">
        <is>
          <t>С1ср</t>
        </is>
      </c>
      <c r="D15" s="227" t="inlineStr">
        <is>
          <t>-</t>
        </is>
      </c>
      <c r="E15" s="59" t="n">
        <v>47872.94</v>
      </c>
      <c r="F15" s="18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85" t="n"/>
    </row>
    <row r="16" ht="31.5" customHeight="1">
      <c r="A16" s="187" t="inlineStr">
        <is>
          <t>1.2</t>
        </is>
      </c>
      <c r="B16" s="188" t="inlineStr">
        <is>
          <t>Среднегодовое нормативное число часов работы одного рабочего в месяц, часы (ч.)</t>
        </is>
      </c>
      <c r="C16" s="227" t="inlineStr">
        <is>
          <t>tср</t>
        </is>
      </c>
      <c r="D16" s="227" t="inlineStr">
        <is>
          <t>1973ч/12мес.</t>
        </is>
      </c>
      <c r="E16" s="189">
        <f>1973/12</f>
        <v/>
      </c>
      <c r="F16" s="188" t="inlineStr">
        <is>
          <t>Производственный календарь 2023 год
(40-часов.неделя)</t>
        </is>
      </c>
      <c r="G16" s="190" t="n"/>
    </row>
    <row r="17" ht="15.75" customHeight="1">
      <c r="A17" s="187" t="inlineStr">
        <is>
          <t>1.3</t>
        </is>
      </c>
      <c r="B17" s="188" t="inlineStr">
        <is>
          <t>Коэффициент увеличения</t>
        </is>
      </c>
      <c r="C17" s="227" t="inlineStr">
        <is>
          <t>Кув</t>
        </is>
      </c>
      <c r="D17" s="227" t="inlineStr">
        <is>
          <t>-</t>
        </is>
      </c>
      <c r="E17" s="189" t="n">
        <v>1</v>
      </c>
      <c r="F17" s="188" t="n"/>
      <c r="G17" s="190" t="n"/>
    </row>
    <row r="18" ht="15.75" customHeight="1">
      <c r="A18" s="187" t="inlineStr">
        <is>
          <t>1.4</t>
        </is>
      </c>
      <c r="B18" s="188" t="inlineStr">
        <is>
          <t>Средний разряд работ</t>
        </is>
      </c>
      <c r="C18" s="227" t="n"/>
      <c r="D18" s="227" t="n"/>
      <c r="E18" s="324" t="inlineStr">
        <is>
          <t>Инженер I категории</t>
        </is>
      </c>
      <c r="F18" s="188" t="inlineStr">
        <is>
          <t>РТМ</t>
        </is>
      </c>
      <c r="G18" s="190" t="n"/>
    </row>
    <row r="19" ht="78.75" customHeight="1">
      <c r="A19" s="195" t="inlineStr">
        <is>
          <t>1.5</t>
        </is>
      </c>
      <c r="B19" s="199" t="inlineStr">
        <is>
          <t>Тарифный коэффициент среднего разряда работ</t>
        </is>
      </c>
      <c r="C19" s="228" t="inlineStr">
        <is>
          <t>КТ</t>
        </is>
      </c>
      <c r="D19" s="228" t="inlineStr">
        <is>
          <t>-</t>
        </is>
      </c>
      <c r="E19" s="327" t="n">
        <v>2.15</v>
      </c>
      <c r="F19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85" t="n"/>
    </row>
    <row r="20" ht="78.75" customHeight="1">
      <c r="A20" s="187" t="inlineStr">
        <is>
          <t>1.6</t>
        </is>
      </c>
      <c r="B20" s="117" t="inlineStr">
        <is>
          <t>Коэффициент инфляции, определяемый поквартально</t>
        </is>
      </c>
      <c r="C20" s="227" t="inlineStr">
        <is>
          <t>Кинф</t>
        </is>
      </c>
      <c r="D20" s="227" t="inlineStr">
        <is>
          <t>-</t>
        </is>
      </c>
      <c r="E20" s="326" t="n">
        <v>1.139</v>
      </c>
      <c r="F20" s="19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90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>
      <c r="A21" s="187" t="inlineStr">
        <is>
          <t>1.7</t>
        </is>
      </c>
      <c r="B21" s="204" t="inlineStr">
        <is>
          <t>Размер средств на оплату труда рабочих-строителей в текущем уровне цен (ФОТр.тек.), руб/чел.-ч</t>
        </is>
      </c>
      <c r="C21" s="227" t="inlineStr">
        <is>
          <t>ФОТр.тек.</t>
        </is>
      </c>
      <c r="D21" s="227" t="inlineStr">
        <is>
          <t>(С1ср/tср*КТ*Т*Кув)*Кинф</t>
        </is>
      </c>
      <c r="E21" s="205">
        <f>((E15*E17/E16)*E19)*E20</f>
        <v/>
      </c>
      <c r="F21" s="18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85" t="n"/>
    </row>
    <row r="22" ht="15.75" customHeight="1">
      <c r="A22" s="200" t="n"/>
      <c r="B22" s="201" t="inlineStr">
        <is>
          <t>Инженер II категории</t>
        </is>
      </c>
      <c r="C22" s="201" t="n"/>
      <c r="D22" s="201" t="n"/>
      <c r="E22" s="201" t="n"/>
      <c r="F22" s="202" t="n"/>
    </row>
    <row r="23" ht="110.25" customHeight="1">
      <c r="A23" s="187" t="inlineStr">
        <is>
          <t>1.1</t>
        </is>
      </c>
      <c r="B23" s="18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27" t="inlineStr">
        <is>
          <t>С1ср</t>
        </is>
      </c>
      <c r="D23" s="227" t="inlineStr">
        <is>
          <t>-</t>
        </is>
      </c>
      <c r="E23" s="59" t="n">
        <v>47872.94</v>
      </c>
      <c r="F23" s="18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85" t="n"/>
    </row>
    <row r="24" ht="31.5" customHeight="1">
      <c r="A24" s="187" t="inlineStr">
        <is>
          <t>1.2</t>
        </is>
      </c>
      <c r="B24" s="188" t="inlineStr">
        <is>
          <t>Среднегодовое нормативное число часов работы одного рабочего в месяц, часы (ч.)</t>
        </is>
      </c>
      <c r="C24" s="227" t="inlineStr">
        <is>
          <t>tср</t>
        </is>
      </c>
      <c r="D24" s="227" t="inlineStr">
        <is>
          <t>1973ч/12мес.</t>
        </is>
      </c>
      <c r="E24" s="189">
        <f>1973/12</f>
        <v/>
      </c>
      <c r="F24" s="188" t="inlineStr">
        <is>
          <t>Производственный календарь 2023 год
(40-часов.неделя)</t>
        </is>
      </c>
      <c r="G24" s="190" t="n"/>
    </row>
    <row r="25" ht="15.75" customHeight="1">
      <c r="A25" s="187" t="inlineStr">
        <is>
          <t>1.3</t>
        </is>
      </c>
      <c r="B25" s="188" t="inlineStr">
        <is>
          <t>Коэффициент увеличения</t>
        </is>
      </c>
      <c r="C25" s="227" t="inlineStr">
        <is>
          <t>Кув</t>
        </is>
      </c>
      <c r="D25" s="227" t="inlineStr">
        <is>
          <t>-</t>
        </is>
      </c>
      <c r="E25" s="189" t="n">
        <v>1</v>
      </c>
      <c r="F25" s="188" t="n"/>
      <c r="G25" s="190" t="n"/>
    </row>
    <row r="26" ht="15.75" customHeight="1">
      <c r="A26" s="187" t="inlineStr">
        <is>
          <t>1.4</t>
        </is>
      </c>
      <c r="B26" s="188" t="inlineStr">
        <is>
          <t>Средний разряд работ</t>
        </is>
      </c>
      <c r="C26" s="227" t="n"/>
      <c r="D26" s="227" t="n"/>
      <c r="E26" s="324" t="inlineStr">
        <is>
          <t>Инженер II категории</t>
        </is>
      </c>
      <c r="F26" s="188" t="inlineStr">
        <is>
          <t>РТМ</t>
        </is>
      </c>
      <c r="G26" s="190" t="n"/>
    </row>
    <row r="27" ht="78.75" customHeight="1">
      <c r="A27" s="195" t="inlineStr">
        <is>
          <t>1.5</t>
        </is>
      </c>
      <c r="B27" s="199" t="inlineStr">
        <is>
          <t>Тарифный коэффициент среднего разряда работ</t>
        </is>
      </c>
      <c r="C27" s="228" t="inlineStr">
        <is>
          <t>КТ</t>
        </is>
      </c>
      <c r="D27" s="228" t="inlineStr">
        <is>
          <t>-</t>
        </is>
      </c>
      <c r="E27" s="327" t="n">
        <v>1.96</v>
      </c>
      <c r="F27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85" t="n"/>
    </row>
    <row r="28" ht="78.75" customHeight="1">
      <c r="A28" s="187" t="inlineStr">
        <is>
          <t>1.6</t>
        </is>
      </c>
      <c r="B28" s="117" t="inlineStr">
        <is>
          <t>Коэффициент инфляции, определяемый поквартально</t>
        </is>
      </c>
      <c r="C28" s="227" t="inlineStr">
        <is>
          <t>Кинф</t>
        </is>
      </c>
      <c r="D28" s="227" t="inlineStr">
        <is>
          <t>-</t>
        </is>
      </c>
      <c r="E28" s="326" t="n">
        <v>1.139</v>
      </c>
      <c r="F28" s="19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90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>
      <c r="A29" s="187" t="inlineStr">
        <is>
          <t>1.7</t>
        </is>
      </c>
      <c r="B29" s="204" t="inlineStr">
        <is>
          <t>Размер средств на оплату труда рабочих-строителей в текущем уровне цен (ФОТр.тек.), руб/чел.-ч</t>
        </is>
      </c>
      <c r="C29" s="227" t="inlineStr">
        <is>
          <t>ФОТр.тек.</t>
        </is>
      </c>
      <c r="D29" s="227" t="inlineStr">
        <is>
          <t>(С1ср/tср*КТ*Т*Кув)*Кинф</t>
        </is>
      </c>
      <c r="E29" s="205">
        <f>((E23*E25/E24)*E27)*E28</f>
        <v/>
      </c>
      <c r="F29" s="18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8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scale="58"/>
  <colBreaks count="1" manualBreakCount="1">
    <brk id="6" min="0" max="1048575" man="1"/>
  </col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2025-01-24T11:52:19Z</dcterms:modified>
  <cp:lastModifiedBy>112</cp:lastModifiedBy>
  <cp:lastPrinted>2023-12-01T14:54:42Z</cp:lastPrinted>
</cp:coreProperties>
</file>