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720" tabRatio="924" firstSheet="3" activeTab="8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Toc132270798" localSheetId="0">'Прил.1 Сравнит табл'!$B$4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0">{#N/A,#N/A,FALSE,"Aging Summary";#N/A,#N/A,FALSE,"Ratio Analysis";#N/A,#N/A,FALSE,"Test 120 Day Accts";#N/A,#N/A,FALSE,"Tickmarks"}</definedName>
    <definedName name="корр" localSheetId="0">{#N/A,#N/A,FALSE,"Шаблон_Спец1"}</definedName>
    <definedName name="мил" localSheetId="0">{0,"овz";1,"z";2,"аz";5,"овz"}</definedName>
    <definedName name="нр" localSheetId="0">граж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С" localSheetId="0">{#N/A,#N/A,FALSE,"Шаблон_Спец1"}</definedName>
    <definedName name="тыс" localSheetId="0">{0,"тысячz";1,"тысячаz";2,"тысячиz";5,"тысячz"}</definedName>
    <definedName name="ЭКСПО" localSheetId="0">граж</definedName>
    <definedName name="ЭКСПОФОРУМ" localSheetId="0">граж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Hlk133322969" localSheetId="1">'Прил.2 Расч стоим'!$B$4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1">{#N/A,#N/A,FALSE,"Aging Summary";#N/A,#N/A,FALSE,"Ratio Analysis";#N/A,#N/A,FALSE,"Test 120 Day Accts";#N/A,#N/A,FALSE,"Tickmarks"}</definedName>
    <definedName name="корр" localSheetId="1">{#N/A,#N/A,FALSE,"Шаблон_Спец1"}</definedName>
    <definedName name="мил" localSheetId="1">{0,"овz";1,"z";2,"аz";5,"овz"}</definedName>
    <definedName name="нр" localSheetId="1">граж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С" localSheetId="1">{#N/A,#N/A,FALSE,"Шаблон_Спец1"}</definedName>
    <definedName name="тыс" localSheetId="1">{0,"тысячz";1,"тысячаz";2,"тысячиz";5,"тысячz"}</definedName>
    <definedName name="ЭКСПО" localSheetId="1">граж</definedName>
    <definedName name="ЭКСПОФОРУМ" localSheetId="1">граж</definedName>
    <definedName name="_xlnm.Print_Titles" localSheetId="2">'Прил. 3'!$9:$11</definedName>
    <definedName name="_xlnm.Print_Area" localSheetId="2">'Прил. 3'!$A$1:$H$40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ОБ'!$A$1:$J$56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'ФОТр.тек.'!$A$1:$F$29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0.0000"/>
    <numFmt numFmtId="166" formatCode="0.0"/>
    <numFmt numFmtId="167" formatCode="#,##0.0000"/>
    <numFmt numFmtId="168" formatCode="#,##0.00\ _₽"/>
    <numFmt numFmtId="169" formatCode="#,##0.0"/>
    <numFmt numFmtId="170" formatCode="#,##0.000"/>
  </numFmts>
  <fonts count="33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4"/>
    </font>
    <font>
      <name val="Times New Roman"/>
      <color rgb="FF000000"/>
      <sz val="12"/>
    </font>
    <font>
      <name val="Arial"/>
      <b val="1"/>
      <color rgb="FF000000"/>
      <sz val="12"/>
    </font>
    <font>
      <name val="Times New Roman"/>
      <color rgb="FF000000"/>
      <sz val="10"/>
    </font>
    <font>
      <name val="Arial Cyr"/>
      <b val="1"/>
      <i val="1"/>
      <color rgb="FF000000"/>
      <sz val="10"/>
    </font>
    <font>
      <name val="Arial Cyr"/>
      <b val="1"/>
      <color rgb="FF000000"/>
      <sz val="10"/>
    </font>
    <font>
      <name val="Calibri"/>
      <b val="1"/>
      <color rgb="FF000000"/>
      <sz val="12"/>
    </font>
    <font>
      <name val="Times New Roman"/>
      <color rgb="FF0000FF"/>
      <sz val="12"/>
      <u val="single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31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vertical="center" wrapText="1"/>
    </xf>
    <xf numFmtId="0" fontId="17" fillId="0" borderId="1" applyAlignment="1" pivotButton="0" quotePrefix="0" xfId="0">
      <alignment horizontal="justify" vertical="center" wrapText="1"/>
    </xf>
    <xf numFmtId="49" fontId="17" fillId="0" borderId="1" applyAlignment="1" pivotButton="0" quotePrefix="0" xfId="0">
      <alignment horizontal="center" vertical="center" wrapText="1"/>
    </xf>
    <xf numFmtId="0" fontId="17" fillId="0" borderId="0" applyAlignment="1" pivotButton="0" quotePrefix="0" xfId="0">
      <alignment vertical="center"/>
    </xf>
    <xf numFmtId="0" fontId="15" fillId="0" borderId="0" pivotButton="0" quotePrefix="0" xfId="0"/>
    <xf numFmtId="0" fontId="17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right" vertical="center"/>
    </xf>
    <xf numFmtId="10" fontId="17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43" fontId="0" fillId="0" borderId="0" pivotButton="0" quotePrefix="0" xfId="0"/>
    <xf numFmtId="4" fontId="0" fillId="0" borderId="0" pivotButton="0" quotePrefix="0" xfId="0"/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center" vertical="center"/>
    </xf>
    <xf numFmtId="2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0" fontId="18" fillId="0" borderId="0" applyAlignment="1" pivotButton="0" quotePrefix="0" xfId="0">
      <alignment horizontal="center" vertical="center"/>
    </xf>
    <xf numFmtId="2" fontId="18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right" vertical="top" wrapText="1"/>
    </xf>
    <xf numFmtId="0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center" vertical="top" wrapText="1"/>
    </xf>
    <xf numFmtId="49" fontId="1" fillId="0" borderId="0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right" vertical="top" wrapText="1"/>
    </xf>
    <xf numFmtId="2" fontId="1" fillId="0" borderId="0" applyAlignment="1" pivotButton="0" quotePrefix="0" xfId="0">
      <alignment horizontal="right" vertical="top" wrapText="1"/>
    </xf>
    <xf numFmtId="49" fontId="0" fillId="0" borderId="0" pivotButton="0" quotePrefix="0" xfId="0"/>
    <xf numFmtId="166" fontId="0" fillId="0" borderId="0" pivotButton="0" quotePrefix="0" xfId="0"/>
    <xf numFmtId="49" fontId="1" fillId="0" borderId="1" applyAlignment="1" pivotButton="0" quotePrefix="0" xfId="0">
      <alignment horizontal="center" vertical="top" wrapText="1"/>
    </xf>
    <xf numFmtId="0" fontId="11" fillId="0" borderId="0" applyAlignment="1" pivotButton="0" quotePrefix="0" xfId="0">
      <alignment vertical="top"/>
    </xf>
    <xf numFmtId="2" fontId="0" fillId="0" borderId="0" pivotButton="0" quotePrefix="0" xfId="0"/>
    <xf numFmtId="0" fontId="0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right" vertical="top" wrapText="1"/>
    </xf>
    <xf numFmtId="49" fontId="1" fillId="0" borderId="1" applyAlignment="1" pivotButton="0" quotePrefix="0" xfId="0">
      <alignment horizontal="center" vertical="center" wrapText="1"/>
    </xf>
    <xf numFmtId="165" fontId="0" fillId="0" borderId="0" pivotButton="0" quotePrefix="0" xfId="0"/>
    <xf numFmtId="0" fontId="1" fillId="0" borderId="5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7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5" applyAlignment="1" pivotButton="0" quotePrefix="0" xfId="0">
      <alignment horizontal="right" vertical="center" wrapText="1"/>
    </xf>
    <xf numFmtId="10" fontId="19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top" wrapText="1"/>
    </xf>
    <xf numFmtId="0" fontId="15" fillId="0" borderId="1" applyAlignment="1" pivotButton="0" quotePrefix="0" xfId="0">
      <alignment horizontal="center" vertical="center" wrapText="1"/>
    </xf>
    <xf numFmtId="0" fontId="20" fillId="0" borderId="1" applyAlignment="1" pivotButton="0" quotePrefix="0" xfId="0">
      <alignment vertical="top" wrapText="1"/>
    </xf>
    <xf numFmtId="165" fontId="21" fillId="0" borderId="1" applyAlignment="1" pivotButton="0" quotePrefix="0" xfId="0">
      <alignment horizontal="center" vertical="center" wrapText="1"/>
    </xf>
    <xf numFmtId="2" fontId="2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top" wrapText="1"/>
    </xf>
    <xf numFmtId="168" fontId="2" fillId="0" borderId="1" applyAlignment="1" pivotButton="0" quotePrefix="0" xfId="0">
      <alignment horizontal="right" vertical="center" wrapText="1"/>
    </xf>
    <xf numFmtId="49" fontId="1" fillId="0" borderId="5" applyAlignment="1" pivotButton="0" quotePrefix="0" xfId="0">
      <alignment horizontal="center" vertical="center" wrapText="1"/>
    </xf>
    <xf numFmtId="168" fontId="21" fillId="0" borderId="1" applyAlignment="1" pivotButton="0" quotePrefix="0" xfId="0">
      <alignment vertical="center" wrapText="1"/>
    </xf>
    <xf numFmtId="10" fontId="0" fillId="0" borderId="0" pivotButton="0" quotePrefix="0" xfId="0"/>
    <xf numFmtId="0" fontId="12" fillId="0" borderId="4" applyAlignment="1" pivotButton="0" quotePrefix="0" xfId="0">
      <alignment horizontal="left" vertical="center" wrapText="1"/>
    </xf>
    <xf numFmtId="0" fontId="12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top" wrapText="1"/>
    </xf>
    <xf numFmtId="0" fontId="20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top"/>
    </xf>
    <xf numFmtId="0" fontId="1" fillId="0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center" vertical="top"/>
    </xf>
    <xf numFmtId="4" fontId="1" fillId="0" borderId="1" applyAlignment="1" pivotButton="0" quotePrefix="0" xfId="0">
      <alignment horizontal="right" vertical="top" wrapText="1"/>
    </xf>
    <xf numFmtId="0" fontId="22" fillId="0" borderId="4" applyAlignment="1" pivotButton="0" quotePrefix="0" xfId="0">
      <alignment vertical="center" wrapText="1"/>
    </xf>
    <xf numFmtId="165" fontId="1" fillId="0" borderId="1" applyAlignment="1" pivotButton="0" quotePrefix="0" xfId="0">
      <alignment horizontal="center" vertical="center"/>
    </xf>
    <xf numFmtId="2" fontId="1" fillId="0" borderId="1" applyAlignment="1" pivotButton="0" quotePrefix="0" xfId="0">
      <alignment horizontal="right" vertical="top" wrapText="1"/>
    </xf>
    <xf numFmtId="4" fontId="1" fillId="4" borderId="1" applyAlignment="1" pivotButton="0" quotePrefix="0" xfId="0">
      <alignment horizontal="right" vertical="center"/>
    </xf>
    <xf numFmtId="4" fontId="1" fillId="0" borderId="0" applyAlignment="1" pivotButton="0" quotePrefix="0" xfId="0">
      <alignment horizontal="left" vertical="center" wrapText="1"/>
    </xf>
    <xf numFmtId="49" fontId="17" fillId="0" borderId="0" applyAlignment="1" pivotButton="0" quotePrefix="0" xfId="0">
      <alignment horizontal="left" vertical="center"/>
    </xf>
    <xf numFmtId="0" fontId="17" fillId="0" borderId="0" pivotButton="0" quotePrefix="0" xfId="0"/>
    <xf numFmtId="0" fontId="17" fillId="0" borderId="1" applyAlignment="1" pivotButton="0" quotePrefix="0" xfId="0">
      <alignment horizontal="center" vertical="center"/>
    </xf>
    <xf numFmtId="49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horizontal="left" vertical="center" wrapText="1"/>
    </xf>
    <xf numFmtId="4" fontId="17" fillId="0" borderId="1" applyAlignment="1" pivotButton="0" quotePrefix="0" xfId="0">
      <alignment horizontal="center" vertical="center"/>
    </xf>
    <xf numFmtId="0" fontId="23" fillId="0" borderId="0" applyAlignment="1" pivotButton="0" quotePrefix="0" xfId="0">
      <alignment vertical="center"/>
    </xf>
    <xf numFmtId="169" fontId="17" fillId="0" borderId="1" applyAlignment="1" pivotButton="0" quotePrefix="0" xfId="0">
      <alignment horizontal="center" vertical="center"/>
    </xf>
    <xf numFmtId="170" fontId="17" fillId="0" borderId="1" applyAlignment="1" pivotButton="0" quotePrefix="0" xfId="0">
      <alignment horizontal="center" vertical="center"/>
    </xf>
    <xf numFmtId="165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wrapText="1"/>
    </xf>
    <xf numFmtId="49" fontId="17" fillId="0" borderId="5" applyAlignment="1" pivotButton="0" quotePrefix="0" xfId="0">
      <alignment horizontal="center" vertical="center"/>
    </xf>
    <xf numFmtId="0" fontId="24" fillId="0" borderId="5" applyAlignment="1" pivotButton="0" quotePrefix="0" xfId="0">
      <alignment vertical="center" wrapText="1"/>
    </xf>
    <xf numFmtId="0" fontId="17" fillId="0" borderId="5" applyAlignment="1" pivotButton="0" quotePrefix="0" xfId="0">
      <alignment horizontal="center" vertical="center" wrapText="1"/>
    </xf>
    <xf numFmtId="4" fontId="24" fillId="0" borderId="5" applyAlignment="1" pivotButton="0" quotePrefix="0" xfId="0">
      <alignment horizontal="center" vertical="center"/>
    </xf>
    <xf numFmtId="0" fontId="17" fillId="0" borderId="5" applyAlignment="1" pivotButton="0" quotePrefix="0" xfId="0">
      <alignment horizontal="left" vertical="center" wrapText="1"/>
    </xf>
    <xf numFmtId="0" fontId="0" fillId="0" borderId="2" pivotButton="0" quotePrefix="0" xfId="0"/>
    <xf numFmtId="0" fontId="17" fillId="0" borderId="6" applyAlignment="1" pivotButton="0" quotePrefix="0" xfId="0">
      <alignment vertical="center" wrapText="1"/>
    </xf>
    <xf numFmtId="0" fontId="17" fillId="0" borderId="7" applyAlignment="1" pivotButton="0" quotePrefix="0" xfId="0">
      <alignment vertical="center" wrapText="1"/>
    </xf>
    <xf numFmtId="170" fontId="17" fillId="0" borderId="5" applyAlignment="1" pivotButton="0" quotePrefix="0" xfId="0">
      <alignment horizontal="center" vertical="center"/>
    </xf>
    <xf numFmtId="0" fontId="24" fillId="0" borderId="1" applyAlignment="1" pivotButton="0" quotePrefix="0" xfId="0">
      <alignment vertical="center" wrapText="1"/>
    </xf>
    <xf numFmtId="4" fontId="24" fillId="0" borderId="1" applyAlignment="1" pivotButton="0" quotePrefix="0" xfId="0">
      <alignment horizontal="center" vertical="center"/>
    </xf>
    <xf numFmtId="4" fontId="17" fillId="0" borderId="1" applyAlignment="1" pivotButton="0" quotePrefix="0" xfId="0">
      <alignment horizontal="center" vertical="center" wrapText="1"/>
    </xf>
    <xf numFmtId="14" fontId="17" fillId="0" borderId="1" applyAlignment="1" pivotButton="0" quotePrefix="0" xfId="0">
      <alignment horizontal="center" vertical="center" wrapText="1"/>
    </xf>
    <xf numFmtId="49" fontId="15" fillId="0" borderId="1" applyAlignment="1" pivotButton="0" quotePrefix="0" xfId="0">
      <alignment vertical="center" wrapText="1"/>
    </xf>
    <xf numFmtId="0" fontId="15" fillId="0" borderId="1" applyAlignment="1" pivotButton="0" quotePrefix="0" xfId="0">
      <alignment vertical="center" wrapText="1"/>
    </xf>
    <xf numFmtId="2" fontId="15" fillId="0" borderId="1" applyAlignment="1" pivotButton="0" quotePrefix="0" xfId="0">
      <alignment vertical="center" wrapText="1"/>
    </xf>
    <xf numFmtId="4" fontId="22" fillId="0" borderId="4" applyAlignment="1" pivotButton="0" quotePrefix="0" xfId="0">
      <alignment vertical="center" wrapText="1"/>
    </xf>
    <xf numFmtId="2" fontId="22" fillId="0" borderId="4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7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right" vertical="center"/>
    </xf>
    <xf numFmtId="0" fontId="25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center" vertical="center" wrapText="1"/>
    </xf>
    <xf numFmtId="0" fontId="24" fillId="0" borderId="4" applyAlignment="1" pivotButton="0" quotePrefix="0" xfId="0">
      <alignment horizontal="right" vertical="center" wrapText="1"/>
    </xf>
    <xf numFmtId="0" fontId="24" fillId="0" borderId="1" applyAlignment="1" pivotButton="0" quotePrefix="0" xfId="0">
      <alignment horizontal="right" vertical="center" wrapText="1"/>
    </xf>
    <xf numFmtId="0" fontId="24" fillId="0" borderId="0" applyAlignment="1" pivotButton="0" quotePrefix="0" xfId="0">
      <alignment horizontal="center" vertical="center"/>
    </xf>
    <xf numFmtId="0" fontId="17" fillId="0" borderId="1" applyAlignment="1" pivotButton="0" quotePrefix="0" xfId="0">
      <alignment horizontal="center" vertical="center" wrapText="1"/>
    </xf>
    <xf numFmtId="0" fontId="17" fillId="0" borderId="5" applyAlignment="1" pivotButton="0" quotePrefix="0" xfId="0">
      <alignment horizontal="center" vertical="center" wrapText="1"/>
    </xf>
    <xf numFmtId="49" fontId="2" fillId="0" borderId="3" applyAlignment="1" pivotButton="0" quotePrefix="0" xfId="0">
      <alignment horizontal="left" vertical="center" wrapText="1"/>
    </xf>
    <xf numFmtId="49" fontId="2" fillId="0" borderId="8" applyAlignment="1" pivotButton="0" quotePrefix="0" xfId="0">
      <alignment horizontal="left" vertical="center" wrapText="1"/>
    </xf>
    <xf numFmtId="49" fontId="2" fillId="0" borderId="6" applyAlignment="1" pivotButton="0" quotePrefix="0" xfId="0">
      <alignment horizontal="left" vertical="center" wrapText="1"/>
    </xf>
    <xf numFmtId="49" fontId="2" fillId="0" borderId="7" applyAlignment="1" pivotButton="0" quotePrefix="0" xfId="0">
      <alignment horizontal="left" vertical="center" wrapText="1"/>
    </xf>
    <xf numFmtId="49" fontId="2" fillId="0" borderId="1" applyAlignment="1" pivotButton="0" quotePrefix="0" xfId="0">
      <alignment horizontal="left" vertical="center" wrapText="1"/>
    </xf>
    <xf numFmtId="49" fontId="2" fillId="0" borderId="1" applyAlignment="1" pivotButton="0" quotePrefix="0" xfId="0">
      <alignment horizontal="left" vertical="top" wrapText="1"/>
    </xf>
    <xf numFmtId="49" fontId="2" fillId="0" borderId="2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center" vertical="center" wrapText="1"/>
    </xf>
    <xf numFmtId="4" fontId="4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center"/>
    </xf>
    <xf numFmtId="0" fontId="26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7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7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8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49" fontId="1" fillId="0" borderId="0" applyAlignment="1" pivotButton="0" quotePrefix="0" xfId="0">
      <alignment horizontal="center" vertical="center" wrapText="1"/>
    </xf>
    <xf numFmtId="49" fontId="1" fillId="0" borderId="0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center" vertical="top"/>
    </xf>
    <xf numFmtId="0" fontId="1" fillId="0" borderId="0" applyAlignment="1" pivotButton="0" quotePrefix="0" xfId="0">
      <alignment horizontal="right" vertical="top"/>
    </xf>
    <xf numFmtId="4" fontId="1" fillId="0" borderId="0" applyAlignment="1" pivotButton="0" quotePrefix="0" xfId="0">
      <alignment horizontal="right" vertical="top" wrapText="1"/>
    </xf>
    <xf numFmtId="0" fontId="0" fillId="0" borderId="6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8" pivotButton="0" quotePrefix="0" xfId="0"/>
    <xf numFmtId="0" fontId="0" fillId="0" borderId="14" pivotButton="0" quotePrefix="0" xfId="0"/>
    <xf numFmtId="165" fontId="21" fillId="0" borderId="1" applyAlignment="1" pivotButton="0" quotePrefix="0" xfId="0">
      <alignment horizontal="center" vertical="center" wrapText="1"/>
    </xf>
    <xf numFmtId="166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5" fontId="0" fillId="0" borderId="0" pivotButton="0" quotePrefix="0" xfId="0"/>
    <xf numFmtId="49" fontId="2" fillId="0" borderId="4" applyAlignment="1" pivotButton="0" quotePrefix="0" xfId="0">
      <alignment horizontal="left" vertical="center" wrapText="1"/>
    </xf>
    <xf numFmtId="168" fontId="2" fillId="0" borderId="1" applyAlignment="1" pivotButton="0" quotePrefix="0" xfId="0">
      <alignment horizontal="right" vertical="center" wrapText="1"/>
    </xf>
    <xf numFmtId="168" fontId="21" fillId="0" borderId="1" applyAlignment="1" pivotButton="0" quotePrefix="0" xfId="0">
      <alignment vertical="center" wrapText="1"/>
    </xf>
    <xf numFmtId="43" fontId="0" fillId="0" borderId="0" pivotButton="0" quotePrefix="0" xfId="0"/>
    <xf numFmtId="167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/>
    </xf>
    <xf numFmtId="169" fontId="17" fillId="0" borderId="1" applyAlignment="1" pivotButton="0" quotePrefix="0" xfId="0">
      <alignment horizontal="center" vertical="center"/>
    </xf>
    <xf numFmtId="170" fontId="17" fillId="0" borderId="1" applyAlignment="1" pivotButton="0" quotePrefix="0" xfId="0">
      <alignment horizontal="center" vertical="center"/>
    </xf>
    <xf numFmtId="165" fontId="17" fillId="0" borderId="1" applyAlignment="1" pivotButton="0" quotePrefix="0" xfId="0">
      <alignment horizontal="center" vertical="center"/>
    </xf>
    <xf numFmtId="170" fontId="17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2" /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3" /></Relationships>
</file>

<file path=xl/worksheets/sheet1.xml><?xml version="1.0" encoding="utf-8"?>
<worksheet xmlns="http://schemas.openxmlformats.org/spreadsheetml/2006/main">
  <sheetPr codeName="Лист4">
    <outlinePr summaryBelow="1" summaryRight="1"/>
    <pageSetUpPr fitToPage="1"/>
  </sheetPr>
  <dimension ref="B3:D31"/>
  <sheetViews>
    <sheetView view="pageBreakPreview" topLeftCell="A23" zoomScale="130" zoomScaleNormal="70" zoomScaleSheetLayoutView="130" workbookViewId="0">
      <selection activeCell="D25" sqref="D25"/>
    </sheetView>
  </sheetViews>
  <sheetFormatPr baseColWidth="8" defaultRowHeight="15"/>
  <cols>
    <col width="36.85546875" customWidth="1" min="3" max="3"/>
    <col width="43.85546875" customWidth="1" min="4" max="4"/>
  </cols>
  <sheetData>
    <row r="3" ht="15.75" customHeight="1">
      <c r="B3" s="223" t="inlineStr">
        <is>
          <t>Приложение № 1</t>
        </is>
      </c>
    </row>
    <row r="4" ht="18.75" customHeight="1">
      <c r="B4" s="224" t="inlineStr">
        <is>
          <t>Сравнительная таблица отбора объекта-представителя</t>
        </is>
      </c>
    </row>
    <row r="5" ht="84" customHeight="1">
      <c r="B5" s="225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>
      <c r="B6" s="116" t="n"/>
      <c r="C6" s="116" t="n"/>
      <c r="D6" s="116" t="n"/>
    </row>
    <row r="7" ht="42" customHeight="1">
      <c r="B7" s="222" t="inlineStr">
        <is>
          <t>Наименование разрабатываемого показателя УНЦ — ИВКЭ для ПС (ЗПС) 35 кВ и выше</t>
        </is>
      </c>
    </row>
    <row r="8" ht="31.5" customHeight="1">
      <c r="B8" s="222" t="inlineStr">
        <is>
          <t>Сопоставимый уровень цен: 3 кв. 2019 г.</t>
        </is>
      </c>
    </row>
    <row r="9" ht="15.75" customHeight="1">
      <c r="B9" s="222" t="inlineStr">
        <is>
          <t>Единица измерения  — 1 ед</t>
        </is>
      </c>
    </row>
    <row r="10" ht="18.75" customHeight="1">
      <c r="B10" s="117" t="n"/>
    </row>
    <row r="11" ht="15.75" customHeight="1">
      <c r="B11" s="229" t="inlineStr">
        <is>
          <t>№ п/п</t>
        </is>
      </c>
      <c r="C11" s="229" t="inlineStr">
        <is>
          <t>Параметр</t>
        </is>
      </c>
      <c r="D11" s="229" t="inlineStr">
        <is>
          <t xml:space="preserve">Объект-представитель </t>
        </is>
      </c>
    </row>
    <row r="12" ht="63.6" customHeight="1">
      <c r="B12" s="229" t="n">
        <v>1</v>
      </c>
      <c r="C12" s="119" t="inlineStr">
        <is>
          <t>Наименование объекта-представителя</t>
        </is>
      </c>
      <c r="D12" s="229" t="inlineStr">
        <is>
          <t>Установка инновационных ПКУ 10 кв в филиале ПАО "МРСК Юга-"Калмэнерго". Организация системы учета электроэнергии с удаленным сбором (48 точек учета)</t>
        </is>
      </c>
    </row>
    <row r="13" ht="31.5" customHeight="1">
      <c r="B13" s="229" t="n">
        <v>2</v>
      </c>
      <c r="C13" s="119" t="inlineStr">
        <is>
          <t>Наименование субъекта Российской Федерации</t>
        </is>
      </c>
      <c r="D13" s="229" t="inlineStr">
        <is>
          <t>Республика Калмыкия</t>
        </is>
      </c>
    </row>
    <row r="14" ht="15.75" customHeight="1">
      <c r="B14" s="229" t="n">
        <v>3</v>
      </c>
      <c r="C14" s="119" t="inlineStr">
        <is>
          <t>Климатический район и подрайон</t>
        </is>
      </c>
      <c r="D14" s="229" t="inlineStr">
        <is>
          <t>IVГ</t>
        </is>
      </c>
    </row>
    <row r="15" ht="15.75" customHeight="1">
      <c r="B15" s="229" t="n">
        <v>4</v>
      </c>
      <c r="C15" s="119" t="inlineStr">
        <is>
          <t>Мощность объекта</t>
        </is>
      </c>
      <c r="D15" s="229" t="n">
        <v>1</v>
      </c>
    </row>
    <row r="16" ht="107.25" customHeight="1">
      <c r="B16" s="229" t="n">
        <v>5</v>
      </c>
      <c r="C16" s="120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29" t="inlineStr">
        <is>
          <t>Счётчик трёхфазный прямого включения в шкафном исполнении с передачей данных в ИВКЭ</t>
        </is>
      </c>
    </row>
    <row r="17" ht="95.25" customHeight="1">
      <c r="B17" s="229" t="n">
        <v>6</v>
      </c>
      <c r="C17" s="120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08">
        <f>D18+D19+D20+D21</f>
        <v/>
      </c>
    </row>
    <row r="18" ht="15.75" customHeight="1">
      <c r="B18" s="121" t="inlineStr">
        <is>
          <t>6.1</t>
        </is>
      </c>
      <c r="C18" s="119" t="inlineStr">
        <is>
          <t>строительно-монтажные работы</t>
        </is>
      </c>
      <c r="D18" s="208">
        <f>'Прил.2 Расч стоим'!F12+'Прил.2 Расч стоим'!G12</f>
        <v/>
      </c>
    </row>
    <row r="19" ht="15.75" customHeight="1">
      <c r="B19" s="121" t="inlineStr">
        <is>
          <t>6.2</t>
        </is>
      </c>
      <c r="C19" s="119" t="inlineStr">
        <is>
          <t>оборудование и инвентарь</t>
        </is>
      </c>
      <c r="D19" s="208">
        <f>'Прил.2 Расч стоим'!H12</f>
        <v/>
      </c>
    </row>
    <row r="20" ht="15.75" customHeight="1">
      <c r="B20" s="121" t="inlineStr">
        <is>
          <t>6.3</t>
        </is>
      </c>
      <c r="C20" s="119" t="inlineStr">
        <is>
          <t>пусконаладочные работы</t>
        </is>
      </c>
      <c r="D20" s="208" t="n"/>
    </row>
    <row r="21" ht="19.5" customHeight="1">
      <c r="B21" s="121" t="inlineStr">
        <is>
          <t>6.4</t>
        </is>
      </c>
      <c r="C21" s="119" t="inlineStr">
        <is>
          <t>прочие и лимитированные затраты</t>
        </is>
      </c>
      <c r="D21" s="208">
        <f>D18*0.039+(D18*0.039+D18)*0.021</f>
        <v/>
      </c>
    </row>
    <row r="22" ht="15.75" customHeight="1">
      <c r="B22" s="229" t="n">
        <v>7</v>
      </c>
      <c r="C22" s="119" t="inlineStr">
        <is>
          <t>Сопоставимый уровень цен</t>
        </is>
      </c>
      <c r="D22" s="209" t="inlineStr">
        <is>
          <t>3 кв. 2019 г.</t>
        </is>
      </c>
    </row>
    <row r="23" ht="125.25" customHeight="1">
      <c r="B23" s="229" t="n">
        <v>8</v>
      </c>
      <c r="C23" s="120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08">
        <f>D17</f>
        <v/>
      </c>
    </row>
    <row r="24" ht="61.5" customHeight="1">
      <c r="B24" s="229" t="n">
        <v>9</v>
      </c>
      <c r="C24" s="120" t="inlineStr">
        <is>
          <t>Приведенная сметная стоимость на единицу мощности, тыс. руб. (строка 8/строку 4)</t>
        </is>
      </c>
      <c r="D24" s="208">
        <f>D23/D15</f>
        <v/>
      </c>
    </row>
    <row r="25" ht="37.5" customHeight="1">
      <c r="B25" s="122" t="n"/>
      <c r="C25" s="123" t="n"/>
      <c r="D25" s="123" t="n"/>
    </row>
    <row r="26">
      <c r="B26" s="4" t="inlineStr">
        <is>
          <t>Составил ______________________        А.Р. Маркова</t>
        </is>
      </c>
      <c r="C26" s="12" t="n"/>
    </row>
    <row r="27">
      <c r="B27" s="33" t="inlineStr">
        <is>
          <t xml:space="preserve">                         (подпись, инициалы, фамилия)</t>
        </is>
      </c>
      <c r="C27" s="12" t="n"/>
    </row>
    <row r="28">
      <c r="B28" s="4" t="n"/>
      <c r="C28" s="12" t="n"/>
    </row>
    <row r="29">
      <c r="B29" s="4" t="inlineStr">
        <is>
          <t>Проверил ______________________        А.В. Костянецкая</t>
        </is>
      </c>
      <c r="C29" s="12" t="n"/>
    </row>
    <row r="30">
      <c r="B30" s="33" t="inlineStr">
        <is>
          <t xml:space="preserve">                        (подпись, инициалы, фамилия)</t>
        </is>
      </c>
      <c r="C30" s="12" t="n"/>
    </row>
    <row r="31" ht="15.75" customHeight="1">
      <c r="B31" s="123" t="n"/>
      <c r="C31" s="123" t="n"/>
      <c r="D31" s="123" t="n"/>
    </row>
  </sheetData>
  <mergeCells count="6">
    <mergeCell ref="B3:D3"/>
    <mergeCell ref="B5:D5"/>
    <mergeCell ref="B8:D8"/>
    <mergeCell ref="B4:D4"/>
    <mergeCell ref="B9:D9"/>
    <mergeCell ref="B7:D7"/>
  </mergeCells>
  <pageMargins left="0.7086614173228347" right="0.7086614173228347" top="0.7480314960629921" bottom="0.7480314960629921" header="0.3149606299212598" footer="0.3149606299212598"/>
  <pageSetup orientation="portrait" paperSize="9" scale="75"/>
  <colBreaks count="1" manualBreakCount="1">
    <brk id="0" min="0" max="16383" man="1"/>
  </colBreaks>
</worksheet>
</file>

<file path=xl/worksheets/sheet2.xml><?xml version="1.0" encoding="utf-8"?>
<worksheet xmlns="http://schemas.openxmlformats.org/spreadsheetml/2006/main">
  <sheetPr codeName="Лист5">
    <outlinePr summaryBelow="1" summaryRight="1"/>
    <pageSetUpPr/>
  </sheetPr>
  <dimension ref="B3:K22"/>
  <sheetViews>
    <sheetView view="pageBreakPreview" zoomScale="115" zoomScaleNormal="70" zoomScaleSheetLayoutView="115" workbookViewId="0">
      <selection activeCell="E16" sqref="E16"/>
    </sheetView>
  </sheetViews>
  <sheetFormatPr baseColWidth="8" defaultRowHeight="15"/>
  <cols>
    <col width="5.5703125" customWidth="1" min="1" max="1"/>
    <col width="35.28515625" customWidth="1" min="3" max="3"/>
    <col width="13.85546875" customWidth="1" min="4" max="4"/>
    <col width="17.42578125" customWidth="1" min="5" max="5"/>
    <col width="12.7109375" customWidth="1" min="6" max="6"/>
    <col width="14.85546875" customWidth="1" min="7" max="7"/>
    <col width="16.7109375" customWidth="1" min="8" max="8"/>
    <col width="13" customWidth="1" min="9" max="10"/>
    <col width="18" customWidth="1" min="11" max="11"/>
  </cols>
  <sheetData>
    <row r="3" ht="15.75" customHeight="1">
      <c r="B3" s="223" t="inlineStr">
        <is>
          <t>Приложение № 2</t>
        </is>
      </c>
    </row>
    <row r="4" ht="15.75" customHeight="1">
      <c r="B4" s="228" t="inlineStr">
        <is>
          <t>Расчет стоимости основных видов работ для выбора объекта-представителя</t>
        </is>
      </c>
    </row>
    <row r="5" ht="15.75" customHeight="1">
      <c r="B5" s="124" t="n"/>
      <c r="C5" s="124" t="n"/>
      <c r="D5" s="124" t="n"/>
      <c r="E5" s="124" t="n"/>
      <c r="F5" s="124" t="n"/>
      <c r="G5" s="124" t="n"/>
      <c r="H5" s="124" t="n"/>
      <c r="I5" s="124" t="n"/>
      <c r="J5" s="124" t="n"/>
      <c r="K5" s="124" t="n"/>
    </row>
    <row r="6" ht="15.75" customHeight="1">
      <c r="B6" s="222" t="inlineStr">
        <is>
          <t>Наименование разрабатываемого показателя УНЦ - ИВКЭ для ПС (ЗПС) 35 кВ и выше</t>
        </is>
      </c>
    </row>
    <row r="7" ht="15.75" customHeight="1">
      <c r="B7" s="222" t="inlineStr">
        <is>
          <t>Единица измерения  — 1 ед</t>
        </is>
      </c>
    </row>
    <row r="8" ht="18.75" customHeight="1">
      <c r="B8" s="117" t="n"/>
    </row>
    <row r="9" ht="15.75" customHeight="1">
      <c r="B9" s="229" t="inlineStr">
        <is>
          <t>№ п/п</t>
        </is>
      </c>
      <c r="C9" s="229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29" t="inlineStr">
        <is>
          <t>Объект-представитель 1</t>
        </is>
      </c>
      <c r="E9" s="311" t="n"/>
      <c r="F9" s="311" t="n"/>
      <c r="G9" s="311" t="n"/>
      <c r="H9" s="311" t="n"/>
      <c r="I9" s="311" t="n"/>
      <c r="J9" s="312" t="n"/>
    </row>
    <row r="10" ht="15.75" customHeight="1">
      <c r="B10" s="313" t="n"/>
      <c r="C10" s="313" t="n"/>
      <c r="D10" s="229" t="inlineStr">
        <is>
          <t>Номер сметы</t>
        </is>
      </c>
      <c r="E10" s="229" t="inlineStr">
        <is>
          <t>Наименование сметы</t>
        </is>
      </c>
      <c r="F10" s="229" t="inlineStr">
        <is>
          <t>Сметная стоимость в уровне цен 3 кв. 2019г., тыс. руб.</t>
        </is>
      </c>
      <c r="G10" s="311" t="n"/>
      <c r="H10" s="311" t="n"/>
      <c r="I10" s="311" t="n"/>
      <c r="J10" s="312" t="n"/>
    </row>
    <row r="11" ht="31.5" customHeight="1">
      <c r="B11" s="314" t="n"/>
      <c r="C11" s="314" t="n"/>
      <c r="D11" s="314" t="n"/>
      <c r="E11" s="314" t="n"/>
      <c r="F11" s="230" t="inlineStr">
        <is>
          <t>Строительные работы</t>
        </is>
      </c>
      <c r="G11" s="230" t="inlineStr">
        <is>
          <t>Монтажные работы</t>
        </is>
      </c>
      <c r="H11" s="230" t="inlineStr">
        <is>
          <t>Оборудование</t>
        </is>
      </c>
      <c r="I11" s="230" t="inlineStr">
        <is>
          <t>Прочее</t>
        </is>
      </c>
      <c r="J11" s="230" t="inlineStr">
        <is>
          <t>Всего</t>
        </is>
      </c>
    </row>
    <row r="12" ht="54.75" customHeight="1">
      <c r="B12" s="164" t="n">
        <v>1</v>
      </c>
      <c r="C12" s="229" t="inlineStr">
        <is>
          <t>Счётчик трёхфазный прямого включения в шкафном исполнении с передачей данных в ИВКЭ</t>
        </is>
      </c>
      <c r="D12" s="210" t="inlineStr">
        <is>
          <t>02-01-01</t>
        </is>
      </c>
      <c r="E12" s="211" t="inlineStr">
        <is>
          <t>Установка ПКУ 10 кВ</t>
        </is>
      </c>
      <c r="F12" s="211" t="n">
        <v>0</v>
      </c>
      <c r="G12" s="212" t="n">
        <v>8.83</v>
      </c>
      <c r="H12" s="212" t="n">
        <v>164.43</v>
      </c>
      <c r="I12" s="211" t="n">
        <v>0</v>
      </c>
      <c r="J12" s="211">
        <f>SUM(F12:I12)</f>
        <v/>
      </c>
    </row>
    <row r="13" ht="15.75" customHeight="1">
      <c r="B13" s="226" t="inlineStr">
        <is>
          <t>Всего по объекту:</t>
        </is>
      </c>
      <c r="C13" s="315" t="n"/>
      <c r="D13" s="315" t="n"/>
      <c r="E13" s="316" t="n"/>
      <c r="F13" s="181">
        <f>F12</f>
        <v/>
      </c>
      <c r="G13" s="181">
        <f>G12</f>
        <v/>
      </c>
      <c r="H13" s="181">
        <f>H12</f>
        <v/>
      </c>
      <c r="I13" s="181">
        <f>I12</f>
        <v/>
      </c>
      <c r="J13" s="181">
        <f>SUM(F13:I13)</f>
        <v/>
      </c>
    </row>
    <row r="14" ht="28.5" customHeight="1">
      <c r="B14" s="227" t="inlineStr">
        <is>
          <t>Всего по объекту в сопоставимом уровне цен 3 кв. 2019г:</t>
        </is>
      </c>
      <c r="C14" s="311" t="n"/>
      <c r="D14" s="311" t="n"/>
      <c r="E14" s="312" t="n"/>
      <c r="F14" s="181">
        <f>F13</f>
        <v/>
      </c>
      <c r="G14" s="181">
        <f>G13</f>
        <v/>
      </c>
      <c r="H14" s="181">
        <f>H13</f>
        <v/>
      </c>
      <c r="I14" s="213">
        <f>'Прил.1 Сравнит табл'!D21</f>
        <v/>
      </c>
      <c r="J14" s="214">
        <f>SUM(F14:I14)</f>
        <v/>
      </c>
    </row>
    <row r="15" ht="18.75" customHeight="1">
      <c r="B15" s="117" t="n"/>
    </row>
    <row r="18">
      <c r="C18" s="4" t="inlineStr">
        <is>
          <t>Составил ______________________    А.Р. Маркова</t>
        </is>
      </c>
      <c r="D18" s="12" t="n"/>
    </row>
    <row r="19">
      <c r="C19" s="33" t="inlineStr">
        <is>
          <t xml:space="preserve">                         (подпись, инициалы, фамилия)</t>
        </is>
      </c>
      <c r="D19" s="12" t="n"/>
    </row>
    <row r="20">
      <c r="C20" s="4" t="n"/>
      <c r="D20" s="12" t="n"/>
    </row>
    <row r="21">
      <c r="C21" s="4" t="inlineStr">
        <is>
          <t>Проверил ______________________        А.В. Костянецкая</t>
        </is>
      </c>
      <c r="D21" s="12" t="n"/>
    </row>
    <row r="22">
      <c r="C22" s="33" t="inlineStr">
        <is>
          <t xml:space="preserve">                        (подпись, инициалы, фамилия)</t>
        </is>
      </c>
      <c r="D22" s="12" t="n"/>
    </row>
  </sheetData>
  <mergeCells count="12"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3:K3"/>
    <mergeCell ref="B14:E14"/>
  </mergeCells>
  <pageMargins left="0.7" right="0.7" top="0.75" bottom="0.75" header="0.3" footer="0.3"/>
  <pageSetup orientation="portrait" paperSize="9" scale="52"/>
</worksheet>
</file>

<file path=xl/worksheets/sheet3.xml><?xml version="1.0" encoding="utf-8"?>
<worksheet xmlns="http://schemas.openxmlformats.org/spreadsheetml/2006/main">
  <sheetPr codeName="Лист6">
    <outlinePr summaryBelow="1" summaryRight="1"/>
    <pageSetUpPr fitToPage="1"/>
  </sheetPr>
  <dimension ref="A2:O40"/>
  <sheetViews>
    <sheetView view="pageBreakPreview" zoomScale="145" zoomScaleSheetLayoutView="145" workbookViewId="0">
      <selection activeCell="A9" sqref="A9:A10"/>
    </sheetView>
  </sheetViews>
  <sheetFormatPr baseColWidth="8" defaultRowHeight="15"/>
  <cols>
    <col width="8.5703125" customWidth="1" min="1" max="1"/>
    <col width="12.85546875" customWidth="1" min="2" max="2"/>
    <col width="20.7109375" customWidth="1" min="3" max="3"/>
    <col width="59" customWidth="1" min="4" max="4"/>
    <col width="12.28515625" customWidth="1" min="5" max="5"/>
    <col width="19.85546875" customWidth="1" min="6" max="6"/>
    <col width="17.85546875" customWidth="1" min="7" max="7"/>
    <col width="19.42578125" customWidth="1" style="146" min="8" max="8"/>
    <col hidden="1" width="10.140625" customWidth="1" min="9" max="9"/>
    <col hidden="1" width="10.140625" customWidth="1" min="11" max="11"/>
  </cols>
  <sheetData>
    <row r="2" ht="15.75" customHeight="1">
      <c r="A2" s="223" t="inlineStr">
        <is>
          <t xml:space="preserve">Приложение № 3 </t>
        </is>
      </c>
      <c r="I2" s="122" t="n"/>
    </row>
    <row r="3" ht="18.75" customHeight="1">
      <c r="A3" s="224" t="inlineStr">
        <is>
          <t>Объектная ресурсная ведомость</t>
        </is>
      </c>
    </row>
    <row r="4" ht="25.5" customHeight="1">
      <c r="B4" s="145" t="n"/>
      <c r="C4" s="305" t="inlineStr">
        <is>
          <t xml:space="preserve">Сметная стоимость ресурсов принята на основании данных по объекту - представителя в ценах на 01.01.2000 </t>
        </is>
      </c>
    </row>
    <row r="5" ht="15.75" customHeight="1">
      <c r="C5" s="134" t="n"/>
      <c r="D5" s="134" t="n"/>
      <c r="E5" s="134" t="n"/>
      <c r="F5" s="134" t="n"/>
      <c r="G5" s="134" t="n"/>
      <c r="H5" s="135" t="n"/>
    </row>
    <row r="6" ht="15" customHeight="1">
      <c r="A6" s="239" t="inlineStr">
        <is>
          <t>Наименование разрабатываемого показателя УНЦ - ИВКЭ для ПС (ЗПС) 35 кВ и выше</t>
        </is>
      </c>
    </row>
    <row r="7" ht="14.25" customHeight="1"/>
    <row r="8" ht="15.75" customHeight="1">
      <c r="C8" s="136" t="n"/>
      <c r="D8" s="307" t="n"/>
      <c r="E8" s="138" t="n"/>
      <c r="F8" s="306" t="n"/>
      <c r="G8" s="140" t="n"/>
      <c r="H8" s="141" t="n"/>
    </row>
    <row r="9" ht="38.25" customHeight="1">
      <c r="A9" s="229" t="inlineStr">
        <is>
          <t>п/п</t>
        </is>
      </c>
      <c r="B9" s="229" t="inlineStr">
        <is>
          <t>№ЛСР</t>
        </is>
      </c>
      <c r="C9" s="229" t="inlineStr">
        <is>
          <t>Код ресурса</t>
        </is>
      </c>
      <c r="D9" s="229" t="inlineStr">
        <is>
          <t>Наименование ресурса</t>
        </is>
      </c>
      <c r="E9" s="229" t="inlineStr">
        <is>
          <t>Ед. изм.</t>
        </is>
      </c>
      <c r="F9" s="229" t="inlineStr">
        <is>
          <t>Кол-во единиц по данным объекта-представителя</t>
        </is>
      </c>
      <c r="G9" s="229" t="inlineStr">
        <is>
          <t>Сметная стоимость в ценах на 01.01.2000 (руб.)</t>
        </is>
      </c>
      <c r="H9" s="312" t="n"/>
    </row>
    <row r="10" ht="40.5" customHeight="1">
      <c r="A10" s="314" t="n"/>
      <c r="B10" s="314" t="n"/>
      <c r="C10" s="314" t="n"/>
      <c r="D10" s="314" t="n"/>
      <c r="E10" s="314" t="n"/>
      <c r="F10" s="314" t="n"/>
      <c r="G10" s="229" t="inlineStr">
        <is>
          <t>на ед.изм.</t>
        </is>
      </c>
      <c r="H10" s="229" t="inlineStr">
        <is>
          <t>общая</t>
        </is>
      </c>
    </row>
    <row r="11" ht="15.75" customHeight="1">
      <c r="A11" s="229" t="n">
        <v>1</v>
      </c>
      <c r="B11" s="164" t="n"/>
      <c r="C11" s="229" t="n">
        <v>2</v>
      </c>
      <c r="D11" s="229" t="inlineStr">
        <is>
          <t>З</t>
        </is>
      </c>
      <c r="E11" s="229" t="n">
        <v>4</v>
      </c>
      <c r="F11" s="229" t="n">
        <v>5</v>
      </c>
      <c r="G11" s="164" t="n">
        <v>6</v>
      </c>
      <c r="H11" s="164" t="n">
        <v>7</v>
      </c>
    </row>
    <row r="12" ht="15" customHeight="1">
      <c r="A12" s="235" t="inlineStr">
        <is>
          <t>Затраты труда рабочих</t>
        </is>
      </c>
      <c r="B12" s="311" t="n"/>
      <c r="C12" s="311" t="n"/>
      <c r="D12" s="312" t="n"/>
      <c r="E12" s="165" t="n"/>
      <c r="F12" s="317" t="n">
        <v>35.4</v>
      </c>
      <c r="G12" s="165" t="n"/>
      <c r="H12" s="167">
        <f>SUM(H13:H16)</f>
        <v/>
      </c>
    </row>
    <row r="13">
      <c r="A13" s="149" t="inlineStr">
        <is>
          <t>1</t>
        </is>
      </c>
      <c r="B13" s="149" t="n"/>
      <c r="C13" s="149" t="inlineStr">
        <is>
          <t>10-30-1</t>
        </is>
      </c>
      <c r="D13" s="244" t="inlineStr">
        <is>
          <t>Инженер I категории</t>
        </is>
      </c>
      <c r="E13" s="245" t="inlineStr">
        <is>
          <t>чел.час</t>
        </is>
      </c>
      <c r="F13" s="246" t="n">
        <v>16</v>
      </c>
      <c r="G13" s="259" t="n">
        <v>15.49</v>
      </c>
      <c r="H13" s="32">
        <f>ROUND(F13*G13,2)</f>
        <v/>
      </c>
      <c r="J13" s="318" t="n"/>
      <c r="K13" s="142" t="n"/>
      <c r="L13" s="142" t="n"/>
    </row>
    <row r="14">
      <c r="A14" s="149" t="inlineStr">
        <is>
          <t>2</t>
        </is>
      </c>
      <c r="B14" s="149" t="n"/>
      <c r="C14" s="149" t="inlineStr">
        <is>
          <t>10-30-2</t>
        </is>
      </c>
      <c r="D14" s="244" t="inlineStr">
        <is>
          <t>Инженер II категории</t>
        </is>
      </c>
      <c r="E14" s="245" t="inlineStr">
        <is>
          <t>чел.час</t>
        </is>
      </c>
      <c r="F14" s="246" t="n">
        <v>16</v>
      </c>
      <c r="G14" s="259" t="n">
        <v>14.09</v>
      </c>
      <c r="H14" s="32">
        <f>ROUND(F14*G14,2)</f>
        <v/>
      </c>
      <c r="J14" s="318" t="n"/>
      <c r="K14" s="142" t="n"/>
      <c r="L14" s="142" t="n"/>
    </row>
    <row r="15">
      <c r="A15" s="149" t="inlineStr">
        <is>
          <t>3</t>
        </is>
      </c>
      <c r="B15" s="149" t="n"/>
      <c r="C15" s="149" t="inlineStr">
        <is>
          <t>1-4-2</t>
        </is>
      </c>
      <c r="D15" s="244" t="inlineStr">
        <is>
          <t>Затраты труда рабочих (средний разряд работы 4,2)</t>
        </is>
      </c>
      <c r="E15" s="245" t="inlineStr">
        <is>
          <t>чел.час</t>
        </is>
      </c>
      <c r="F15" s="319" t="n">
        <v>2.37</v>
      </c>
      <c r="G15" s="259" t="n">
        <v>9.92</v>
      </c>
      <c r="H15" s="32">
        <f>ROUND(F15*G15,2)</f>
        <v/>
      </c>
      <c r="J15" s="318" t="n"/>
      <c r="K15" s="320" t="n"/>
      <c r="L15" s="142" t="n"/>
      <c r="M15" s="142" t="n"/>
      <c r="O15" s="142" t="n"/>
    </row>
    <row r="16">
      <c r="A16" s="149" t="inlineStr">
        <is>
          <t>4</t>
        </is>
      </c>
      <c r="B16" s="149" t="n"/>
      <c r="C16" s="149" t="inlineStr">
        <is>
          <t>1-3-1</t>
        </is>
      </c>
      <c r="D16" s="244" t="inlineStr">
        <is>
          <t>Затраты труда рабочих (средний разряд работы 3,1)</t>
        </is>
      </c>
      <c r="E16" s="245" t="inlineStr">
        <is>
          <t>чел.час</t>
        </is>
      </c>
      <c r="F16" s="319" t="n">
        <v>1.03</v>
      </c>
      <c r="G16" s="259" t="n">
        <v>8.640000000000001</v>
      </c>
      <c r="H16" s="32">
        <f>ROUND(F16*G16,2)</f>
        <v/>
      </c>
      <c r="J16" s="318" t="n"/>
      <c r="K16" s="142" t="n"/>
      <c r="L16" s="142" t="n"/>
      <c r="M16" s="142" t="n"/>
    </row>
    <row r="17">
      <c r="A17" s="321" t="inlineStr">
        <is>
          <t>Затраты труда машинистов</t>
        </is>
      </c>
      <c r="B17" s="315" t="n"/>
      <c r="C17" s="315" t="n"/>
      <c r="D17" s="316" t="n"/>
      <c r="E17" s="260" t="n"/>
      <c r="F17" s="144" t="n"/>
      <c r="G17" s="168" t="n"/>
      <c r="H17" s="322">
        <f>H18</f>
        <v/>
      </c>
      <c r="L17" s="142" t="n"/>
    </row>
    <row r="18">
      <c r="A18" s="170" t="inlineStr">
        <is>
          <t>5</t>
        </is>
      </c>
      <c r="B18" s="170" t="n"/>
      <c r="C18" s="149" t="n">
        <v>2</v>
      </c>
      <c r="D18" s="244" t="inlineStr">
        <is>
          <t>Затраты труда машинистов</t>
        </is>
      </c>
      <c r="E18" s="245" t="inlineStr">
        <is>
          <t>чел.час</t>
        </is>
      </c>
      <c r="F18" s="144" t="inlineStr">
        <is>
          <t>0,54</t>
        </is>
      </c>
      <c r="G18" s="259" t="n"/>
      <c r="H18" s="168" t="n">
        <v>35.16</v>
      </c>
    </row>
    <row r="19" ht="15" customHeight="1">
      <c r="A19" s="235" t="inlineStr">
        <is>
          <t>Машины и механизмы</t>
        </is>
      </c>
      <c r="B19" s="311" t="n"/>
      <c r="C19" s="311" t="n"/>
      <c r="D19" s="312" t="n"/>
      <c r="E19" s="165" t="n"/>
      <c r="F19" s="165" t="n"/>
      <c r="G19" s="165" t="n"/>
      <c r="H19" s="323">
        <f>SUM(H20:H24)</f>
        <v/>
      </c>
      <c r="K19" s="142" t="n"/>
    </row>
    <row r="20" ht="25.5" customHeight="1">
      <c r="A20" s="149" t="inlineStr">
        <is>
          <t>6</t>
        </is>
      </c>
      <c r="B20" s="149" t="n"/>
      <c r="C20" s="144" t="inlineStr">
        <is>
          <t>91.18.01-007</t>
        </is>
      </c>
      <c r="D20" s="175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E20" s="179" t="inlineStr">
        <is>
          <t>маш.час</t>
        </is>
      </c>
      <c r="F20" s="179" t="n">
        <v>0.29</v>
      </c>
      <c r="G20" s="177" t="n">
        <v>90</v>
      </c>
      <c r="H20" s="180">
        <f>ROUND(F20*G20,2)</f>
        <v/>
      </c>
      <c r="I20" s="172" t="n"/>
    </row>
    <row r="21">
      <c r="A21" s="149" t="inlineStr">
        <is>
          <t>7</t>
        </is>
      </c>
      <c r="B21" s="149" t="n"/>
      <c r="C21" s="144" t="inlineStr">
        <is>
          <t>91.05.05-014</t>
        </is>
      </c>
      <c r="D21" s="175" t="inlineStr">
        <is>
          <t>Краны на автомобильном ходу, грузоподъемность 10 т</t>
        </is>
      </c>
      <c r="E21" s="179" t="inlineStr">
        <is>
          <t>маш.час</t>
        </is>
      </c>
      <c r="F21" s="179" t="n">
        <v>0.12</v>
      </c>
      <c r="G21" s="177" t="n">
        <v>111.99</v>
      </c>
      <c r="H21" s="180">
        <f>ROUND(F21*G21,2)</f>
        <v/>
      </c>
      <c r="I21" s="172" t="n"/>
    </row>
    <row r="22">
      <c r="A22" s="149" t="inlineStr">
        <is>
          <t>8</t>
        </is>
      </c>
      <c r="B22" s="149" t="n"/>
      <c r="C22" s="144" t="inlineStr">
        <is>
          <t>91.14.02-001</t>
        </is>
      </c>
      <c r="D22" s="175" t="inlineStr">
        <is>
          <t>Автомобили бортовые, грузоподъемность: до 5 т</t>
        </is>
      </c>
      <c r="E22" s="179" t="inlineStr">
        <is>
          <t>маш.час</t>
        </is>
      </c>
      <c r="F22" s="179" t="n">
        <v>0.13</v>
      </c>
      <c r="G22" s="177" t="n">
        <v>65.70999999999999</v>
      </c>
      <c r="H22" s="180">
        <f>ROUND(F22*G22,2)</f>
        <v/>
      </c>
      <c r="I22" s="172" t="n"/>
    </row>
    <row r="23">
      <c r="A23" s="149" t="inlineStr">
        <is>
          <t>9</t>
        </is>
      </c>
      <c r="B23" s="149" t="n"/>
      <c r="C23" s="144" t="inlineStr">
        <is>
          <t>91.17.04-233</t>
        </is>
      </c>
      <c r="D23" s="175" t="inlineStr">
        <is>
          <t>Установки для сварки: ручной дуговой (постоянного тока)</t>
        </is>
      </c>
      <c r="E23" s="179" t="inlineStr">
        <is>
          <t>маш.час</t>
        </is>
      </c>
      <c r="F23" s="179" t="n">
        <v>0.84</v>
      </c>
      <c r="G23" s="177" t="n">
        <v>8.1</v>
      </c>
      <c r="H23" s="180">
        <f>ROUND(F23*G23,2)</f>
        <v/>
      </c>
      <c r="I23" s="172" t="n"/>
    </row>
    <row r="24" ht="25.5" customHeight="1">
      <c r="A24" s="149" t="inlineStr">
        <is>
          <t>10</t>
        </is>
      </c>
      <c r="B24" s="149" t="n"/>
      <c r="C24" s="144" t="inlineStr">
        <is>
          <t>91.04.01-041</t>
        </is>
      </c>
      <c r="D24" s="175" t="inlineStr">
        <is>
          <t>Молотки бурильные: легкие при работе от передвижных компрессорных станций</t>
        </is>
      </c>
      <c r="E24" s="179" t="inlineStr">
        <is>
          <t>маш.час</t>
        </is>
      </c>
      <c r="F24" s="179" t="n">
        <v>0.29</v>
      </c>
      <c r="G24" s="177" t="n">
        <v>2.99</v>
      </c>
      <c r="H24" s="180">
        <f>ROUND(F24*G24,2)</f>
        <v/>
      </c>
      <c r="I24" s="172" t="n"/>
    </row>
    <row r="25" ht="15" customHeight="1">
      <c r="A25" s="236" t="inlineStr">
        <is>
          <t>Оборудование</t>
        </is>
      </c>
      <c r="B25" s="311" t="n"/>
      <c r="C25" s="311" t="n"/>
      <c r="D25" s="312" t="n"/>
      <c r="E25" s="173" t="n"/>
      <c r="F25" s="174" t="n"/>
      <c r="G25" s="168" t="n"/>
      <c r="H25" s="323">
        <f>SUM(H26:H26)</f>
        <v/>
      </c>
      <c r="I25" s="172" t="n"/>
      <c r="K25" s="129" t="n"/>
    </row>
    <row r="26" ht="41.45" customHeight="1">
      <c r="A26" s="149" t="inlineStr">
        <is>
          <t>11</t>
        </is>
      </c>
      <c r="B26" s="149" t="n"/>
      <c r="C26" s="144" t="inlineStr">
        <is>
          <t>Прайс из СД ОП</t>
        </is>
      </c>
      <c r="D26" s="175" t="inlineStr">
        <is>
          <t>Устройство промежуточного сбора, хранения и передачи данных учета электроэнергии для учета электроэнергии на ПС-110/35/10/6 кВ УСПД RTU-327L</t>
        </is>
      </c>
      <c r="E26" s="260" t="inlineStr">
        <is>
          <t>шт.</t>
        </is>
      </c>
      <c r="F26" s="144" t="inlineStr">
        <is>
          <t>1</t>
        </is>
      </c>
      <c r="G26" s="183" t="n">
        <v>34909.91</v>
      </c>
      <c r="H26" s="180">
        <f>ROUND(F26*G26,2)</f>
        <v/>
      </c>
      <c r="I26" s="172" t="n"/>
    </row>
    <row r="27" ht="15" customHeight="1">
      <c r="A27" s="235" t="inlineStr">
        <is>
          <t>Материалы</t>
        </is>
      </c>
      <c r="B27" s="311" t="n"/>
      <c r="C27" s="311" t="n"/>
      <c r="D27" s="312" t="n"/>
      <c r="E27" s="176" t="n"/>
      <c r="F27" s="176" t="n"/>
      <c r="G27" s="165" t="n"/>
      <c r="H27" s="323">
        <f>SUM(H28:H31)</f>
        <v/>
      </c>
    </row>
    <row r="28" ht="33.75" customHeight="1">
      <c r="A28" s="149" t="inlineStr">
        <is>
          <t>12</t>
        </is>
      </c>
      <c r="B28" s="149" t="n"/>
      <c r="C28" s="144" t="inlineStr">
        <is>
          <t>999-9950</t>
        </is>
      </c>
      <c r="D28" s="175" t="inlineStr">
        <is>
          <t>Вспомогательные ненормируемые ресурсы (2% от Оплаты труда рабочих)</t>
        </is>
      </c>
      <c r="E28" s="179" t="inlineStr">
        <is>
          <t>руб.</t>
        </is>
      </c>
      <c r="F28" s="179" t="n">
        <v>10.12</v>
      </c>
      <c r="G28" s="177" t="n">
        <v>1</v>
      </c>
      <c r="H28" s="180">
        <f>ROUND(F28*G28,2)</f>
        <v/>
      </c>
      <c r="I28" s="172">
        <f>H28/$H$27</f>
        <v/>
      </c>
    </row>
    <row r="29" ht="25.5" customHeight="1">
      <c r="A29" s="149" t="inlineStr">
        <is>
          <t>13</t>
        </is>
      </c>
      <c r="B29" s="149" t="n"/>
      <c r="C29" s="144" t="inlineStr">
        <is>
          <t>01.7.11.07-0034</t>
        </is>
      </c>
      <c r="D29" s="175" t="inlineStr">
        <is>
          <t>Электроды диаметром: 4 мм Э42А</t>
        </is>
      </c>
      <c r="E29" s="179" t="inlineStr">
        <is>
          <t>кг</t>
        </is>
      </c>
      <c r="F29" s="179" t="n">
        <v>0.15</v>
      </c>
      <c r="G29" s="177" t="n">
        <v>10.57</v>
      </c>
      <c r="H29" s="180">
        <f>ROUND(F29*G29,2)</f>
        <v/>
      </c>
      <c r="I29" s="172">
        <f>H29/$H$27</f>
        <v/>
      </c>
    </row>
    <row r="30">
      <c r="A30" s="149" t="inlineStr">
        <is>
          <t>14</t>
        </is>
      </c>
      <c r="B30" s="149" t="n"/>
      <c r="C30" s="144" t="inlineStr">
        <is>
          <t>01.7.15.03-0042</t>
        </is>
      </c>
      <c r="D30" s="175" t="inlineStr">
        <is>
          <t>Болты с гайками и шайбами строительные</t>
        </is>
      </c>
      <c r="E30" s="179" t="inlineStr">
        <is>
          <t>кг</t>
        </is>
      </c>
      <c r="F30" s="179" t="n">
        <v>0.1</v>
      </c>
      <c r="G30" s="177" t="n">
        <v>9.039999999999999</v>
      </c>
      <c r="H30" s="180">
        <f>ROUND(F30*G30,2)</f>
        <v/>
      </c>
      <c r="I30" s="172">
        <f>H30/$H$27</f>
        <v/>
      </c>
    </row>
    <row r="31">
      <c r="A31" s="149" t="inlineStr">
        <is>
          <t>15</t>
        </is>
      </c>
      <c r="B31" s="149" t="n"/>
      <c r="C31" s="144" t="inlineStr">
        <is>
          <t>14.4.02.09-0001</t>
        </is>
      </c>
      <c r="D31" s="175" t="inlineStr">
        <is>
          <t>Краска</t>
        </is>
      </c>
      <c r="E31" s="179" t="inlineStr">
        <is>
          <t>кг</t>
        </is>
      </c>
      <c r="F31" s="179" t="n">
        <v>0.02</v>
      </c>
      <c r="G31" s="177" t="n">
        <v>28.6</v>
      </c>
      <c r="H31" s="180">
        <f>ROUND(F31*G31,2)</f>
        <v/>
      </c>
      <c r="I31" s="172">
        <f>H31/$H$27</f>
        <v/>
      </c>
    </row>
    <row r="32">
      <c r="A32" s="305" t="n"/>
      <c r="B32" s="305" t="n"/>
      <c r="C32" s="306" t="n"/>
      <c r="D32" s="307" t="n"/>
      <c r="E32" s="308" t="n"/>
      <c r="F32" s="308" t="n"/>
      <c r="G32" s="309" t="n"/>
      <c r="H32" s="310" t="n"/>
      <c r="I32" s="172" t="n"/>
    </row>
    <row r="33">
      <c r="A33" s="305" t="n"/>
      <c r="B33" s="305" t="n"/>
      <c r="C33" s="306" t="n"/>
      <c r="D33" s="307" t="n"/>
      <c r="E33" s="308" t="n"/>
      <c r="F33" s="308" t="n"/>
      <c r="G33" s="309" t="n"/>
      <c r="H33" s="310" t="n"/>
      <c r="I33" s="172" t="n"/>
    </row>
    <row r="34">
      <c r="C34" s="306" t="n"/>
      <c r="D34" s="307" t="n"/>
      <c r="E34" s="138" t="n"/>
      <c r="F34" s="138" t="n"/>
      <c r="G34" s="140" t="n"/>
      <c r="H34" s="310" t="n"/>
    </row>
    <row r="36" ht="14.25" customFormat="1" customHeight="1" s="12">
      <c r="A36" s="4" t="inlineStr">
        <is>
          <t>Составил ______________________    А.Р, Маркова</t>
        </is>
      </c>
    </row>
    <row r="37" ht="14.25" customFormat="1" customHeight="1" s="12">
      <c r="A37" s="33" t="inlineStr">
        <is>
          <t xml:space="preserve">                         (подпись, инициалы, фамилия)</t>
        </is>
      </c>
    </row>
    <row r="38" ht="14.25" customFormat="1" customHeight="1" s="12">
      <c r="A38" s="4" t="n"/>
    </row>
    <row r="39" ht="14.25" customFormat="1" customHeight="1" s="12">
      <c r="A39" s="4" t="inlineStr">
        <is>
          <t>Проверил ______________________        А.В. Костянецкая</t>
        </is>
      </c>
    </row>
    <row r="40" ht="14.25" customFormat="1" customHeight="1" s="12">
      <c r="A40" s="33" t="inlineStr">
        <is>
          <t xml:space="preserve">                        (подпись, инициалы, фамилия)</t>
        </is>
      </c>
    </row>
  </sheetData>
  <mergeCells count="16">
    <mergeCell ref="C9:C10"/>
    <mergeCell ref="A17:D17"/>
    <mergeCell ref="B9:B10"/>
    <mergeCell ref="A27:D27"/>
    <mergeCell ref="E9:E10"/>
    <mergeCell ref="D9:D10"/>
    <mergeCell ref="F9:F10"/>
    <mergeCell ref="A9:A10"/>
    <mergeCell ref="A12:D12"/>
    <mergeCell ref="A2:H2"/>
    <mergeCell ref="A6:H7"/>
    <mergeCell ref="A25:D25"/>
    <mergeCell ref="C4:H4"/>
    <mergeCell ref="A19:D19"/>
    <mergeCell ref="A3:I3"/>
    <mergeCell ref="G9:H9"/>
  </mergeCells>
  <pageMargins left="0.7086614173228347" right="0.7086614173228347" top="0.7480314960629921" bottom="0.7480314960629921" header="0.3149606299212598" footer="0.3149606299212598"/>
  <pageSetup orientation="landscape" paperSize="9" scale="77" fitToHeight="0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L50"/>
  <sheetViews>
    <sheetView view="pageBreakPreview" topLeftCell="A32" workbookViewId="0">
      <selection activeCell="D43" sqref="D43"/>
    </sheetView>
  </sheetViews>
  <sheetFormatPr baseColWidth="8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9.140625" customWidth="1" min="6" max="6"/>
    <col width="12.85546875" customWidth="1" min="7" max="7"/>
    <col width="9.140625" customWidth="1" min="8" max="11"/>
    <col width="13.5703125" customWidth="1" min="12" max="12"/>
    <col width="9.140625" customWidth="1" min="13" max="13"/>
  </cols>
  <sheetData>
    <row r="1">
      <c r="B1" s="4" t="n"/>
      <c r="C1" s="4" t="n"/>
      <c r="D1" s="4" t="n"/>
      <c r="E1" s="4" t="n"/>
    </row>
    <row r="2">
      <c r="B2" s="4" t="n"/>
      <c r="C2" s="4" t="n"/>
      <c r="D2" s="4" t="n"/>
      <c r="E2" s="255" t="inlineStr">
        <is>
          <t>Приложение № 4</t>
        </is>
      </c>
    </row>
    <row r="3">
      <c r="B3" s="4" t="n"/>
      <c r="C3" s="4" t="n"/>
      <c r="D3" s="4" t="n"/>
      <c r="E3" s="4" t="n"/>
    </row>
    <row r="4">
      <c r="B4" s="4" t="n"/>
      <c r="C4" s="4" t="n"/>
      <c r="D4" s="4" t="n"/>
      <c r="E4" s="4" t="n"/>
    </row>
    <row r="5">
      <c r="B5" s="215" t="inlineStr">
        <is>
          <t>Ресурсная модель</t>
        </is>
      </c>
    </row>
    <row r="6">
      <c r="B6" s="127" t="n"/>
      <c r="C6" s="4" t="n"/>
      <c r="D6" s="4" t="n"/>
      <c r="E6" s="4" t="n"/>
    </row>
    <row r="7" ht="25.5" customHeight="1">
      <c r="B7" s="242" t="inlineStr">
        <is>
          <t>Наименование разрабатываемой расценки УНЦ — ИВКЭ для ПС (ЗПС) 35 кВ и выше</t>
        </is>
      </c>
    </row>
    <row r="8">
      <c r="B8" s="243" t="inlineStr">
        <is>
          <t>Единица измерения  — 1 ед</t>
        </is>
      </c>
    </row>
    <row r="9">
      <c r="B9" s="127" t="n"/>
      <c r="C9" s="4" t="n"/>
      <c r="D9" s="4" t="n"/>
      <c r="E9" s="4" t="n"/>
    </row>
    <row r="10" ht="51" customHeight="1">
      <c r="B10" s="245" t="inlineStr">
        <is>
          <t>Наименование</t>
        </is>
      </c>
      <c r="C10" s="245" t="inlineStr">
        <is>
          <t>Сметная стоимость в ценах на 01.01.2023
 (руб.)</t>
        </is>
      </c>
      <c r="D10" s="245" t="inlineStr">
        <is>
          <t>Удельный вес, 
(в СМР)</t>
        </is>
      </c>
      <c r="E10" s="245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152">
        <f>'Прил.5 Расчет СМР и ОБ'!J16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152">
        <f>'Прил.5 Расчет СМР и ОБ'!J24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152">
        <f>'Прил.5 Расчет СМР и ОБ'!J27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152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152">
        <f>'Прил.5 Расчет СМР и ОБ'!J18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152">
        <f>'Прил.5 Расчет СМР и ОБ'!J40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152">
        <f>'Прил.5 Расчет СМР и ОБ'!J43</f>
        <v/>
      </c>
      <c r="D17" s="27">
        <f>C17/$C$24</f>
        <v/>
      </c>
      <c r="E17" s="27">
        <f>C17/$C$40</f>
        <v/>
      </c>
      <c r="G17" s="324" t="n"/>
    </row>
    <row r="18">
      <c r="B18" s="25" t="inlineStr">
        <is>
          <t>МАТЕРИАЛЫ, ВСЕГО:</t>
        </is>
      </c>
      <c r="C18" s="152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152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152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ОБ'!D47</f>
        <v/>
      </c>
      <c r="D21" s="27" t="n"/>
      <c r="E21" s="25" t="n"/>
    </row>
    <row r="22">
      <c r="B22" s="25" t="inlineStr">
        <is>
          <t>Накладные расходы, руб.</t>
        </is>
      </c>
      <c r="C22" s="152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ОБ'!D46</f>
        <v/>
      </c>
      <c r="D23" s="27" t="n"/>
      <c r="E23" s="25" t="n"/>
    </row>
    <row r="24">
      <c r="B24" s="25" t="inlineStr">
        <is>
          <t>ВСЕГО СМР с НР и СП</t>
        </is>
      </c>
      <c r="C24" s="152">
        <f>C19+C20+C22</f>
        <v/>
      </c>
      <c r="D24" s="27">
        <f>C24/$C$24</f>
        <v/>
      </c>
      <c r="E24" s="27">
        <f>C24/$C$40</f>
        <v/>
      </c>
    </row>
    <row r="25" ht="25.5" customHeight="1">
      <c r="B25" s="25" t="inlineStr">
        <is>
          <t>ВСЕГО стоимость оборудования, в том числе</t>
        </is>
      </c>
      <c r="C25" s="152">
        <f>'Прил.5 Расчет СМР и ОБ'!J34</f>
        <v/>
      </c>
      <c r="D25" s="27" t="n"/>
      <c r="E25" s="27">
        <f>C25/$C$40</f>
        <v/>
      </c>
    </row>
    <row r="26" ht="25.5" customHeight="1">
      <c r="B26" s="25" t="inlineStr">
        <is>
          <t>стоимость оборудования технологического</t>
        </is>
      </c>
      <c r="C26" s="152">
        <f>C25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</row>
    <row r="29" ht="25.5" customHeight="1">
      <c r="B29" s="25" t="inlineStr">
        <is>
          <t>Временные здания и сооружения - 3,9%</t>
        </is>
      </c>
      <c r="C29" s="26">
        <f>ROUND(C24*3.9%,2)</f>
        <v/>
      </c>
      <c r="D29" s="25" t="n"/>
      <c r="E29" s="27">
        <f>C29/$C$40</f>
        <v/>
      </c>
    </row>
    <row r="30" ht="38.25" customHeight="1">
      <c r="B30" s="25" t="inlineStr">
        <is>
          <t>Дополнительные затраты при производстве строительно-монтажных работ в зимнее время - 2,1%</t>
        </is>
      </c>
      <c r="C30" s="26">
        <f>ROUND((C24+C29)*2.1%,2)</f>
        <v/>
      </c>
      <c r="D30" s="25" t="n"/>
      <c r="E30" s="27">
        <f>C30/$C$40</f>
        <v/>
      </c>
    </row>
    <row r="31" ht="25.5" customHeight="1">
      <c r="B31" s="25" t="inlineStr">
        <is>
          <t>Пусконаладочные работы (на основании СД ОП)</t>
        </is>
      </c>
      <c r="C31" s="184" t="n">
        <v>9896.16</v>
      </c>
      <c r="D31" s="25" t="n"/>
      <c r="E31" s="27">
        <f>C31/$C$40</f>
        <v/>
      </c>
    </row>
    <row r="32" ht="25.5" customHeight="1">
      <c r="B32" s="25" t="inlineStr">
        <is>
          <t>Затраты по перевозке работников к месту работы и обратно</t>
        </is>
      </c>
      <c r="C32" s="26">
        <f>ROUND(C27*0%,2)</f>
        <v/>
      </c>
      <c r="D32" s="25" t="n"/>
      <c r="E32" s="27">
        <f>C32/$C$40</f>
        <v/>
      </c>
    </row>
    <row r="33" ht="25.5" customHeight="1">
      <c r="B33" s="25" t="inlineStr">
        <is>
          <t>Затраты, связанные с осуществлением работ вахтовым методом</t>
        </is>
      </c>
      <c r="C33" s="26">
        <f>ROUND(C27*0%,2)</f>
        <v/>
      </c>
      <c r="D33" s="25" t="n"/>
      <c r="E33" s="27">
        <f>C33/$C$40</f>
        <v/>
      </c>
    </row>
    <row r="34" ht="51" customHeight="1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>
        <f>ROUND(C27*0%,2)</f>
        <v/>
      </c>
      <c r="D34" s="25" t="n"/>
      <c r="E34" s="27">
        <f>C34/$C$40</f>
        <v/>
      </c>
    </row>
    <row r="35" ht="76.5" customHeight="1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>
        <f>ROUND(C27*0%,2)</f>
        <v/>
      </c>
      <c r="D35" s="25" t="n"/>
      <c r="E35" s="27">
        <f>C35/$C$40</f>
        <v/>
      </c>
    </row>
    <row r="36" ht="25.5" customHeight="1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27">
        <f>C36/$C$40</f>
        <v/>
      </c>
      <c r="L36" s="129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7">
        <f>C37/$C$40</f>
        <v/>
      </c>
      <c r="L37" s="129" t="n"/>
    </row>
    <row r="38" ht="38.25" customHeight="1">
      <c r="B38" s="25" t="inlineStr">
        <is>
          <t>ИТОГО (СМР+ОБОРУДОВАНИЕ+ПРОЧ. ЗАТР., УЧТЕННЫЕ ПОКАЗАТЕЛЕМ)</t>
        </is>
      </c>
      <c r="C38" s="152">
        <f>C27+C32+C33+C34+C35+C29+C31+C30+C36+C37</f>
        <v/>
      </c>
      <c r="D38" s="25" t="n"/>
      <c r="E38" s="27">
        <f>C38/$C$40</f>
        <v/>
      </c>
    </row>
    <row r="39" ht="13.5" customHeight="1">
      <c r="B39" s="25" t="inlineStr">
        <is>
          <t>Непредвиденные расходы</t>
        </is>
      </c>
      <c r="C39" s="152">
        <f>ROUND(C38*3%,2)</f>
        <v/>
      </c>
      <c r="D39" s="25" t="n"/>
      <c r="E39" s="27">
        <f>C39/$C$38</f>
        <v/>
      </c>
    </row>
    <row r="40">
      <c r="B40" s="25" t="inlineStr">
        <is>
          <t>ВСЕГО:</t>
        </is>
      </c>
      <c r="C40" s="152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152">
        <f>C40/'Прил.5 Расчет СМР и ОБ'!E50</f>
        <v/>
      </c>
      <c r="D41" s="25" t="n"/>
      <c r="E41" s="25" t="n"/>
    </row>
    <row r="42">
      <c r="B42" s="130" t="n"/>
      <c r="C42" s="4" t="n"/>
      <c r="D42" s="4" t="n"/>
      <c r="E42" s="4" t="n"/>
    </row>
    <row r="43">
      <c r="B43" s="130" t="inlineStr">
        <is>
          <t>Составил ____________________________ А.Р. Маркова</t>
        </is>
      </c>
      <c r="C43" s="4" t="n"/>
      <c r="D43" s="4" t="n"/>
      <c r="E43" s="4" t="n"/>
    </row>
    <row r="44">
      <c r="B44" s="130" t="inlineStr">
        <is>
          <t xml:space="preserve">(должность, подпись, инициалы, фамилия) </t>
        </is>
      </c>
      <c r="C44" s="4" t="n"/>
      <c r="D44" s="4" t="n"/>
      <c r="E44" s="4" t="n"/>
    </row>
    <row r="45">
      <c r="B45" s="130" t="n"/>
      <c r="C45" s="4" t="n"/>
      <c r="D45" s="4" t="n"/>
      <c r="E45" s="4" t="n"/>
    </row>
    <row r="46">
      <c r="B46" s="130" t="inlineStr">
        <is>
          <t>Проверил ____________________________ А.В. Костянецкая</t>
        </is>
      </c>
      <c r="C46" s="4" t="n"/>
      <c r="D46" s="4" t="n"/>
      <c r="E46" s="4" t="n"/>
    </row>
    <row r="47">
      <c r="B47" s="243" t="inlineStr">
        <is>
          <t>(должность, подпись, инициалы, фамилия)</t>
        </is>
      </c>
      <c r="D47" s="4" t="n"/>
      <c r="E47" s="4" t="n"/>
    </row>
    <row r="49">
      <c r="B49" s="4" t="n"/>
      <c r="C49" s="4" t="n"/>
      <c r="D49" s="4" t="n"/>
      <c r="E49" s="4" t="n"/>
    </row>
    <row r="50">
      <c r="B50" s="4" t="n"/>
      <c r="C50" s="4" t="n"/>
      <c r="D50" s="4" t="n"/>
      <c r="E50" s="4" t="n"/>
    </row>
  </sheetData>
  <mergeCells count="4">
    <mergeCell ref="B7:E7"/>
    <mergeCell ref="B47:C47"/>
    <mergeCell ref="B8:E8"/>
    <mergeCell ref="B5:E5"/>
  </mergeCells>
  <pageMargins left="0.7086614173228347" right="0.7086614173228347" top="0.7480314960629921" bottom="0.7480314960629921" header="0.3149606299212598" footer="0.3149606299212598"/>
  <pageSetup orientation="portrait" paperSize="9" scale="75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56"/>
  <sheetViews>
    <sheetView tabSelected="1" view="pageBreakPreview" workbookViewId="0">
      <selection activeCell="E18" sqref="E18"/>
    </sheetView>
  </sheetViews>
  <sheetFormatPr baseColWidth="8" defaultColWidth="9.140625" defaultRowHeight="15" outlineLevelRow="1"/>
  <cols>
    <col width="9.140625" customWidth="1" style="12" min="1" max="1"/>
    <col width="22.5703125" customWidth="1" style="12" min="2" max="2"/>
    <col width="39.140625" customWidth="1" style="12" min="3" max="3"/>
    <col width="10.7109375" customWidth="1" style="12" min="4" max="4"/>
    <col width="12.7109375" customWidth="1" style="12" min="5" max="5"/>
    <col width="14.5703125" customWidth="1" style="12" min="6" max="6"/>
    <col width="13.42578125" customWidth="1" style="12" min="7" max="7"/>
    <col width="12.7109375" customWidth="1" style="12" min="8" max="8"/>
    <col width="13.85546875" customWidth="1" style="12" min="9" max="9"/>
    <col width="17.5703125" customWidth="1" style="12" min="10" max="10"/>
    <col width="10.85546875" customWidth="1" style="12" min="11" max="11"/>
    <col width="12.42578125" customWidth="1" style="12" min="12" max="12"/>
  </cols>
  <sheetData>
    <row r="1">
      <c r="M1" s="12" t="n"/>
      <c r="N1" s="12" t="n"/>
    </row>
    <row r="2" ht="15.75" customHeight="1">
      <c r="H2" s="250" t="inlineStr">
        <is>
          <t>Приложение №5</t>
        </is>
      </c>
      <c r="M2" s="12" t="n"/>
      <c r="N2" s="12" t="n"/>
    </row>
    <row r="3">
      <c r="M3" s="12" t="n"/>
      <c r="N3" s="12" t="n"/>
    </row>
    <row r="4" ht="21" customFormat="1" customHeight="1" s="4">
      <c r="A4" s="215" t="inlineStr">
        <is>
          <t>Расчет стоимости СМР и оборудования</t>
        </is>
      </c>
    </row>
    <row r="5" ht="12.75" customFormat="1" customHeight="1" s="4">
      <c r="A5" s="215" t="n"/>
      <c r="B5" s="215" t="n"/>
      <c r="C5" s="262" t="n"/>
      <c r="D5" s="215" t="n"/>
      <c r="E5" s="215" t="n"/>
      <c r="F5" s="215" t="n"/>
      <c r="G5" s="215" t="n"/>
      <c r="H5" s="215" t="n"/>
      <c r="I5" s="215" t="n"/>
      <c r="J5" s="215" t="n"/>
    </row>
    <row r="6" ht="21" customFormat="1" customHeight="1" s="4">
      <c r="A6" s="218" t="inlineStr">
        <is>
          <t>Наименование разрабатываемого показателя УНЦ</t>
        </is>
      </c>
      <c r="D6" s="218" t="inlineStr">
        <is>
          <t>ИВКЭ для ПС (ЗПС) 35 кВ и выше</t>
        </is>
      </c>
    </row>
    <row r="7" ht="25.5" customFormat="1" customHeight="1" s="4">
      <c r="A7" s="218" t="inlineStr">
        <is>
          <t>Единица измерения  — 1 ед.</t>
        </is>
      </c>
      <c r="I7" s="242" t="n"/>
      <c r="J7" s="242" t="n"/>
    </row>
    <row r="8" ht="12.75" customFormat="1" customHeight="1" s="4">
      <c r="A8" s="218" t="n"/>
    </row>
    <row r="9" ht="30.75" customHeight="1">
      <c r="A9" s="245" t="inlineStr">
        <is>
          <t>№ пп.</t>
        </is>
      </c>
      <c r="B9" s="245" t="inlineStr">
        <is>
          <t>Код ресурса</t>
        </is>
      </c>
      <c r="C9" s="245" t="inlineStr">
        <is>
          <t>Наименование</t>
        </is>
      </c>
      <c r="D9" s="245" t="inlineStr">
        <is>
          <t>Ед. изм.</t>
        </is>
      </c>
      <c r="E9" s="245" t="inlineStr">
        <is>
          <t>Кол-во единиц по проектным данным</t>
        </is>
      </c>
      <c r="F9" s="245" t="inlineStr">
        <is>
          <t>Сметная стоимость в ценах на 01.01.2000 (руб.)</t>
        </is>
      </c>
      <c r="G9" s="312" t="n"/>
      <c r="H9" s="245" t="inlineStr">
        <is>
          <t>Удельный вес, %</t>
        </is>
      </c>
      <c r="I9" s="245" t="inlineStr">
        <is>
          <t>Сметная стоимость в ценах на 01.01.2023 (руб.)</t>
        </is>
      </c>
      <c r="J9" s="312" t="n"/>
      <c r="M9" s="12" t="n"/>
      <c r="N9" s="12" t="n"/>
    </row>
    <row r="10" ht="29.25" customHeight="1">
      <c r="A10" s="314" t="n"/>
      <c r="B10" s="314" t="n"/>
      <c r="C10" s="314" t="n"/>
      <c r="D10" s="314" t="n"/>
      <c r="E10" s="314" t="n"/>
      <c r="F10" s="245" t="inlineStr">
        <is>
          <t>на ед. изм.</t>
        </is>
      </c>
      <c r="G10" s="245" t="inlineStr">
        <is>
          <t>общая</t>
        </is>
      </c>
      <c r="H10" s="314" t="n"/>
      <c r="I10" s="245" t="inlineStr">
        <is>
          <t>на ед. изм.</t>
        </is>
      </c>
      <c r="J10" s="245" t="inlineStr">
        <is>
          <t>общая</t>
        </is>
      </c>
      <c r="M10" s="12" t="n"/>
      <c r="N10" s="12" t="n"/>
    </row>
    <row r="11">
      <c r="A11" s="245" t="n">
        <v>1</v>
      </c>
      <c r="B11" s="245" t="n">
        <v>2</v>
      </c>
      <c r="C11" s="245" t="n">
        <v>3</v>
      </c>
      <c r="D11" s="245" t="n">
        <v>4</v>
      </c>
      <c r="E11" s="245" t="n">
        <v>5</v>
      </c>
      <c r="F11" s="245" t="n">
        <v>6</v>
      </c>
      <c r="G11" s="245" t="n">
        <v>7</v>
      </c>
      <c r="H11" s="245" t="n">
        <v>8</v>
      </c>
      <c r="I11" s="253" t="n">
        <v>9</v>
      </c>
      <c r="J11" s="253" t="n">
        <v>10</v>
      </c>
      <c r="M11" s="12" t="n"/>
      <c r="N11" s="12" t="n"/>
    </row>
    <row r="12">
      <c r="A12" s="245" t="n"/>
      <c r="B12" s="249" t="inlineStr">
        <is>
          <t>Затраты труда рабочих-строителей</t>
        </is>
      </c>
      <c r="C12" s="311" t="n"/>
      <c r="D12" s="311" t="n"/>
      <c r="E12" s="311" t="n"/>
      <c r="F12" s="311" t="n"/>
      <c r="G12" s="311" t="n"/>
      <c r="H12" s="312" t="n"/>
      <c r="I12" s="154" t="n"/>
      <c r="J12" s="154" t="n"/>
    </row>
    <row r="13" ht="25.5" customHeight="1">
      <c r="A13" s="245" t="n">
        <v>1</v>
      </c>
      <c r="B13" s="149" t="inlineStr">
        <is>
          <t>1-3-9</t>
        </is>
      </c>
      <c r="C13" s="244" t="inlineStr">
        <is>
          <t>Затраты труда рабочих-строителей среднего разряда (3,9)</t>
        </is>
      </c>
      <c r="D13" s="245" t="inlineStr">
        <is>
          <t>чел.-ч.</t>
        </is>
      </c>
      <c r="E13" s="325" t="n">
        <v>3.4</v>
      </c>
      <c r="F13" s="32" t="n">
        <v>9.51</v>
      </c>
      <c r="G13" s="32">
        <f>ROUND(E13*F13,2)</f>
        <v/>
      </c>
      <c r="H13" s="156">
        <f>G13/G16</f>
        <v/>
      </c>
      <c r="I13" s="32">
        <f>'ФОТр.тек.'!E13</f>
        <v/>
      </c>
      <c r="J13" s="32">
        <f>ROUND(I13*E13,2)</f>
        <v/>
      </c>
    </row>
    <row r="14">
      <c r="A14" s="245" t="n">
        <v>2</v>
      </c>
      <c r="B14" s="149" t="inlineStr">
        <is>
          <t>10-30-1</t>
        </is>
      </c>
      <c r="C14" s="244" t="inlineStr">
        <is>
          <t>Инженер I категории</t>
        </is>
      </c>
      <c r="D14" s="245" t="inlineStr">
        <is>
          <t>чел.-ч.</t>
        </is>
      </c>
      <c r="E14" s="325" t="n">
        <v>16</v>
      </c>
      <c r="F14" s="32" t="n">
        <v>15.49</v>
      </c>
      <c r="G14" s="32">
        <f>ROUND(E14*F14,2)</f>
        <v/>
      </c>
      <c r="H14" s="156">
        <f>G14/G16</f>
        <v/>
      </c>
      <c r="I14" s="32">
        <f>'ФОТр.тек.'!E21</f>
        <v/>
      </c>
      <c r="J14" s="32">
        <f>ROUND(I14*E14,2)</f>
        <v/>
      </c>
    </row>
    <row r="15">
      <c r="A15" s="245" t="n">
        <v>3</v>
      </c>
      <c r="B15" s="149" t="inlineStr">
        <is>
          <t>10-30-2</t>
        </is>
      </c>
      <c r="C15" s="244" t="inlineStr">
        <is>
          <t>Инженер II категории</t>
        </is>
      </c>
      <c r="D15" s="245" t="inlineStr">
        <is>
          <t>чел.-ч.</t>
        </is>
      </c>
      <c r="E15" s="319" t="n">
        <v>16</v>
      </c>
      <c r="F15" s="32" t="n">
        <v>14.09</v>
      </c>
      <c r="G15" s="32">
        <f>ROUND(E15*F15,2)</f>
        <v/>
      </c>
      <c r="H15" s="156">
        <f>G15/G16</f>
        <v/>
      </c>
      <c r="I15" s="32">
        <f>'ФОТр.тек.'!E29</f>
        <v/>
      </c>
      <c r="J15" s="32">
        <f>ROUND(I15*E15,2)</f>
        <v/>
      </c>
    </row>
    <row r="16" ht="25.5" customFormat="1" customHeight="1" s="12">
      <c r="A16" s="245" t="n"/>
      <c r="B16" s="245" t="n"/>
      <c r="C16" s="249" t="inlineStr">
        <is>
          <t>Итого по разделу "Затраты труда рабочих-строителей"</t>
        </is>
      </c>
      <c r="D16" s="245" t="inlineStr">
        <is>
          <t>чел.-ч.</t>
        </is>
      </c>
      <c r="E16" s="325">
        <f>SUM(E13:E15)</f>
        <v/>
      </c>
      <c r="F16" s="32" t="n"/>
      <c r="G16" s="32">
        <f>SUM(G13:G15)</f>
        <v/>
      </c>
      <c r="H16" s="248" t="n">
        <v>1</v>
      </c>
      <c r="I16" s="154" t="n"/>
      <c r="J16" s="32">
        <f>SUM(J13:J15)</f>
        <v/>
      </c>
    </row>
    <row r="17" ht="14.25" customFormat="1" customHeight="1" s="12">
      <c r="A17" s="245" t="n"/>
      <c r="B17" s="244" t="inlineStr">
        <is>
          <t>Затраты труда машинистов</t>
        </is>
      </c>
      <c r="C17" s="311" t="n"/>
      <c r="D17" s="311" t="n"/>
      <c r="E17" s="311" t="n"/>
      <c r="F17" s="311" t="n"/>
      <c r="G17" s="311" t="n"/>
      <c r="H17" s="312" t="n"/>
      <c r="I17" s="154" t="n"/>
      <c r="J17" s="154" t="n"/>
    </row>
    <row r="18" ht="14.25" customFormat="1" customHeight="1" s="12">
      <c r="A18" s="245" t="n">
        <v>4</v>
      </c>
      <c r="B18" s="245" t="n">
        <v>2</v>
      </c>
      <c r="C18" s="244" t="inlineStr">
        <is>
          <t>Затраты труда машинистов</t>
        </is>
      </c>
      <c r="D18" s="245" t="inlineStr">
        <is>
          <t>чел.-ч.</t>
        </is>
      </c>
      <c r="E18" s="325" t="n">
        <v>0.54</v>
      </c>
      <c r="F18" s="32">
        <f>G18/E18</f>
        <v/>
      </c>
      <c r="G18" s="32">
        <f>'Прил. 3'!H18</f>
        <v/>
      </c>
      <c r="H18" s="248" t="n">
        <v>1</v>
      </c>
      <c r="I18" s="32">
        <f>ROUND(F18*Прил.10!D11,2)</f>
        <v/>
      </c>
      <c r="J18" s="32">
        <f>ROUND(I18*E18,2)</f>
        <v/>
      </c>
    </row>
    <row r="19" ht="14.25" customFormat="1" customHeight="1" s="12">
      <c r="A19" s="245" t="n"/>
      <c r="B19" s="249" t="inlineStr">
        <is>
          <t>Машины и механизмы</t>
        </is>
      </c>
      <c r="C19" s="311" t="n"/>
      <c r="D19" s="311" t="n"/>
      <c r="E19" s="311" t="n"/>
      <c r="F19" s="311" t="n"/>
      <c r="G19" s="311" t="n"/>
      <c r="H19" s="312" t="n"/>
      <c r="I19" s="154" t="n"/>
      <c r="J19" s="154" t="n"/>
    </row>
    <row r="20" ht="14.25" customFormat="1" customHeight="1" s="12">
      <c r="A20" s="245" t="n"/>
      <c r="B20" s="244" t="inlineStr">
        <is>
          <t>Основные машины и механизмы</t>
        </is>
      </c>
      <c r="C20" s="311" t="n"/>
      <c r="D20" s="311" t="n"/>
      <c r="E20" s="311" t="n"/>
      <c r="F20" s="311" t="n"/>
      <c r="G20" s="311" t="n"/>
      <c r="H20" s="312" t="n"/>
      <c r="I20" s="154" t="n"/>
      <c r="J20" s="154" t="n"/>
    </row>
    <row r="21" ht="51" customFormat="1" customHeight="1" s="12">
      <c r="A21" s="245" t="n">
        <v>5</v>
      </c>
      <c r="B21" s="149" t="inlineStr">
        <is>
          <t>91.18.01-007</t>
        </is>
      </c>
      <c r="C21" s="244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D21" s="7" t="inlineStr">
        <is>
          <t>маш.час</t>
        </is>
      </c>
      <c r="E21" s="326" t="n">
        <v>0.29</v>
      </c>
      <c r="F21" s="178" t="n">
        <v>90</v>
      </c>
      <c r="G21" s="32">
        <f>ROUND(E21*F21,2)</f>
        <v/>
      </c>
      <c r="H21" s="156">
        <f>G21/$G$28</f>
        <v/>
      </c>
      <c r="I21" s="32">
        <f>ROUND(F21*Прил.10!D12,2)</f>
        <v/>
      </c>
      <c r="J21" s="32">
        <f>ROUND(I21*E21,2)</f>
        <v/>
      </c>
    </row>
    <row r="22" ht="25.5" customFormat="1" customHeight="1" s="12">
      <c r="A22" s="245" t="n">
        <v>6</v>
      </c>
      <c r="B22" s="149" t="inlineStr">
        <is>
          <t>91.05.05-014</t>
        </is>
      </c>
      <c r="C22" s="244" t="inlineStr">
        <is>
          <t>Краны на автомобильном ходу, грузоподъемность 10 т</t>
        </is>
      </c>
      <c r="D22" s="7" t="inlineStr">
        <is>
          <t>маш.час</t>
        </is>
      </c>
      <c r="E22" s="326" t="n">
        <v>0.12</v>
      </c>
      <c r="F22" s="178" t="n">
        <v>111.99</v>
      </c>
      <c r="G22" s="32">
        <f>ROUND(E22*F22,2)</f>
        <v/>
      </c>
      <c r="H22" s="156">
        <f>G22/$G$28</f>
        <v/>
      </c>
      <c r="I22" s="32">
        <f>ROUND(F22*Прил.10!$D$12,2)</f>
        <v/>
      </c>
      <c r="J22" s="32">
        <f>ROUND(I22*E22,2)</f>
        <v/>
      </c>
    </row>
    <row r="23" ht="25.5" customFormat="1" customHeight="1" s="12">
      <c r="A23" s="245" t="n">
        <v>7</v>
      </c>
      <c r="B23" s="149" t="inlineStr">
        <is>
          <t>91.14.02-001</t>
        </is>
      </c>
      <c r="C23" s="244" t="inlineStr">
        <is>
          <t>Автомобили бортовые, грузоподъемность: до 5 т</t>
        </is>
      </c>
      <c r="D23" s="7" t="inlineStr">
        <is>
          <t>маш.час</t>
        </is>
      </c>
      <c r="E23" s="326" t="n">
        <v>0.13</v>
      </c>
      <c r="F23" s="178" t="n">
        <v>65.70999999999999</v>
      </c>
      <c r="G23" s="32">
        <f>ROUND(E23*F23,2)</f>
        <v/>
      </c>
      <c r="H23" s="156">
        <f>G23/$G$28</f>
        <v/>
      </c>
      <c r="I23" s="32">
        <f>ROUND(F23*Прил.10!$D$12,2)</f>
        <v/>
      </c>
      <c r="J23" s="32">
        <f>ROUND(I23*E23,2)</f>
        <v/>
      </c>
    </row>
    <row r="24" ht="14.25" customFormat="1" customHeight="1" s="12">
      <c r="A24" s="245" t="n"/>
      <c r="B24" s="245" t="n"/>
      <c r="C24" s="244" t="inlineStr">
        <is>
          <t>Итого основные машины и механизмы</t>
        </is>
      </c>
      <c r="D24" s="245" t="n"/>
      <c r="E24" s="319" t="n"/>
      <c r="F24" s="32" t="n"/>
      <c r="G24" s="32">
        <f>SUM(G21:G23)</f>
        <v/>
      </c>
      <c r="H24" s="248">
        <f>G24/G28</f>
        <v/>
      </c>
      <c r="I24" s="157" t="n"/>
      <c r="J24" s="32">
        <f>SUM(J21:J23)</f>
        <v/>
      </c>
    </row>
    <row r="25" hidden="1" outlineLevel="1" ht="25.5" customFormat="1" customHeight="1" s="12">
      <c r="A25" s="245" t="n">
        <v>8</v>
      </c>
      <c r="B25" s="149" t="inlineStr">
        <is>
          <t>91.17.04-233</t>
        </is>
      </c>
      <c r="C25" s="244" t="inlineStr">
        <is>
          <t>Установки для сварки: ручной дуговой (постоянного тока)</t>
        </is>
      </c>
      <c r="D25" s="7" t="inlineStr">
        <is>
          <t>маш.час</t>
        </is>
      </c>
      <c r="E25" s="326" t="n">
        <v>0.84</v>
      </c>
      <c r="F25" s="178" t="n">
        <v>8.1</v>
      </c>
      <c r="G25" s="32">
        <f>ROUND(E25*F25,2)</f>
        <v/>
      </c>
      <c r="H25" s="156">
        <f>G25/$G$28</f>
        <v/>
      </c>
      <c r="I25" s="32">
        <f>ROUND(F25*Прил.10!$D$12,2)</f>
        <v/>
      </c>
      <c r="J25" s="32">
        <f>ROUND(I25*E25,2)</f>
        <v/>
      </c>
    </row>
    <row r="26" hidden="1" outlineLevel="1" ht="25.5" customFormat="1" customHeight="1" s="12">
      <c r="A26" s="245" t="n">
        <v>9</v>
      </c>
      <c r="B26" s="149" t="inlineStr">
        <is>
          <t>91.04.01-041</t>
        </is>
      </c>
      <c r="C26" s="244" t="inlineStr">
        <is>
          <t>Молотки бурильные: легкие при работе от передвижных компрессорных станций</t>
        </is>
      </c>
      <c r="D26" s="7" t="inlineStr">
        <is>
          <t>маш.час</t>
        </is>
      </c>
      <c r="E26" s="326" t="n">
        <v>0.29</v>
      </c>
      <c r="F26" s="178" t="n">
        <v>2.99</v>
      </c>
      <c r="G26" s="32">
        <f>ROUND(E26*F26,2)</f>
        <v/>
      </c>
      <c r="H26" s="156">
        <f>G26/$G$28</f>
        <v/>
      </c>
      <c r="I26" s="32">
        <f>ROUND(F26*Прил.10!$D$12,2)</f>
        <v/>
      </c>
      <c r="J26" s="32">
        <f>ROUND(I26*E26,2)</f>
        <v/>
      </c>
    </row>
    <row r="27" collapsed="1" ht="14.25" customFormat="1" customHeight="1" s="12">
      <c r="A27" s="245" t="n"/>
      <c r="B27" s="245" t="n"/>
      <c r="C27" s="244" t="inlineStr">
        <is>
          <t>Итого прочие машины и механизмы</t>
        </is>
      </c>
      <c r="D27" s="245" t="n"/>
      <c r="E27" s="246" t="n"/>
      <c r="F27" s="32" t="n"/>
      <c r="G27" s="157">
        <f>SUM(G25:G26)</f>
        <v/>
      </c>
      <c r="H27" s="156">
        <f>G27/G28</f>
        <v/>
      </c>
      <c r="I27" s="32" t="n"/>
      <c r="J27" s="32">
        <f>SUM(J25:J26)</f>
        <v/>
      </c>
    </row>
    <row r="28" ht="25.5" customFormat="1" customHeight="1" s="12">
      <c r="A28" s="245" t="n"/>
      <c r="B28" s="245" t="n"/>
      <c r="C28" s="249" t="inlineStr">
        <is>
          <t>Итого по разделу «Машины и механизмы»</t>
        </is>
      </c>
      <c r="D28" s="245" t="n"/>
      <c r="E28" s="246" t="n"/>
      <c r="F28" s="32" t="n"/>
      <c r="G28" s="32">
        <f>G27+G24</f>
        <v/>
      </c>
      <c r="H28" s="158" t="n">
        <v>1</v>
      </c>
      <c r="I28" s="159" t="n"/>
      <c r="J28" s="160">
        <f>J27+J24</f>
        <v/>
      </c>
    </row>
    <row r="29">
      <c r="A29" s="245" t="n"/>
      <c r="B29" s="249" t="inlineStr">
        <is>
          <t xml:space="preserve">Оборудование </t>
        </is>
      </c>
      <c r="C29" s="311" t="n"/>
      <c r="D29" s="311" t="n"/>
      <c r="E29" s="311" t="n"/>
      <c r="F29" s="311" t="n"/>
      <c r="G29" s="311" t="n"/>
      <c r="H29" s="311" t="n"/>
      <c r="I29" s="311" t="n"/>
      <c r="J29" s="312" t="n"/>
    </row>
    <row r="30">
      <c r="A30" s="245" t="n"/>
      <c r="B30" s="244" t="inlineStr">
        <is>
          <t>Основное оборудование</t>
        </is>
      </c>
      <c r="C30" s="311" t="n"/>
      <c r="D30" s="311" t="n"/>
      <c r="E30" s="311" t="n"/>
      <c r="F30" s="311" t="n"/>
      <c r="G30" s="311" t="n"/>
      <c r="H30" s="312" t="n"/>
      <c r="I30" s="154" t="n"/>
      <c r="J30" s="154" t="n"/>
    </row>
    <row r="31" ht="68.45" customHeight="1">
      <c r="A31" s="245" t="n">
        <v>10</v>
      </c>
      <c r="B31" s="149" t="inlineStr">
        <is>
          <t>БЦ.51.17</t>
        </is>
      </c>
      <c r="C31" s="244" t="inlineStr">
        <is>
          <t>Устройство промежуточного сбора, хранения и передачи данных учета электроэнергии для учета электроэнергии</t>
        </is>
      </c>
      <c r="D31" s="245" t="inlineStr">
        <is>
          <t>шт.</t>
        </is>
      </c>
      <c r="E31" s="319" t="n">
        <v>1</v>
      </c>
      <c r="F31" s="247">
        <f>ROUND(I31/Прил.10!$D$14,2)</f>
        <v/>
      </c>
      <c r="G31" s="32">
        <f>ROUND(E31*F31,2)</f>
        <v/>
      </c>
      <c r="H31" s="248">
        <f>G31/$G$34</f>
        <v/>
      </c>
      <c r="I31" s="32" t="n">
        <v>1000000</v>
      </c>
      <c r="J31" s="161">
        <f>ROUND(I31*E31,2)</f>
        <v/>
      </c>
    </row>
    <row r="32">
      <c r="A32" s="245" t="n"/>
      <c r="B32" s="245" t="n"/>
      <c r="C32" s="244" t="inlineStr">
        <is>
          <t>Итого основное оборудование</t>
        </is>
      </c>
      <c r="D32" s="245" t="n"/>
      <c r="E32" s="246" t="n"/>
      <c r="F32" s="247" t="n"/>
      <c r="G32" s="32">
        <f>G31</f>
        <v/>
      </c>
      <c r="H32" s="248">
        <f>G32/$G$34</f>
        <v/>
      </c>
      <c r="I32" s="157" t="n"/>
      <c r="J32" s="32">
        <f>J31</f>
        <v/>
      </c>
    </row>
    <row r="33">
      <c r="A33" s="245" t="n"/>
      <c r="B33" s="245" t="n"/>
      <c r="C33" s="244" t="inlineStr">
        <is>
          <t>Итого прочее оборудование</t>
        </is>
      </c>
      <c r="D33" s="245" t="n"/>
      <c r="E33" s="246" t="n"/>
      <c r="F33" s="247" t="n"/>
      <c r="G33" s="32" t="n">
        <v>0</v>
      </c>
      <c r="H33" s="248">
        <f>G33/$G$34</f>
        <v/>
      </c>
      <c r="I33" s="157" t="n"/>
      <c r="J33" s="32" t="n">
        <v>0</v>
      </c>
    </row>
    <row r="34">
      <c r="A34" s="245" t="n"/>
      <c r="B34" s="245" t="n"/>
      <c r="C34" s="249" t="inlineStr">
        <is>
          <t>Итого по разделу «Оборудование»</t>
        </is>
      </c>
      <c r="D34" s="245" t="n"/>
      <c r="E34" s="246" t="n"/>
      <c r="F34" s="247" t="n"/>
      <c r="G34" s="32">
        <f>G33+G32</f>
        <v/>
      </c>
      <c r="H34" s="248">
        <f>G34/$G$34</f>
        <v/>
      </c>
      <c r="I34" s="157" t="n"/>
      <c r="J34" s="32">
        <f>J33+J32</f>
        <v/>
      </c>
    </row>
    <row r="35" ht="25.5" customHeight="1">
      <c r="A35" s="245" t="n"/>
      <c r="B35" s="245" t="n"/>
      <c r="C35" s="244" t="inlineStr">
        <is>
          <t>в том числе технологическое оборудование</t>
        </is>
      </c>
      <c r="D35" s="245" t="n"/>
      <c r="E35" s="319" t="n"/>
      <c r="F35" s="247" t="n"/>
      <c r="G35" s="32">
        <f>G34</f>
        <v/>
      </c>
      <c r="H35" s="248" t="n"/>
      <c r="I35" s="157" t="n"/>
      <c r="J35" s="32">
        <f>J34</f>
        <v/>
      </c>
    </row>
    <row r="36" ht="14.25" customFormat="1" customHeight="1" s="12">
      <c r="A36" s="245" t="n"/>
      <c r="B36" s="249" t="inlineStr">
        <is>
          <t xml:space="preserve">Материалы </t>
        </is>
      </c>
      <c r="C36" s="311" t="n"/>
      <c r="D36" s="311" t="n"/>
      <c r="E36" s="311" t="n"/>
      <c r="F36" s="311" t="n"/>
      <c r="G36" s="311" t="n"/>
      <c r="H36" s="311" t="n"/>
      <c r="I36" s="311" t="n"/>
      <c r="J36" s="312" t="n"/>
    </row>
    <row r="37" ht="14.25" customFormat="1" customHeight="1" s="12">
      <c r="A37" s="245" t="n"/>
      <c r="B37" s="244" t="inlineStr">
        <is>
          <t>Основные материалы</t>
        </is>
      </c>
      <c r="C37" s="311" t="n"/>
      <c r="D37" s="311" t="n"/>
      <c r="E37" s="311" t="n"/>
      <c r="F37" s="311" t="n"/>
      <c r="G37" s="311" t="n"/>
      <c r="H37" s="312" t="n"/>
      <c r="I37" s="154" t="n"/>
      <c r="J37" s="154" t="n"/>
    </row>
    <row r="38" ht="25.15" customFormat="1" customHeight="1" s="12">
      <c r="A38" s="245" t="n">
        <v>12</v>
      </c>
      <c r="B38" s="149" t="inlineStr">
        <is>
          <t>999-9950</t>
        </is>
      </c>
      <c r="C38" s="244" t="inlineStr">
        <is>
          <t>Вспомогательные ненормируемые ресурсы (2% от Оплаты труда рабочих)</t>
        </is>
      </c>
      <c r="D38" s="7" t="inlineStr">
        <is>
          <t>руб.</t>
        </is>
      </c>
      <c r="E38" s="326" t="n">
        <v>10.12</v>
      </c>
      <c r="F38" s="178" t="n">
        <v>1</v>
      </c>
      <c r="G38" s="32">
        <f>ROUND(E38*F38,2)</f>
        <v/>
      </c>
      <c r="H38" s="156">
        <f>G38/$G$44</f>
        <v/>
      </c>
      <c r="I38" s="32">
        <f>ROUND(F38*Прил.10!$D$13,2)</f>
        <v/>
      </c>
      <c r="J38" s="32">
        <f>ROUND(I38*E38,2)</f>
        <v/>
      </c>
    </row>
    <row r="39" ht="13.15" customFormat="1" customHeight="1" s="12">
      <c r="A39" s="245" t="n">
        <v>13</v>
      </c>
      <c r="B39" s="149" t="inlineStr">
        <is>
          <t>01.7.11.07-0034</t>
        </is>
      </c>
      <c r="C39" s="244" t="inlineStr">
        <is>
          <t>Электроды диаметром: 4 мм Э42А</t>
        </is>
      </c>
      <c r="D39" s="7" t="inlineStr">
        <is>
          <t>кг</t>
        </is>
      </c>
      <c r="E39" s="326" t="n">
        <v>0.15</v>
      </c>
      <c r="F39" s="178" t="n">
        <v>10.57</v>
      </c>
      <c r="G39" s="32">
        <f>ROUND(E39*F39,2)</f>
        <v/>
      </c>
      <c r="H39" s="156">
        <f>G39/$G$44</f>
        <v/>
      </c>
      <c r="I39" s="32">
        <f>ROUND(F39*Прил.10!$D$13,2)</f>
        <v/>
      </c>
      <c r="J39" s="32">
        <f>ROUND(I39*E39,2)</f>
        <v/>
      </c>
    </row>
    <row r="40" ht="12" customFormat="1" customHeight="1" s="12">
      <c r="A40" s="245" t="n"/>
      <c r="B40" s="245" t="n"/>
      <c r="C40" s="244" t="inlineStr">
        <is>
          <t>Итого основные материалы</t>
        </is>
      </c>
      <c r="D40" s="245" t="n"/>
      <c r="E40" s="319" t="n"/>
      <c r="F40" s="247" t="n"/>
      <c r="G40" s="32">
        <f>SUM(G38:G39)</f>
        <v/>
      </c>
      <c r="H40" s="248">
        <f>G40/$G$44</f>
        <v/>
      </c>
      <c r="I40" s="157" t="n"/>
      <c r="J40" s="32">
        <f>SUM(J38:J39)</f>
        <v/>
      </c>
    </row>
    <row r="41" hidden="1" outlineLevel="1" ht="16.9" customFormat="1" customHeight="1" s="12">
      <c r="A41" s="245" t="n">
        <v>14</v>
      </c>
      <c r="B41" s="149" t="inlineStr">
        <is>
          <t>01.7.15.03-0042</t>
        </is>
      </c>
      <c r="C41" s="244" t="inlineStr">
        <is>
          <t>Болты с гайками и шайбами строительные</t>
        </is>
      </c>
      <c r="D41" s="7" t="inlineStr">
        <is>
          <t>кг</t>
        </is>
      </c>
      <c r="E41" s="326" t="n">
        <v>0.1</v>
      </c>
      <c r="F41" s="178" t="n">
        <v>9.039999999999999</v>
      </c>
      <c r="G41" s="32">
        <f>E41*F41</f>
        <v/>
      </c>
      <c r="H41" s="156">
        <f>G41/$G$44</f>
        <v/>
      </c>
      <c r="I41" s="32">
        <f>ROUND(F41*Прил.10!$D$13,2)</f>
        <v/>
      </c>
      <c r="J41" s="32">
        <f>ROUND(I41*E41,2)</f>
        <v/>
      </c>
    </row>
    <row r="42" hidden="1" outlineLevel="1" ht="13.9" customFormat="1" customHeight="1" s="12">
      <c r="A42" s="245" t="n">
        <v>15</v>
      </c>
      <c r="B42" s="149" t="inlineStr">
        <is>
          <t>14.4.02.09-0001</t>
        </is>
      </c>
      <c r="C42" s="244" t="inlineStr">
        <is>
          <t>Краска</t>
        </is>
      </c>
      <c r="D42" s="7" t="inlineStr">
        <is>
          <t>кг</t>
        </is>
      </c>
      <c r="E42" s="326" t="n">
        <v>0.02</v>
      </c>
      <c r="F42" s="178" t="n">
        <v>28.6</v>
      </c>
      <c r="G42" s="32">
        <f>E42*F42</f>
        <v/>
      </c>
      <c r="H42" s="156">
        <f>G42/$G$44</f>
        <v/>
      </c>
      <c r="I42" s="32">
        <f>ROUND(F42*Прил.10!$D$13,2)</f>
        <v/>
      </c>
      <c r="J42" s="32">
        <f>ROUND(I42*E42,2)</f>
        <v/>
      </c>
    </row>
    <row r="43" collapsed="1" ht="14.25" customFormat="1" customHeight="1" s="12">
      <c r="A43" s="245" t="n"/>
      <c r="B43" s="245" t="n"/>
      <c r="C43" s="244" t="inlineStr">
        <is>
          <t>Итого прочие материалы</t>
        </is>
      </c>
      <c r="D43" s="245" t="n"/>
      <c r="E43" s="246" t="n"/>
      <c r="F43" s="247" t="n"/>
      <c r="G43" s="32">
        <f>SUM(G41:G42)</f>
        <v/>
      </c>
      <c r="H43" s="248">
        <f>G43/G44</f>
        <v/>
      </c>
      <c r="I43" s="32" t="n"/>
      <c r="J43" s="32">
        <f>SUM(J41:J42)</f>
        <v/>
      </c>
    </row>
    <row r="44" ht="14.25" customFormat="1" customHeight="1" s="12">
      <c r="A44" s="245" t="n"/>
      <c r="B44" s="245" t="n"/>
      <c r="C44" s="249" t="inlineStr">
        <is>
          <t>Итого по разделу «Материалы»</t>
        </is>
      </c>
      <c r="D44" s="245" t="n"/>
      <c r="E44" s="246" t="n"/>
      <c r="F44" s="247" t="n"/>
      <c r="G44" s="32">
        <f>G40+G43</f>
        <v/>
      </c>
      <c r="H44" s="248" t="n">
        <v>1</v>
      </c>
      <c r="I44" s="32" t="n"/>
      <c r="J44" s="32">
        <f>J40+J43</f>
        <v/>
      </c>
    </row>
    <row r="45" ht="14.25" customFormat="1" customHeight="1" s="12">
      <c r="A45" s="245" t="n"/>
      <c r="B45" s="245" t="n"/>
      <c r="C45" s="244" t="inlineStr">
        <is>
          <t>ИТОГО ПО РМ</t>
        </is>
      </c>
      <c r="D45" s="245" t="n"/>
      <c r="E45" s="246" t="n"/>
      <c r="F45" s="247" t="n"/>
      <c r="G45" s="32">
        <f>G16+G28+G44</f>
        <v/>
      </c>
      <c r="H45" s="248" t="n"/>
      <c r="I45" s="32" t="n"/>
      <c r="J45" s="32">
        <f>J16+J28+J44</f>
        <v/>
      </c>
    </row>
    <row r="46" ht="14.25" customFormat="1" customHeight="1" s="12">
      <c r="A46" s="245" t="n"/>
      <c r="B46" s="245" t="n"/>
      <c r="C46" s="244" t="inlineStr">
        <is>
          <t>Накладные расходы</t>
        </is>
      </c>
      <c r="D46" s="162">
        <f>ROUND(G46/(G$18+$G$16),2)</f>
        <v/>
      </c>
      <c r="E46" s="246" t="n"/>
      <c r="F46" s="247" t="n"/>
      <c r="G46" s="32" t="n">
        <v>415</v>
      </c>
      <c r="H46" s="248" t="n"/>
      <c r="I46" s="32" t="n"/>
      <c r="J46" s="32">
        <f>ROUND(D46*(J16+J18),2)</f>
        <v/>
      </c>
    </row>
    <row r="47" ht="14.25" customFormat="1" customHeight="1" s="12">
      <c r="A47" s="245" t="n"/>
      <c r="B47" s="245" t="n"/>
      <c r="C47" s="244" t="inlineStr">
        <is>
          <t>Сметная прибыль</t>
        </is>
      </c>
      <c r="D47" s="162">
        <f>ROUND(G47/(G$16+G$18),2)</f>
        <v/>
      </c>
      <c r="E47" s="246" t="n"/>
      <c r="F47" s="247" t="n"/>
      <c r="G47" s="32" t="n">
        <v>309</v>
      </c>
      <c r="H47" s="248" t="n"/>
      <c r="I47" s="32" t="n"/>
      <c r="J47" s="32">
        <f>ROUND(D47*(J16+J18),2)</f>
        <v/>
      </c>
    </row>
    <row r="48" ht="14.25" customFormat="1" customHeight="1" s="12">
      <c r="A48" s="245" t="n"/>
      <c r="B48" s="245" t="n"/>
      <c r="C48" s="244" t="inlineStr">
        <is>
          <t>Итого СМР (с НР и СП)</t>
        </is>
      </c>
      <c r="D48" s="245" t="n"/>
      <c r="E48" s="246" t="n"/>
      <c r="F48" s="247" t="n"/>
      <c r="G48" s="32">
        <f>G16+G28+G44+G46+G47</f>
        <v/>
      </c>
      <c r="H48" s="248" t="n"/>
      <c r="I48" s="32" t="n"/>
      <c r="J48" s="32">
        <f>J16+J28+J44+J46+J47</f>
        <v/>
      </c>
    </row>
    <row r="49" ht="14.25" customFormat="1" customHeight="1" s="12">
      <c r="A49" s="245" t="n"/>
      <c r="B49" s="245" t="n"/>
      <c r="C49" s="244" t="inlineStr">
        <is>
          <t>ВСЕГО СМР + ОБОРУДОВАНИЕ</t>
        </is>
      </c>
      <c r="D49" s="245" t="n"/>
      <c r="E49" s="246" t="n"/>
      <c r="F49" s="247" t="n"/>
      <c r="G49" s="32">
        <f>G48+G34</f>
        <v/>
      </c>
      <c r="H49" s="248" t="n"/>
      <c r="I49" s="32" t="n"/>
      <c r="J49" s="32">
        <f>J48+J34</f>
        <v/>
      </c>
    </row>
    <row r="50" ht="14.25" customFormat="1" customHeight="1" s="12">
      <c r="A50" s="245" t="n"/>
      <c r="B50" s="245" t="n"/>
      <c r="C50" s="244" t="inlineStr">
        <is>
          <t>ИТОГО ПОКАЗАТЕЛЬ НА ЕД. ИЗМ.</t>
        </is>
      </c>
      <c r="D50" s="245" t="inlineStr">
        <is>
          <t>ед.</t>
        </is>
      </c>
      <c r="E50" s="246" t="n">
        <v>1</v>
      </c>
      <c r="F50" s="247" t="n"/>
      <c r="G50" s="32">
        <f>G49/E50</f>
        <v/>
      </c>
      <c r="H50" s="248" t="n"/>
      <c r="I50" s="32" t="n"/>
      <c r="J50" s="32">
        <f>J49/E50</f>
        <v/>
      </c>
    </row>
    <row r="52" ht="14.25" customFormat="1" customHeight="1" s="12">
      <c r="A52" s="4" t="inlineStr">
        <is>
          <t>Составил ______________________    А.Р. Маркова</t>
        </is>
      </c>
    </row>
    <row r="53" ht="14.25" customFormat="1" customHeight="1" s="12">
      <c r="A53" s="33" t="inlineStr">
        <is>
          <t xml:space="preserve">                         (подпись, инициалы, фамилия)</t>
        </is>
      </c>
    </row>
    <row r="54" ht="14.25" customFormat="1" customHeight="1" s="12">
      <c r="A54" s="4" t="n"/>
    </row>
    <row r="55" ht="14.25" customFormat="1" customHeight="1" s="12">
      <c r="A55" s="4" t="inlineStr">
        <is>
          <t>Проверил ______________________        А.В. Костянецкая</t>
        </is>
      </c>
    </row>
    <row r="56" ht="14.25" customFormat="1" customHeight="1" s="12">
      <c r="A56" s="33" t="inlineStr">
        <is>
          <t xml:space="preserve">                        (подпись, инициалы, фамилия)</t>
        </is>
      </c>
    </row>
  </sheetData>
  <mergeCells count="22">
    <mergeCell ref="H9:H10"/>
    <mergeCell ref="B30:H30"/>
    <mergeCell ref="A4:J4"/>
    <mergeCell ref="H2:J2"/>
    <mergeCell ref="B20:H20"/>
    <mergeCell ref="B29:J29"/>
    <mergeCell ref="C9:C10"/>
    <mergeCell ref="E9:E10"/>
    <mergeCell ref="A7:H7"/>
    <mergeCell ref="B9:B10"/>
    <mergeCell ref="D9:D10"/>
    <mergeCell ref="B36:J36"/>
    <mergeCell ref="B12:H12"/>
    <mergeCell ref="D6:J6"/>
    <mergeCell ref="A8:H8"/>
    <mergeCell ref="F9:G9"/>
    <mergeCell ref="B17:H17"/>
    <mergeCell ref="A9:A10"/>
    <mergeCell ref="A6:C6"/>
    <mergeCell ref="B19:H19"/>
    <mergeCell ref="B37:H37"/>
    <mergeCell ref="I9:J9"/>
  </mergeCells>
  <pageMargins left="0.6299212598425197" right="0.2362204724409449" top="0.7480314960629921" bottom="0.7480314960629921" header="0.3149606299212598" footer="0.3149606299212598"/>
  <pageSetup orientation="landscape" paperSize="9" scale="83" fitToHeight="0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/>
  </sheetPr>
  <dimension ref="A1:G20"/>
  <sheetViews>
    <sheetView view="pageBreakPreview" workbookViewId="0">
      <selection activeCell="D16" sqref="D16"/>
    </sheetView>
  </sheetViews>
  <sheetFormatPr baseColWidth="8" defaultRowHeight="15"/>
  <cols>
    <col width="5.7109375" customWidth="1" min="1" max="1"/>
    <col width="17.5703125" customWidth="1" min="2" max="2"/>
    <col width="39.140625" customWidth="1" min="3" max="3"/>
    <col width="10.7109375" customWidth="1" min="4" max="4"/>
    <col width="13.85546875" customWidth="1" min="5" max="5"/>
    <col width="13.28515625" customWidth="1" min="6" max="6"/>
    <col width="14.140625" customWidth="1" min="7" max="7"/>
  </cols>
  <sheetData>
    <row r="1">
      <c r="A1" s="255" t="inlineStr">
        <is>
          <t>Приложение №6</t>
        </is>
      </c>
    </row>
    <row r="2" ht="21.75" customHeight="1">
      <c r="A2" s="255" t="n"/>
      <c r="B2" s="255" t="n"/>
      <c r="C2" s="255" t="n"/>
      <c r="D2" s="255" t="n"/>
      <c r="E2" s="255" t="n"/>
      <c r="F2" s="255" t="n"/>
      <c r="G2" s="255" t="n"/>
    </row>
    <row r="3">
      <c r="A3" s="215" t="inlineStr">
        <is>
          <t>Расчет стоимости оборудования</t>
        </is>
      </c>
    </row>
    <row r="4" ht="25.5" customHeight="1">
      <c r="A4" s="218" t="inlineStr">
        <is>
          <t>Наименование разрабатываемого показателя УНЦ — ИВКЭ для ПС (ЗПС) 35 кВ и выше</t>
        </is>
      </c>
    </row>
    <row r="5">
      <c r="A5" s="4" t="n"/>
      <c r="B5" s="4" t="n"/>
      <c r="C5" s="4" t="n"/>
      <c r="D5" s="4" t="n"/>
      <c r="E5" s="4" t="n"/>
      <c r="F5" s="4" t="n"/>
      <c r="G5" s="4" t="n"/>
    </row>
    <row r="6" ht="30" customHeight="1">
      <c r="A6" s="260" t="inlineStr">
        <is>
          <t>№ пп.</t>
        </is>
      </c>
      <c r="B6" s="260" t="inlineStr">
        <is>
          <t>Код ресурса</t>
        </is>
      </c>
      <c r="C6" s="260" t="inlineStr">
        <is>
          <t>Наименование</t>
        </is>
      </c>
      <c r="D6" s="260" t="inlineStr">
        <is>
          <t>Ед. изм.</t>
        </is>
      </c>
      <c r="E6" s="245" t="inlineStr">
        <is>
          <t>Кол-во единиц по проектным данным</t>
        </is>
      </c>
      <c r="F6" s="260" t="inlineStr">
        <is>
          <t>Сметная стоимость в ценах на 01.01.2000 (руб.)</t>
        </is>
      </c>
      <c r="G6" s="312" t="n"/>
    </row>
    <row r="7">
      <c r="A7" s="314" t="n"/>
      <c r="B7" s="314" t="n"/>
      <c r="C7" s="314" t="n"/>
      <c r="D7" s="314" t="n"/>
      <c r="E7" s="314" t="n"/>
      <c r="F7" s="245" t="inlineStr">
        <is>
          <t>на ед. изм.</t>
        </is>
      </c>
      <c r="G7" s="245" t="inlineStr">
        <is>
          <t>общая</t>
        </is>
      </c>
    </row>
    <row r="8">
      <c r="A8" s="245" t="n">
        <v>1</v>
      </c>
      <c r="B8" s="245" t="n">
        <v>2</v>
      </c>
      <c r="C8" s="245" t="n">
        <v>3</v>
      </c>
      <c r="D8" s="245" t="n">
        <v>4</v>
      </c>
      <c r="E8" s="245" t="n">
        <v>5</v>
      </c>
      <c r="F8" s="245" t="n">
        <v>6</v>
      </c>
      <c r="G8" s="245" t="n">
        <v>7</v>
      </c>
    </row>
    <row r="9" ht="15" customHeight="1">
      <c r="A9" s="25" t="n"/>
      <c r="B9" s="244" t="inlineStr">
        <is>
          <t>ИНЖЕНЕРНОЕ ОБОРУДОВАНИЕ</t>
        </is>
      </c>
      <c r="C9" s="311" t="n"/>
      <c r="D9" s="311" t="n"/>
      <c r="E9" s="311" t="n"/>
      <c r="F9" s="311" t="n"/>
      <c r="G9" s="312" t="n"/>
    </row>
    <row r="10" ht="27" customHeight="1">
      <c r="A10" s="245" t="n"/>
      <c r="B10" s="249" t="n"/>
      <c r="C10" s="244" t="inlineStr">
        <is>
          <t>ИТОГО ИНЖЕНЕРНОЕ ОБОРУДОВАНИЕ</t>
        </is>
      </c>
      <c r="D10" s="249" t="n"/>
      <c r="E10" s="105" t="n"/>
      <c r="F10" s="247" t="n"/>
      <c r="G10" s="247" t="n">
        <v>0</v>
      </c>
    </row>
    <row r="11">
      <c r="A11" s="245" t="n"/>
      <c r="B11" s="244" t="inlineStr">
        <is>
          <t>ТЕХНОЛОГИЧЕСКОЕ ОБОРУДОВАНИЕ</t>
        </is>
      </c>
      <c r="C11" s="311" t="n"/>
      <c r="D11" s="311" t="n"/>
      <c r="E11" s="311" t="n"/>
      <c r="F11" s="311" t="n"/>
      <c r="G11" s="312" t="n"/>
    </row>
    <row r="12" ht="73.15000000000001" customHeight="1">
      <c r="A12" s="245" t="n">
        <v>1</v>
      </c>
      <c r="B12" s="244">
        <f>'Прил.5 Расчет СМР и ОБ'!B31</f>
        <v/>
      </c>
      <c r="C12" s="244">
        <f>'Прил.5 Расчет СМР и ОБ'!C31</f>
        <v/>
      </c>
      <c r="D12" s="245">
        <f>'Прил.5 Расчет СМР и ОБ'!D31</f>
        <v/>
      </c>
      <c r="E12" s="245">
        <f>'Прил.5 Расчет СМР и ОБ'!E31</f>
        <v/>
      </c>
      <c r="F12" s="259">
        <f>'Прил.5 Расчет СМР и ОБ'!F31</f>
        <v/>
      </c>
      <c r="G12" s="32">
        <f>E12*F12</f>
        <v/>
      </c>
    </row>
    <row r="13" ht="25.5" customHeight="1">
      <c r="A13" s="245" t="n"/>
      <c r="B13" s="244" t="n"/>
      <c r="C13" s="244" t="inlineStr">
        <is>
          <t>ИТОГО ТЕХНОЛОГИЧЕСКОЕ ОБОРУДОВАНИЕ</t>
        </is>
      </c>
      <c r="D13" s="244" t="n"/>
      <c r="E13" s="259" t="n"/>
      <c r="F13" s="247" t="n"/>
      <c r="G13" s="32">
        <f>G12</f>
        <v/>
      </c>
    </row>
    <row r="14" ht="19.5" customHeight="1">
      <c r="A14" s="245" t="n"/>
      <c r="B14" s="244" t="n"/>
      <c r="C14" s="244" t="inlineStr">
        <is>
          <t>Всего по разделу «Оборудование»</t>
        </is>
      </c>
      <c r="D14" s="244" t="n"/>
      <c r="E14" s="259" t="n"/>
      <c r="F14" s="247" t="n"/>
      <c r="G14" s="32">
        <f>G10+G13</f>
        <v/>
      </c>
    </row>
    <row r="15">
      <c r="A15" s="30" t="n"/>
      <c r="B15" s="106" t="n"/>
      <c r="C15" s="30" t="n"/>
      <c r="D15" s="30" t="n"/>
      <c r="E15" s="30" t="n"/>
      <c r="F15" s="30" t="n"/>
      <c r="G15" s="30" t="n"/>
    </row>
    <row r="16">
      <c r="A16" s="4" t="inlineStr">
        <is>
          <t>Составил ______________________    А.Р. Маркова</t>
        </is>
      </c>
      <c r="B16" s="12" t="n"/>
      <c r="C16" s="12" t="n"/>
      <c r="D16" s="30" t="n"/>
      <c r="E16" s="30" t="n"/>
      <c r="F16" s="30" t="n"/>
      <c r="G16" s="30" t="n"/>
    </row>
    <row r="17">
      <c r="A17" s="33" t="inlineStr">
        <is>
          <t xml:space="preserve">                         (подпись, инициалы, фамилия)</t>
        </is>
      </c>
      <c r="B17" s="12" t="n"/>
      <c r="C17" s="12" t="n"/>
      <c r="D17" s="30" t="n"/>
      <c r="E17" s="30" t="n"/>
      <c r="F17" s="30" t="n"/>
      <c r="G17" s="30" t="n"/>
    </row>
    <row r="18">
      <c r="A18" s="4" t="n"/>
      <c r="B18" s="12" t="n"/>
      <c r="C18" s="12" t="n"/>
      <c r="D18" s="30" t="n"/>
      <c r="E18" s="30" t="n"/>
      <c r="F18" s="30" t="n"/>
      <c r="G18" s="30" t="n"/>
    </row>
    <row r="19">
      <c r="A19" s="4" t="inlineStr">
        <is>
          <t>Проверил ______________________        А.В. Костянецкая</t>
        </is>
      </c>
      <c r="B19" s="12" t="n"/>
      <c r="C19" s="12" t="n"/>
      <c r="D19" s="30" t="n"/>
      <c r="E19" s="30" t="n"/>
      <c r="F19" s="30" t="n"/>
      <c r="G19" s="30" t="n"/>
    </row>
    <row r="20">
      <c r="A20" s="33" t="inlineStr">
        <is>
          <t xml:space="preserve">                        (подпись, инициалы, фамилия)</t>
        </is>
      </c>
      <c r="B20" s="12" t="n"/>
      <c r="C20" s="12" t="n"/>
      <c r="D20" s="30" t="n"/>
      <c r="E20" s="30" t="n"/>
      <c r="F20" s="30" t="n"/>
      <c r="G20" s="3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/>
  </sheetPr>
  <dimension ref="A1:E17"/>
  <sheetViews>
    <sheetView view="pageBreakPreview" workbookViewId="0">
      <selection activeCell="C13" sqref="C13"/>
    </sheetView>
  </sheetViews>
  <sheetFormatPr baseColWidth="8" defaultColWidth="8.85546875" defaultRowHeight="15"/>
  <cols>
    <col width="14.42578125" customWidth="1" min="1" max="1"/>
    <col width="29.7109375" customWidth="1" min="2" max="2"/>
    <col width="39.140625" customWidth="1" min="3" max="3"/>
    <col width="24.5703125" customWidth="1" min="4" max="4"/>
  </cols>
  <sheetData>
    <row r="1">
      <c r="B1" s="4" t="n"/>
      <c r="C1" s="4" t="n"/>
      <c r="D1" s="255" t="inlineStr">
        <is>
          <t>Приложение №7</t>
        </is>
      </c>
    </row>
    <row r="2">
      <c r="A2" s="255" t="n"/>
      <c r="B2" s="255" t="n"/>
      <c r="C2" s="255" t="n"/>
      <c r="D2" s="255" t="n"/>
    </row>
    <row r="3" ht="24.75" customHeight="1">
      <c r="A3" s="215" t="inlineStr">
        <is>
          <t>Расчет показателя УНЦ</t>
        </is>
      </c>
    </row>
    <row r="4" ht="24.75" customHeight="1">
      <c r="A4" s="215" t="n"/>
      <c r="B4" s="215" t="n"/>
      <c r="C4" s="215" t="n"/>
      <c r="D4" s="215" t="n"/>
    </row>
    <row r="5" ht="24.6" customHeight="1">
      <c r="A5" s="218" t="inlineStr">
        <is>
          <t xml:space="preserve">Наименование разрабатываемого показателя УНЦ - </t>
        </is>
      </c>
      <c r="D5" s="218">
        <f>'Прил.5 Расчет СМР и ОБ'!D6:J6</f>
        <v/>
      </c>
    </row>
    <row r="6" ht="19.9" customHeight="1">
      <c r="A6" s="218" t="inlineStr">
        <is>
          <t>Единица измерения  — 1 ед</t>
        </is>
      </c>
      <c r="D6" s="218" t="n"/>
    </row>
    <row r="7">
      <c r="A7" s="4" t="n"/>
      <c r="B7" s="4" t="n"/>
      <c r="C7" s="4" t="n"/>
      <c r="D7" s="4" t="n"/>
    </row>
    <row r="8" ht="14.45" customHeight="1">
      <c r="A8" s="229" t="inlineStr">
        <is>
          <t>Код показателя</t>
        </is>
      </c>
      <c r="B8" s="229" t="inlineStr">
        <is>
          <t>Наименование показателя</t>
        </is>
      </c>
      <c r="C8" s="229" t="inlineStr">
        <is>
          <t>Наименование РМ, входящих в состав показателя</t>
        </is>
      </c>
      <c r="D8" s="229" t="inlineStr">
        <is>
          <t>Норматив цены на 01.01.2023, тыс.руб.</t>
        </is>
      </c>
    </row>
    <row r="9" ht="15" customHeight="1">
      <c r="A9" s="314" t="n"/>
      <c r="B9" s="314" t="n"/>
      <c r="C9" s="314" t="n"/>
      <c r="D9" s="314" t="n"/>
    </row>
    <row r="10">
      <c r="A10" s="245" t="n">
        <v>1</v>
      </c>
      <c r="B10" s="245" t="n">
        <v>2</v>
      </c>
      <c r="C10" s="245" t="n">
        <v>3</v>
      </c>
      <c r="D10" s="245" t="n">
        <v>4</v>
      </c>
    </row>
    <row r="11" ht="41.45" customHeight="1">
      <c r="A11" s="245" t="inlineStr">
        <is>
          <t>А2-02</t>
        </is>
      </c>
      <c r="B11" s="245" t="inlineStr">
        <is>
          <t>УНЦ ИВКЭ</t>
        </is>
      </c>
      <c r="C11" s="152">
        <f>D5</f>
        <v/>
      </c>
      <c r="D11" s="3">
        <f>'Прил.4 РМ'!C41/1000</f>
        <v/>
      </c>
      <c r="E11" s="130" t="n"/>
    </row>
    <row r="12">
      <c r="A12" s="30" t="n"/>
      <c r="B12" s="106" t="n"/>
      <c r="C12" s="30" t="n"/>
      <c r="D12" s="30" t="n"/>
    </row>
    <row r="13">
      <c r="A13" s="4" t="inlineStr">
        <is>
          <t>Составил ______________________      А.Р. Маркова</t>
        </is>
      </c>
      <c r="B13" s="12" t="n"/>
      <c r="C13" s="12" t="n"/>
      <c r="D13" s="30" t="n"/>
    </row>
    <row r="14">
      <c r="A14" s="33" t="inlineStr">
        <is>
          <t xml:space="preserve">                         (подпись, инициалы, фамилия)</t>
        </is>
      </c>
      <c r="B14" s="12" t="n"/>
      <c r="C14" s="12" t="n"/>
      <c r="D14" s="30" t="n"/>
    </row>
    <row r="15">
      <c r="A15" s="4" t="n"/>
      <c r="B15" s="12" t="n"/>
      <c r="C15" s="12" t="n"/>
      <c r="D15" s="30" t="n"/>
    </row>
    <row r="16">
      <c r="A16" s="4" t="inlineStr">
        <is>
          <t>Проверил ______________________        А.В. Костянецкая</t>
        </is>
      </c>
      <c r="B16" s="12" t="n"/>
      <c r="C16" s="12" t="n"/>
      <c r="D16" s="30" t="n"/>
    </row>
    <row r="17">
      <c r="A17" s="33" t="inlineStr">
        <is>
          <t xml:space="preserve">                        (подпись, инициалы, фамилия)</t>
        </is>
      </c>
      <c r="B17" s="12" t="n"/>
      <c r="C17" s="12" t="n"/>
      <c r="D17" s="30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79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/>
  </sheetPr>
  <dimension ref="B4:E27"/>
  <sheetViews>
    <sheetView view="pageBreakPreview" topLeftCell="A15" zoomScale="130" zoomScaleNormal="85" zoomScaleSheetLayoutView="130" workbookViewId="0">
      <selection activeCell="C22" sqref="C22"/>
    </sheetView>
  </sheetViews>
  <sheetFormatPr baseColWidth="8" defaultRowHeight="15"/>
  <cols>
    <col width="9.140625" customWidth="1" min="1" max="1"/>
    <col width="40.7109375" customWidth="1" min="2" max="2"/>
    <col width="37" customWidth="1" min="3" max="3"/>
    <col width="32" customWidth="1" min="4" max="4"/>
    <col width="9.140625" customWidth="1" min="5" max="5"/>
  </cols>
  <sheetData>
    <row r="4" ht="15.75" customHeight="1">
      <c r="B4" s="223" t="inlineStr">
        <is>
          <t>Приложение № 10</t>
        </is>
      </c>
    </row>
    <row r="5" ht="18.75" customHeight="1">
      <c r="B5" s="125" t="n"/>
    </row>
    <row r="6" ht="15.75" customHeight="1">
      <c r="B6" s="228" t="inlineStr">
        <is>
          <t>Используемые индексы изменений сметной стоимости и нормы сопутствующих затрат</t>
        </is>
      </c>
    </row>
    <row r="7">
      <c r="B7" s="261" t="inlineStr">
        <is>
          <t>*Стоимость ПНР принята на основании СД ОП</t>
        </is>
      </c>
    </row>
    <row r="8">
      <c r="B8" s="261" t="n"/>
      <c r="C8" s="261" t="n"/>
      <c r="D8" s="261" t="n"/>
      <c r="E8" s="261" t="n"/>
    </row>
    <row r="9" ht="47.25" customHeight="1">
      <c r="B9" s="229" t="inlineStr">
        <is>
          <t>Наименование индекса / норм сопутствующих затрат</t>
        </is>
      </c>
      <c r="C9" s="229" t="inlineStr">
        <is>
          <t>Дата применения и обоснование индекса / норм сопутствующих затрат</t>
        </is>
      </c>
      <c r="D9" s="229" t="inlineStr">
        <is>
          <t>Размер индекса / норма сопутствующих затрат</t>
        </is>
      </c>
    </row>
    <row r="10" ht="15.75" customHeight="1">
      <c r="B10" s="229" t="n">
        <v>1</v>
      </c>
      <c r="C10" s="229" t="n">
        <v>2</v>
      </c>
      <c r="D10" s="229" t="n">
        <v>3</v>
      </c>
    </row>
    <row r="11" ht="45" customHeight="1">
      <c r="B11" s="229" t="inlineStr">
        <is>
          <t xml:space="preserve">Индекс изменения сметной стоимости на 1 квартал 2023 года. ОЗП </t>
        </is>
      </c>
      <c r="C11" s="229" t="inlineStr">
        <is>
          <t>Письмо Минстроя России от 30.03.2023г. №17106-ИФ/09  прил.1</t>
        </is>
      </c>
      <c r="D11" s="229" t="n">
        <v>44.29</v>
      </c>
    </row>
    <row r="12" ht="29.25" customHeight="1">
      <c r="B12" s="229" t="inlineStr">
        <is>
          <t>Индекс изменения сметной стоимости на 1 квартал 2023 года. ЭМ</t>
        </is>
      </c>
      <c r="C12" s="229" t="inlineStr">
        <is>
          <t>Письмо Минстроя России от 30.03.2023г. №17106-ИФ/09  прил.1</t>
        </is>
      </c>
      <c r="D12" s="229" t="n">
        <v>13.47</v>
      </c>
    </row>
    <row r="13" ht="29.25" customHeight="1">
      <c r="B13" s="229" t="inlineStr">
        <is>
          <t>Индекс изменения сметной стоимости на 1 квартал 2023 года. МАТ</t>
        </is>
      </c>
      <c r="C13" s="229" t="inlineStr">
        <is>
          <t>Письмо Минстроя России от 30.03.2023г. №17106-ИФ/09  прил.1</t>
        </is>
      </c>
      <c r="D13" s="229" t="n">
        <v>8.039999999999999</v>
      </c>
    </row>
    <row r="14" ht="30.75" customHeight="1">
      <c r="B14" s="229" t="inlineStr">
        <is>
          <t>Индекс изменения сметной стоимости на 1 квартал 2023 года. ОБ</t>
        </is>
      </c>
      <c r="C14" s="120" t="inlineStr">
        <is>
          <t>Письмо Минстроя России от 23.02.2023г. №9791-ИФ/09 прил.6</t>
        </is>
      </c>
      <c r="D14" s="229" t="n">
        <v>6.26</v>
      </c>
    </row>
    <row r="15" ht="89.25" customHeight="1">
      <c r="B15" s="229" t="inlineStr">
        <is>
          <t>Временные здания и сооружения</t>
        </is>
      </c>
      <c r="C15" s="229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6" t="n">
        <v>0.039</v>
      </c>
    </row>
    <row r="16" ht="78.75" customHeight="1">
      <c r="B16" s="229" t="inlineStr">
        <is>
          <t>Дополнительные затраты при производстве строительно-монтажных работ в зимнее время</t>
        </is>
      </c>
      <c r="C16" s="229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6" t="n">
        <v>0.021</v>
      </c>
    </row>
    <row r="17" ht="34.5" customHeight="1">
      <c r="B17" s="229" t="n"/>
      <c r="C17" s="229" t="n"/>
      <c r="D17" s="229" t="n"/>
    </row>
    <row r="18" ht="31.5" customHeight="1">
      <c r="B18" s="229" t="inlineStr">
        <is>
          <t>Строительный контроль</t>
        </is>
      </c>
      <c r="C18" s="229" t="inlineStr">
        <is>
          <t>Постановление Правительства РФ от 21.06.10 г. № 468</t>
        </is>
      </c>
      <c r="D18" s="126" t="n">
        <v>0.0214</v>
      </c>
    </row>
    <row r="19" ht="31.5" customHeight="1">
      <c r="B19" s="229" t="inlineStr">
        <is>
          <t>Авторский надзор - 0,2%</t>
        </is>
      </c>
      <c r="C19" s="229" t="inlineStr">
        <is>
          <t>Приказ от 4.08.2020 № 421/пр п.173</t>
        </is>
      </c>
      <c r="D19" s="126" t="n">
        <v>0.002</v>
      </c>
    </row>
    <row r="20" ht="24" customHeight="1">
      <c r="B20" s="229" t="inlineStr">
        <is>
          <t>Непредвиденные расходы</t>
        </is>
      </c>
      <c r="C20" s="229" t="inlineStr">
        <is>
          <t>Приказ от 4.08.2020 № 421/пр п.179</t>
        </is>
      </c>
      <c r="D20" s="126" t="n">
        <v>0.03</v>
      </c>
    </row>
    <row r="21" ht="18.75" customHeight="1">
      <c r="B21" s="117" t="n"/>
    </row>
    <row r="23">
      <c r="B23" s="4" t="inlineStr">
        <is>
          <t>Составил ______________________        А.Р. Маркова</t>
        </is>
      </c>
      <c r="C23" s="12" t="n"/>
    </row>
    <row r="24">
      <c r="B24" s="33" t="inlineStr">
        <is>
          <t xml:space="preserve">                         (подпись, инициалы, фамилия)</t>
        </is>
      </c>
      <c r="C24" s="12" t="n"/>
    </row>
    <row r="25">
      <c r="B25" s="4" t="n"/>
      <c r="C25" s="12" t="n"/>
    </row>
    <row r="26">
      <c r="B26" s="4" t="inlineStr">
        <is>
          <t>Проверил ______________________        А.В. Костянецкая</t>
        </is>
      </c>
      <c r="C26" s="12" t="n"/>
    </row>
    <row r="27">
      <c r="B27" s="33" t="inlineStr">
        <is>
          <t xml:space="preserve">                        (подпись, инициалы, фамилия)</t>
        </is>
      </c>
      <c r="C27" s="12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scale="71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29"/>
  <sheetViews>
    <sheetView view="pageBreakPreview" topLeftCell="A14" zoomScale="60" zoomScaleNormal="100" workbookViewId="0">
      <selection activeCell="A1" sqref="A1"/>
    </sheetView>
  </sheetViews>
  <sheetFormatPr baseColWidth="8" defaultColWidth="9.140625" defaultRowHeight="15"/>
  <cols>
    <col width="44.85546875" customWidth="1" min="2" max="2"/>
    <col width="13" customWidth="1" min="3" max="3"/>
    <col width="22.85546875" customWidth="1" min="4" max="4"/>
    <col width="21.5703125" customWidth="1" min="5" max="5"/>
    <col width="53.7109375" bestFit="1" customWidth="1" min="6" max="6"/>
  </cols>
  <sheetData>
    <row r="2" ht="17.25" customHeight="1">
      <c r="A2" s="228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186" t="inlineStr">
        <is>
          <t>Составлен в уровне цен на 01.01.2023 г.</t>
        </is>
      </c>
      <c r="B4" s="187" t="n"/>
      <c r="C4" s="187" t="n"/>
      <c r="D4" s="187" t="n"/>
      <c r="E4" s="187" t="n"/>
      <c r="F4" s="187" t="n"/>
      <c r="G4" s="187" t="n"/>
    </row>
    <row r="5" ht="15.75" customHeight="1">
      <c r="A5" s="188" t="inlineStr">
        <is>
          <t>№ пп.</t>
        </is>
      </c>
      <c r="B5" s="188" t="inlineStr">
        <is>
          <t>Наименование элемента</t>
        </is>
      </c>
      <c r="C5" s="188" t="inlineStr">
        <is>
          <t>Обозначение</t>
        </is>
      </c>
      <c r="D5" s="188" t="inlineStr">
        <is>
          <t>Формула</t>
        </is>
      </c>
      <c r="E5" s="188" t="inlineStr">
        <is>
          <t>Величина элемента</t>
        </is>
      </c>
      <c r="F5" s="188" t="inlineStr">
        <is>
          <t>Наименования обосновывающих документов</t>
        </is>
      </c>
      <c r="G5" s="187" t="n"/>
    </row>
    <row r="6" ht="15.75" customHeight="1">
      <c r="A6" s="188" t="n">
        <v>1</v>
      </c>
      <c r="B6" s="188" t="n">
        <v>2</v>
      </c>
      <c r="C6" s="188" t="n">
        <v>3</v>
      </c>
      <c r="D6" s="188" t="n">
        <v>4</v>
      </c>
      <c r="E6" s="188" t="n">
        <v>5</v>
      </c>
      <c r="F6" s="188" t="n">
        <v>6</v>
      </c>
      <c r="G6" s="187" t="n"/>
    </row>
    <row r="7" ht="110.25" customHeight="1">
      <c r="A7" s="189" t="inlineStr">
        <is>
          <t>1.1</t>
        </is>
      </c>
      <c r="B7" s="19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29" t="inlineStr">
        <is>
          <t>С1ср</t>
        </is>
      </c>
      <c r="D7" s="229" t="inlineStr">
        <is>
          <t>-</t>
        </is>
      </c>
      <c r="E7" s="61" t="n">
        <v>47872.94</v>
      </c>
      <c r="F7" s="19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87" t="n"/>
    </row>
    <row r="8" ht="31.5" customHeight="1">
      <c r="A8" s="189" t="inlineStr">
        <is>
          <t>1.2</t>
        </is>
      </c>
      <c r="B8" s="190" t="inlineStr">
        <is>
          <t>Среднегодовое нормативное число часов работы одного рабочего в месяц, часы (ч.)</t>
        </is>
      </c>
      <c r="C8" s="229" t="inlineStr">
        <is>
          <t>tср</t>
        </is>
      </c>
      <c r="D8" s="229" t="inlineStr">
        <is>
          <t>1973ч/12мес.</t>
        </is>
      </c>
      <c r="E8" s="191">
        <f>1973/12</f>
        <v/>
      </c>
      <c r="F8" s="190" t="inlineStr">
        <is>
          <t>Производственный календарь 2023 год
(40-часов.неделя)</t>
        </is>
      </c>
      <c r="G8" s="192" t="n"/>
    </row>
    <row r="9" ht="15.75" customHeight="1">
      <c r="A9" s="189" t="inlineStr">
        <is>
          <t>1.3</t>
        </is>
      </c>
      <c r="B9" s="190" t="inlineStr">
        <is>
          <t>Коэффициент увеличения</t>
        </is>
      </c>
      <c r="C9" s="229" t="inlineStr">
        <is>
          <t>Кув</t>
        </is>
      </c>
      <c r="D9" s="229" t="inlineStr">
        <is>
          <t>-</t>
        </is>
      </c>
      <c r="E9" s="191" t="n">
        <v>1</v>
      </c>
      <c r="F9" s="190" t="n"/>
      <c r="G9" s="192" t="n"/>
    </row>
    <row r="10" ht="15.75" customHeight="1">
      <c r="A10" s="189" t="inlineStr">
        <is>
          <t>1.4</t>
        </is>
      </c>
      <c r="B10" s="190" t="inlineStr">
        <is>
          <t>Средний разряд работ</t>
        </is>
      </c>
      <c r="C10" s="229" t="n"/>
      <c r="D10" s="229" t="n"/>
      <c r="E10" s="327" t="n">
        <v>3.9</v>
      </c>
      <c r="F10" s="190" t="inlineStr">
        <is>
          <t>РТМ</t>
        </is>
      </c>
      <c r="G10" s="192" t="n"/>
    </row>
    <row r="11" ht="78.75" customHeight="1">
      <c r="A11" s="189" t="inlineStr">
        <is>
          <t>1.5</t>
        </is>
      </c>
      <c r="B11" s="190" t="inlineStr">
        <is>
          <t>Тарифный коэффициент среднего разряда работ</t>
        </is>
      </c>
      <c r="C11" s="229" t="inlineStr">
        <is>
          <t>КТ</t>
        </is>
      </c>
      <c r="D11" s="229" t="inlineStr">
        <is>
          <t>-</t>
        </is>
      </c>
      <c r="E11" s="328" t="n">
        <v>1.324</v>
      </c>
      <c r="F11" s="19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87" t="n"/>
    </row>
    <row r="12" ht="78.75" customHeight="1">
      <c r="A12" s="189" t="inlineStr">
        <is>
          <t>1.6</t>
        </is>
      </c>
      <c r="B12" s="119" t="inlineStr">
        <is>
          <t>Коэффициент инфляции, определяемый поквартально</t>
        </is>
      </c>
      <c r="C12" s="229" t="inlineStr">
        <is>
          <t>Кинф</t>
        </is>
      </c>
      <c r="D12" s="229" t="inlineStr">
        <is>
          <t>-</t>
        </is>
      </c>
      <c r="E12" s="329" t="n">
        <v>1.139</v>
      </c>
      <c r="F12" s="19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92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>
      <c r="A13" s="197" t="inlineStr">
        <is>
          <t>1.7</t>
        </is>
      </c>
      <c r="B13" s="198" t="inlineStr">
        <is>
          <t>Размер средств на оплату труда рабочих-строителей в текущем уровне цен (ФОТр.тек.), руб/чел.-ч</t>
        </is>
      </c>
      <c r="C13" s="230" t="inlineStr">
        <is>
          <t>ФОТр.тек.</t>
        </is>
      </c>
      <c r="D13" s="230" t="inlineStr">
        <is>
          <t>(С1ср/tср*КТ*Т*Кув)*Кинф</t>
        </is>
      </c>
      <c r="E13" s="200">
        <f>((E7*E9/E8)*E11)*E12</f>
        <v/>
      </c>
      <c r="F13" s="201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87" t="n"/>
    </row>
    <row r="14" ht="15.75" customHeight="1">
      <c r="A14" s="202" t="n"/>
      <c r="B14" s="203" t="inlineStr">
        <is>
          <t>Инженер I категории</t>
        </is>
      </c>
      <c r="C14" s="203" t="n"/>
      <c r="D14" s="203" t="n"/>
      <c r="E14" s="203" t="n"/>
      <c r="F14" s="204" t="n"/>
    </row>
    <row r="15" ht="110.25" customHeight="1">
      <c r="A15" s="189" t="inlineStr">
        <is>
          <t>1.1</t>
        </is>
      </c>
      <c r="B15" s="19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15" s="229" t="inlineStr">
        <is>
          <t>С1ср</t>
        </is>
      </c>
      <c r="D15" s="229" t="inlineStr">
        <is>
          <t>-</t>
        </is>
      </c>
      <c r="E15" s="61" t="n">
        <v>47872.94</v>
      </c>
      <c r="F15" s="19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15" s="187" t="n"/>
    </row>
    <row r="16" ht="31.5" customHeight="1">
      <c r="A16" s="189" t="inlineStr">
        <is>
          <t>1.2</t>
        </is>
      </c>
      <c r="B16" s="190" t="inlineStr">
        <is>
          <t>Среднегодовое нормативное число часов работы одного рабочего в месяц, часы (ч.)</t>
        </is>
      </c>
      <c r="C16" s="229" t="inlineStr">
        <is>
          <t>tср</t>
        </is>
      </c>
      <c r="D16" s="229" t="inlineStr">
        <is>
          <t>1973ч/12мес.</t>
        </is>
      </c>
      <c r="E16" s="191">
        <f>1973/12</f>
        <v/>
      </c>
      <c r="F16" s="190" t="inlineStr">
        <is>
          <t>Производственный календарь 2023 год
(40-часов.неделя)</t>
        </is>
      </c>
      <c r="G16" s="192" t="n"/>
    </row>
    <row r="17" ht="15.75" customHeight="1">
      <c r="A17" s="189" t="inlineStr">
        <is>
          <t>1.3</t>
        </is>
      </c>
      <c r="B17" s="190" t="inlineStr">
        <is>
          <t>Коэффициент увеличения</t>
        </is>
      </c>
      <c r="C17" s="229" t="inlineStr">
        <is>
          <t>Кув</t>
        </is>
      </c>
      <c r="D17" s="229" t="inlineStr">
        <is>
          <t>-</t>
        </is>
      </c>
      <c r="E17" s="191" t="n">
        <v>1</v>
      </c>
      <c r="F17" s="190" t="n"/>
      <c r="G17" s="192" t="n"/>
    </row>
    <row r="18" ht="15.75" customHeight="1">
      <c r="A18" s="189" t="inlineStr">
        <is>
          <t>1.4</t>
        </is>
      </c>
      <c r="B18" s="190" t="inlineStr">
        <is>
          <t>Средний разряд работ</t>
        </is>
      </c>
      <c r="C18" s="229" t="n"/>
      <c r="D18" s="229" t="n"/>
      <c r="E18" s="327" t="inlineStr">
        <is>
          <t>Инженер I категории</t>
        </is>
      </c>
      <c r="F18" s="190" t="inlineStr">
        <is>
          <t>РТМ</t>
        </is>
      </c>
      <c r="G18" s="192" t="n"/>
    </row>
    <row r="19" ht="78.75" customHeight="1">
      <c r="A19" s="197" t="inlineStr">
        <is>
          <t>1.5</t>
        </is>
      </c>
      <c r="B19" s="201" t="inlineStr">
        <is>
          <t>Тарифный коэффициент среднего разряда работ</t>
        </is>
      </c>
      <c r="C19" s="230" t="inlineStr">
        <is>
          <t>КТ</t>
        </is>
      </c>
      <c r="D19" s="230" t="inlineStr">
        <is>
          <t>-</t>
        </is>
      </c>
      <c r="E19" s="330" t="n">
        <v>2.15</v>
      </c>
      <c r="F19" s="201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9" s="187" t="n"/>
    </row>
    <row r="20" ht="78.75" customHeight="1">
      <c r="A20" s="189" t="inlineStr">
        <is>
          <t>1.6</t>
        </is>
      </c>
      <c r="B20" s="119" t="inlineStr">
        <is>
          <t>Коэффициент инфляции, определяемый поквартально</t>
        </is>
      </c>
      <c r="C20" s="229" t="inlineStr">
        <is>
          <t>Кинф</t>
        </is>
      </c>
      <c r="D20" s="229" t="inlineStr">
        <is>
          <t>-</t>
        </is>
      </c>
      <c r="E20" s="329" t="n">
        <v>1.139</v>
      </c>
      <c r="F20" s="19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20" s="192" t="inlineStr">
        <is>
          <t>https://economy.gov.ru/material/directions/makroec/prognozy_socialno_ekonomicheskogo_razvitiya/prognoz_socialno_ekonomicheskogo_razvitiya_rf_na_period_do_2024_goda_.html</t>
        </is>
      </c>
    </row>
    <row r="21" ht="63" customHeight="1">
      <c r="A21" s="189" t="inlineStr">
        <is>
          <t>1.7</t>
        </is>
      </c>
      <c r="B21" s="206" t="inlineStr">
        <is>
          <t>Размер средств на оплату труда рабочих-строителей в текущем уровне цен (ФОТр.тек.), руб/чел.-ч</t>
        </is>
      </c>
      <c r="C21" s="229" t="inlineStr">
        <is>
          <t>ФОТр.тек.</t>
        </is>
      </c>
      <c r="D21" s="229" t="inlineStr">
        <is>
          <t>(С1ср/tср*КТ*Т*Кув)*Кинф</t>
        </is>
      </c>
      <c r="E21" s="207">
        <f>((E15*E17/E16)*E19)*E20</f>
        <v/>
      </c>
      <c r="F21" s="19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21" s="187" t="n"/>
    </row>
    <row r="22" ht="15.75" customHeight="1">
      <c r="A22" s="202" t="n"/>
      <c r="B22" s="203" t="inlineStr">
        <is>
          <t>Инженер II категории</t>
        </is>
      </c>
      <c r="C22" s="203" t="n"/>
      <c r="D22" s="203" t="n"/>
      <c r="E22" s="203" t="n"/>
      <c r="F22" s="204" t="n"/>
    </row>
    <row r="23" ht="110.25" customHeight="1">
      <c r="A23" s="189" t="inlineStr">
        <is>
          <t>1.1</t>
        </is>
      </c>
      <c r="B23" s="19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23" s="229" t="inlineStr">
        <is>
          <t>С1ср</t>
        </is>
      </c>
      <c r="D23" s="229" t="inlineStr">
        <is>
          <t>-</t>
        </is>
      </c>
      <c r="E23" s="61" t="n">
        <v>47872.94</v>
      </c>
      <c r="F23" s="19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23" s="187" t="n"/>
    </row>
    <row r="24" ht="31.5" customHeight="1">
      <c r="A24" s="189" t="inlineStr">
        <is>
          <t>1.2</t>
        </is>
      </c>
      <c r="B24" s="190" t="inlineStr">
        <is>
          <t>Среднегодовое нормативное число часов работы одного рабочего в месяц, часы (ч.)</t>
        </is>
      </c>
      <c r="C24" s="229" t="inlineStr">
        <is>
          <t>tср</t>
        </is>
      </c>
      <c r="D24" s="229" t="inlineStr">
        <is>
          <t>1973ч/12мес.</t>
        </is>
      </c>
      <c r="E24" s="191">
        <f>1973/12</f>
        <v/>
      </c>
      <c r="F24" s="190" t="inlineStr">
        <is>
          <t>Производственный календарь 2023 год
(40-часов.неделя)</t>
        </is>
      </c>
      <c r="G24" s="192" t="n"/>
    </row>
    <row r="25" ht="15.75" customHeight="1">
      <c r="A25" s="189" t="inlineStr">
        <is>
          <t>1.3</t>
        </is>
      </c>
      <c r="B25" s="190" t="inlineStr">
        <is>
          <t>Коэффициент увеличения</t>
        </is>
      </c>
      <c r="C25" s="229" t="inlineStr">
        <is>
          <t>Кув</t>
        </is>
      </c>
      <c r="D25" s="229" t="inlineStr">
        <is>
          <t>-</t>
        </is>
      </c>
      <c r="E25" s="191" t="n">
        <v>1</v>
      </c>
      <c r="F25" s="190" t="n"/>
      <c r="G25" s="192" t="n"/>
    </row>
    <row r="26" ht="15.75" customHeight="1">
      <c r="A26" s="189" t="inlineStr">
        <is>
          <t>1.4</t>
        </is>
      </c>
      <c r="B26" s="190" t="inlineStr">
        <is>
          <t>Средний разряд работ</t>
        </is>
      </c>
      <c r="C26" s="229" t="n"/>
      <c r="D26" s="229" t="n"/>
      <c r="E26" s="327" t="inlineStr">
        <is>
          <t>Инженер II категории</t>
        </is>
      </c>
      <c r="F26" s="190" t="inlineStr">
        <is>
          <t>РТМ</t>
        </is>
      </c>
      <c r="G26" s="192" t="n"/>
    </row>
    <row r="27" ht="78.75" customHeight="1">
      <c r="A27" s="197" t="inlineStr">
        <is>
          <t>1.5</t>
        </is>
      </c>
      <c r="B27" s="201" t="inlineStr">
        <is>
          <t>Тарифный коэффициент среднего разряда работ</t>
        </is>
      </c>
      <c r="C27" s="230" t="inlineStr">
        <is>
          <t>КТ</t>
        </is>
      </c>
      <c r="D27" s="230" t="inlineStr">
        <is>
          <t>-</t>
        </is>
      </c>
      <c r="E27" s="330" t="n">
        <v>1.96</v>
      </c>
      <c r="F27" s="201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27" s="187" t="n"/>
    </row>
    <row r="28" ht="78.75" customHeight="1">
      <c r="A28" s="189" t="inlineStr">
        <is>
          <t>1.6</t>
        </is>
      </c>
      <c r="B28" s="119" t="inlineStr">
        <is>
          <t>Коэффициент инфляции, определяемый поквартально</t>
        </is>
      </c>
      <c r="C28" s="229" t="inlineStr">
        <is>
          <t>Кинф</t>
        </is>
      </c>
      <c r="D28" s="229" t="inlineStr">
        <is>
          <t>-</t>
        </is>
      </c>
      <c r="E28" s="329" t="n">
        <v>1.139</v>
      </c>
      <c r="F28" s="19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28" s="192" t="inlineStr">
        <is>
          <t>https://economy.gov.ru/material/directions/makroec/prognozy_socialno_ekonomicheskogo_razvitiya/prognoz_socialno_ekonomicheskogo_razvitiya_rf_na_period_do_2024_goda_.html</t>
        </is>
      </c>
    </row>
    <row r="29" ht="63" customHeight="1">
      <c r="A29" s="189" t="inlineStr">
        <is>
          <t>1.7</t>
        </is>
      </c>
      <c r="B29" s="206" t="inlineStr">
        <is>
          <t>Размер средств на оплату труда рабочих-строителей в текущем уровне цен (ФОТр.тек.), руб/чел.-ч</t>
        </is>
      </c>
      <c r="C29" s="229" t="inlineStr">
        <is>
          <t>ФОТр.тек.</t>
        </is>
      </c>
      <c r="D29" s="229" t="inlineStr">
        <is>
          <t>(С1ср/tср*КТ*Т*Кув)*Кинф</t>
        </is>
      </c>
      <c r="E29" s="207">
        <f>((E23*E25/E24)*E27)*E28</f>
        <v/>
      </c>
      <c r="F29" s="19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29" s="187" t="n"/>
    </row>
  </sheetData>
  <mergeCells count="1">
    <mergeCell ref="A2:F2"/>
  </mergeCells>
  <hyperlinks>
    <hyperlink xmlns:r="http://schemas.openxmlformats.org/officeDocument/2006/relationships" ref="G12" r:id="rId1"/>
    <hyperlink xmlns:r="http://schemas.openxmlformats.org/officeDocument/2006/relationships" ref="G20" r:id="rId2"/>
    <hyperlink xmlns:r="http://schemas.openxmlformats.org/officeDocument/2006/relationships" ref="G28" r:id="rId3"/>
  </hyperlinks>
  <pageMargins left="0.7" right="0.7" top="0.75" bottom="0.75" header="0.3" footer="0.3"/>
  <pageSetup orientation="portrait" scale="55" fitToHeight="0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2025-01-24T11:52:20Z</dcterms:modified>
  <cp:lastModifiedBy>112</cp:lastModifiedBy>
  <cp:lastPrinted>2023-12-01T15:00:01Z</cp:lastPrinted>
</cp:coreProperties>
</file>