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891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'Прил.3'!$A$1:$H$74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8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Arial"/>
      <color rgb="FF0070C0"/>
      <sz val="11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8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1" pivotButton="0" quotePrefix="0" xfId="0"/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justify" vertical="center" wrapText="1"/>
    </xf>
    <xf numFmtId="168" fontId="6" fillId="0" borderId="0" pivotButton="0" quotePrefix="0" xfId="0"/>
    <xf numFmtId="0" fontId="13" fillId="0" borderId="1" applyAlignment="1" pivotButton="0" quotePrefix="0" xfId="0">
      <alignment horizontal="center" vertical="center" wrapText="1"/>
    </xf>
    <xf numFmtId="4" fontId="13" fillId="0" borderId="1" applyAlignment="1" pivotButton="0" quotePrefix="0" xfId="0">
      <alignment horizontal="right" vertical="center" wrapText="1"/>
    </xf>
    <xf numFmtId="0" fontId="14" fillId="0" borderId="0" pivotButton="0" quotePrefix="0" xfId="0"/>
    <xf numFmtId="0" fontId="13" fillId="0" borderId="3" applyAlignment="1" pivotButton="0" quotePrefix="0" xfId="0">
      <alignment horizontal="center" vertical="center" wrapText="1"/>
    </xf>
    <xf numFmtId="4" fontId="13" fillId="0" borderId="3" applyAlignment="1" pivotButton="0" quotePrefix="0" xfId="0">
      <alignment horizontal="right" vertical="center" wrapText="1"/>
    </xf>
    <xf numFmtId="49" fontId="2" fillId="0" borderId="2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4" fontId="2" fillId="0" borderId="2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1" pivotButton="0" quotePrefix="0" xfId="0"/>
    <xf numFmtId="4" fontId="2" fillId="0" borderId="0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vertical="top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left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4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wrapText="1"/>
    </xf>
    <xf numFmtId="0" fontId="6" fillId="0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16" fontId="6" fillId="0" borderId="1" applyAlignment="1" pivotButton="0" quotePrefix="1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4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vertical="center" wrapText="1"/>
    </xf>
    <xf numFmtId="4" fontId="6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3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center" vertical="center" wrapText="1"/>
    </xf>
    <xf numFmtId="164" fontId="2" fillId="0" borderId="3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right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6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12" pivotButton="0" quotePrefix="0" xfId="0"/>
    <xf numFmtId="0" fontId="0" fillId="0" borderId="2" pivotButton="0" quotePrefix="0" xfId="0"/>
    <xf numFmtId="168" fontId="6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166" fontId="12" fillId="0" borderId="0" pivotButton="0" quotePrefix="0" xfId="0"/>
    <xf numFmtId="0" fontId="3" fillId="0" borderId="12" applyAlignment="1" pivotButton="0" quotePrefix="0" xfId="0">
      <alignment horizontal="left" vertical="center" wrapText="1"/>
    </xf>
    <xf numFmtId="0" fontId="0" fillId="0" borderId="7" pivotButton="0" quotePrefix="0" xfId="0"/>
    <xf numFmtId="164" fontId="2" fillId="0" borderId="3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K34"/>
  <sheetViews>
    <sheetView view="pageBreakPreview" topLeftCell="A8" zoomScale="60" zoomScaleNormal="85" workbookViewId="0">
      <selection activeCell="C28" sqref="C28"/>
    </sheetView>
  </sheetViews>
  <sheetFormatPr baseColWidth="8" defaultRowHeight="15.75"/>
  <cols>
    <col width="9.140625" customWidth="1" style="132" min="1" max="2"/>
    <col width="36.85546875" customWidth="1" style="132" min="3" max="3"/>
    <col width="36.5703125" customWidth="1" style="132" min="4" max="4"/>
    <col hidden="1" width="36.5703125" customWidth="1" style="132" min="5" max="6"/>
    <col width="14.28515625" customWidth="1" style="141" min="7" max="7"/>
    <col width="12.140625" customWidth="1" style="141" min="8" max="8"/>
    <col width="12.28515625" customWidth="1" style="141" min="9" max="9"/>
    <col width="15" customWidth="1" style="141" min="10" max="10"/>
    <col width="9.140625" customWidth="1" style="141" min="11" max="11"/>
  </cols>
  <sheetData>
    <row r="1">
      <c r="G1" s="132" t="n"/>
      <c r="H1" s="132" t="n"/>
      <c r="I1" s="132" t="n"/>
      <c r="J1" s="132" t="n"/>
      <c r="K1" s="132" t="n"/>
    </row>
    <row r="2">
      <c r="G2" s="132" t="n"/>
      <c r="H2" s="132" t="n"/>
      <c r="I2" s="132" t="n"/>
      <c r="J2" s="132" t="n"/>
      <c r="K2" s="132" t="n"/>
    </row>
    <row r="3">
      <c r="B3" s="162" t="inlineStr">
        <is>
          <t>Приложение № 1</t>
        </is>
      </c>
      <c r="G3" s="132" t="n"/>
      <c r="H3" s="132" t="n"/>
      <c r="I3" s="132" t="n"/>
      <c r="J3" s="132" t="n"/>
      <c r="K3" s="132" t="n"/>
    </row>
    <row r="4">
      <c r="B4" s="163" t="inlineStr">
        <is>
          <t>Сравнительная таблица отбора объекта-представителя</t>
        </is>
      </c>
      <c r="G4" s="132" t="n"/>
      <c r="H4" s="132" t="n"/>
      <c r="I4" s="132" t="n"/>
      <c r="J4" s="132" t="n"/>
      <c r="K4" s="132" t="n"/>
    </row>
    <row r="5">
      <c r="B5" s="57" t="n"/>
      <c r="C5" s="57" t="n"/>
      <c r="D5" s="57" t="n"/>
      <c r="E5" s="57" t="n"/>
      <c r="F5" s="57" t="n"/>
      <c r="G5" s="132" t="n"/>
      <c r="H5" s="132" t="n"/>
      <c r="I5" s="132" t="n"/>
      <c r="J5" s="132" t="n"/>
      <c r="K5" s="132" t="n"/>
    </row>
    <row r="6">
      <c r="B6" s="57" t="n"/>
      <c r="C6" s="57" t="n"/>
      <c r="D6" s="57" t="n"/>
      <c r="E6" s="57" t="n"/>
      <c r="F6" s="57" t="n"/>
      <c r="G6" s="132" t="n"/>
      <c r="H6" s="132" t="n"/>
      <c r="I6" s="132" t="n"/>
      <c r="J6" s="132" t="n"/>
      <c r="K6" s="132" t="n"/>
    </row>
    <row r="7" ht="59.25" customHeight="1" s="141">
      <c r="B7" s="161">
        <f>CONCATENATE(TEXT('Прил.5 Расчет СМР и ОБ'!A6,0)," - ",TEXT('Прил.5 Расчет СМР и ОБ'!D6,0))</f>
        <v/>
      </c>
      <c r="G7" s="58" t="n"/>
      <c r="H7" s="132" t="n"/>
      <c r="I7" s="132" t="n"/>
      <c r="J7" s="132" t="n"/>
      <c r="K7" s="132" t="n"/>
    </row>
    <row r="8" ht="15.75" customHeight="1" s="141">
      <c r="B8" s="56" t="inlineStr">
        <is>
          <t xml:space="preserve">Сопоставимый уровень цен: </t>
        </is>
      </c>
      <c r="C8" s="56" t="n"/>
      <c r="D8" s="131">
        <f>D22</f>
        <v/>
      </c>
      <c r="E8" s="56" t="n"/>
      <c r="F8" s="56" t="n"/>
      <c r="G8" s="132" t="n"/>
      <c r="H8" s="132" t="n"/>
      <c r="I8" s="132" t="n"/>
      <c r="J8" s="132" t="n"/>
      <c r="K8" s="132" t="n"/>
    </row>
    <row r="9" ht="15.75" customHeight="1" s="141">
      <c r="B9" s="161" t="inlineStr">
        <is>
          <t>Единица измерения  — 1 ед</t>
        </is>
      </c>
      <c r="G9" s="58" t="n"/>
      <c r="H9" s="132" t="n"/>
      <c r="I9" s="132" t="n"/>
      <c r="J9" s="132" t="n"/>
      <c r="K9" s="132" t="n"/>
    </row>
    <row r="10">
      <c r="B10" s="161" t="n"/>
      <c r="G10" s="132" t="n"/>
      <c r="H10" s="132" t="n"/>
      <c r="I10" s="132" t="n"/>
      <c r="J10" s="132" t="n"/>
      <c r="K10" s="132" t="n"/>
    </row>
    <row r="11">
      <c r="B11" s="166" t="inlineStr">
        <is>
          <t>№ п/п</t>
        </is>
      </c>
      <c r="C11" s="166" t="inlineStr">
        <is>
          <t>Параметр</t>
        </is>
      </c>
      <c r="D11" s="166" t="inlineStr">
        <is>
          <t>Объект-представитель 1</t>
        </is>
      </c>
      <c r="E11" s="166" t="inlineStr">
        <is>
          <t>Объект-представитель 2</t>
        </is>
      </c>
      <c r="F11" s="166" t="inlineStr">
        <is>
          <t>Объект-представитель 3</t>
        </is>
      </c>
      <c r="G11" s="58" t="n"/>
      <c r="H11" s="132" t="n"/>
      <c r="I11" s="132" t="n"/>
      <c r="J11" s="132" t="n"/>
      <c r="K11" s="132" t="n"/>
    </row>
    <row r="12" ht="189" customHeight="1" s="141">
      <c r="B12" s="166" t="n">
        <v>1</v>
      </c>
      <c r="C12" s="138" t="inlineStr">
        <is>
          <t>Наименование объекта-представителя</t>
        </is>
      </c>
      <c r="D12" s="166" t="inlineStr">
        <is>
          <t>Строительство ПС 220 кВ Озёрная с двумя автотрансформаторами 125 МВА каждый и РУ 110 кВ, строительство ВЛ 220 кВ Чита – Озёрная I и II цепь ориентировочной протяженностью 230 км, реконструкция ПС 220 кВ Чита (расширение ОРУ 220 кВ на две линейные ячейки) (для ТП энергопринимающих устройств ООО «Озерное»)</t>
        </is>
      </c>
      <c r="E12" s="166" t="n"/>
      <c r="F12" s="166" t="n"/>
      <c r="G12" s="132" t="n"/>
      <c r="H12" s="132" t="n"/>
      <c r="I12" s="132" t="n"/>
      <c r="J12" s="132" t="n"/>
      <c r="K12" s="132" t="n"/>
    </row>
    <row r="13" ht="31.5" customHeight="1" s="141">
      <c r="B13" s="166" t="n">
        <v>2</v>
      </c>
      <c r="C13" s="138" t="inlineStr">
        <is>
          <t>Наименование субъекта Российской Федерации</t>
        </is>
      </c>
      <c r="D13" s="166" t="inlineStr">
        <is>
          <t>Республика Бурятия</t>
        </is>
      </c>
      <c r="E13" s="166" t="n"/>
      <c r="F13" s="166" t="n"/>
      <c r="G13" s="132" t="n"/>
      <c r="H13" s="132" t="n"/>
      <c r="I13" s="132" t="n"/>
      <c r="J13" s="132" t="n"/>
      <c r="K13" s="132" t="n"/>
    </row>
    <row r="14">
      <c r="B14" s="166" t="n">
        <v>3</v>
      </c>
      <c r="C14" s="138" t="inlineStr">
        <is>
          <t>Климатический район и подрайон</t>
        </is>
      </c>
      <c r="D14" s="166" t="inlineStr">
        <is>
          <t>IД</t>
        </is>
      </c>
      <c r="E14" s="166" t="n"/>
      <c r="F14" s="166" t="n"/>
      <c r="G14" s="132" t="n"/>
      <c r="H14" s="132" t="n"/>
      <c r="I14" s="132" t="n"/>
      <c r="J14" s="132" t="n"/>
      <c r="K14" s="132" t="n"/>
    </row>
    <row r="15">
      <c r="B15" s="166" t="n">
        <v>4</v>
      </c>
      <c r="C15" s="138" t="inlineStr">
        <is>
          <t>Мощность объекта</t>
        </is>
      </c>
      <c r="D15" s="166" t="n">
        <v>1</v>
      </c>
      <c r="E15" s="166" t="n">
        <v>4</v>
      </c>
      <c r="F15" s="166" t="n">
        <v>3</v>
      </c>
      <c r="G15" s="132" t="n"/>
      <c r="H15" s="132" t="n"/>
      <c r="I15" s="132" t="n"/>
      <c r="J15" s="132" t="n"/>
      <c r="K15" s="132" t="n"/>
    </row>
    <row r="16" ht="94.5" customHeight="1" s="141">
      <c r="B16" s="166" t="n">
        <v>5</v>
      </c>
      <c r="C16" s="2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26" t="inlineStr">
        <is>
          <t>Система АСУТП - 1 комплект</t>
        </is>
      </c>
      <c r="E16" s="166" t="n"/>
      <c r="F16" s="166" t="n"/>
      <c r="G16" s="132" t="n"/>
      <c r="H16" s="132" t="n"/>
      <c r="I16" s="132" t="n"/>
      <c r="J16" s="132" t="n"/>
      <c r="K16" s="132" t="n"/>
    </row>
    <row r="17" ht="78.75" customHeight="1" s="141">
      <c r="B17" s="166" t="n">
        <v>6</v>
      </c>
      <c r="C17" s="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8">
        <f>D18+D19+D20+D21</f>
        <v/>
      </c>
      <c r="E17" s="197" t="n"/>
      <c r="F17" s="197" t="n"/>
      <c r="G17" s="60" t="n"/>
      <c r="H17" s="132" t="n"/>
      <c r="I17" s="132" t="n"/>
      <c r="J17" s="132" t="n"/>
      <c r="K17" s="132" t="n"/>
    </row>
    <row r="18">
      <c r="B18" s="61" t="inlineStr">
        <is>
          <t>6.1</t>
        </is>
      </c>
      <c r="C18" s="138" t="inlineStr">
        <is>
          <t>строительно-монтажные работы</t>
        </is>
      </c>
      <c r="D18" s="128">
        <f>'Прил.2 Расч стоим'!F14+'Прил.2 Расч стоим'!G14</f>
        <v/>
      </c>
      <c r="E18" s="197" t="n"/>
      <c r="F18" s="197" t="n"/>
      <c r="G18" s="132" t="n"/>
      <c r="H18" s="132" t="n"/>
      <c r="I18" s="132" t="n"/>
      <c r="J18" s="132" t="n"/>
      <c r="K18" s="132" t="n"/>
    </row>
    <row r="19">
      <c r="B19" s="61" t="inlineStr">
        <is>
          <t>6.2</t>
        </is>
      </c>
      <c r="C19" s="138" t="inlineStr">
        <is>
          <t>оборудование и инвентарь</t>
        </is>
      </c>
      <c r="D19" s="128">
        <f>'Прил.2 Расч стоим'!H14</f>
        <v/>
      </c>
      <c r="E19" s="197" t="n"/>
      <c r="F19" s="197" t="n"/>
      <c r="G19" s="132" t="n"/>
      <c r="H19" s="132" t="n"/>
      <c r="I19" s="132" t="n"/>
      <c r="J19" s="132" t="n"/>
      <c r="K19" s="132" t="n"/>
    </row>
    <row r="20">
      <c r="B20" s="61" t="inlineStr">
        <is>
          <t>6.3</t>
        </is>
      </c>
      <c r="C20" s="138" t="inlineStr">
        <is>
          <t>пусконаладочные работы</t>
        </is>
      </c>
      <c r="D20" s="166" t="n">
        <v>0</v>
      </c>
      <c r="E20" s="197" t="n"/>
      <c r="F20" s="197" t="n"/>
      <c r="G20" s="132" t="n"/>
      <c r="H20" s="132" t="n"/>
      <c r="I20" s="132" t="n"/>
      <c r="J20" s="132" t="n"/>
      <c r="K20" s="132" t="n"/>
    </row>
    <row r="21" ht="31.5" customHeight="1" s="141">
      <c r="B21" s="61" t="inlineStr">
        <is>
          <t>6.4</t>
        </is>
      </c>
      <c r="C21" s="62" t="inlineStr">
        <is>
          <t>прочие и лимитированные затраты</t>
        </is>
      </c>
      <c r="D21" s="128">
        <f>D18*0.039+(D18*0.039+D18)*0.021</f>
        <v/>
      </c>
      <c r="E21" s="197" t="n"/>
      <c r="F21" s="197" t="n"/>
      <c r="G21" s="132" t="n"/>
      <c r="H21" s="132" t="n"/>
      <c r="I21" s="132" t="n"/>
      <c r="J21" s="132" t="n"/>
      <c r="K21" s="132" t="n"/>
    </row>
    <row r="22">
      <c r="B22" s="166" t="n">
        <v>7</v>
      </c>
      <c r="C22" s="62" t="inlineStr">
        <is>
          <t>Сопоставимый уровень цен</t>
        </is>
      </c>
      <c r="D22" s="130" t="inlineStr">
        <is>
          <t>4 кв. 2021 г.</t>
        </is>
      </c>
      <c r="E22" s="166" t="n"/>
      <c r="F22" s="166" t="n"/>
      <c r="G22" s="60" t="n"/>
      <c r="H22" s="132" t="n"/>
      <c r="I22" s="132" t="n"/>
      <c r="J22" s="132" t="n"/>
      <c r="K22" s="132" t="n"/>
    </row>
    <row r="23" ht="110.25" customHeight="1" s="141">
      <c r="B23" s="166" t="n">
        <v>8</v>
      </c>
      <c r="C23" s="8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28">
        <f>D17</f>
        <v/>
      </c>
      <c r="E23" s="197" t="n"/>
      <c r="F23" s="197" t="n"/>
      <c r="G23" s="132" t="n"/>
      <c r="H23" s="132" t="n"/>
      <c r="I23" s="132" t="n"/>
      <c r="J23" s="132" t="n"/>
      <c r="K23" s="132" t="n"/>
    </row>
    <row r="24" ht="47.25" customHeight="1" s="141">
      <c r="B24" s="166" t="n">
        <v>9</v>
      </c>
      <c r="C24" s="23" t="inlineStr">
        <is>
          <t>Приведенная сметная стоимость на единицу мощности, тыс. руб. (строка 8/строку 4)</t>
        </is>
      </c>
      <c r="D24" s="128">
        <f>D23</f>
        <v/>
      </c>
      <c r="E24" s="197" t="n"/>
      <c r="F24" s="197" t="n"/>
      <c r="G24" s="60" t="n"/>
      <c r="H24" s="132" t="n"/>
      <c r="I24" s="132" t="n"/>
      <c r="J24" s="132" t="n"/>
      <c r="K24" s="132" t="n"/>
    </row>
    <row r="25" hidden="1" ht="47.25" customHeight="1" s="141">
      <c r="B25" s="166" t="n">
        <v>10</v>
      </c>
      <c r="C25" s="138" t="inlineStr">
        <is>
          <t>Примечание</t>
        </is>
      </c>
      <c r="D25" s="138" t="n"/>
      <c r="E25" s="73" t="n"/>
      <c r="F25" s="138" t="inlineStr">
        <is>
          <t xml:space="preserve">Выбран объектом-представителем с учетом минимальной удельной стоимости </t>
        </is>
      </c>
      <c r="G25" s="132" t="n"/>
      <c r="H25" s="132" t="n"/>
      <c r="I25" s="132" t="n"/>
      <c r="J25" s="132" t="n"/>
      <c r="K25" s="132" t="n"/>
    </row>
    <row r="26">
      <c r="B26" s="195" t="n"/>
      <c r="C26" s="64" t="n"/>
      <c r="D26" s="64" t="n"/>
      <c r="E26" s="64" t="n"/>
      <c r="F26" s="64" t="n"/>
      <c r="G26" s="132" t="n"/>
      <c r="H26" s="132" t="n"/>
      <c r="I26" s="132" t="n"/>
      <c r="J26" s="132" t="n"/>
      <c r="K26" s="132" t="n"/>
    </row>
    <row r="27">
      <c r="B27" s="56" t="n"/>
      <c r="G27" s="132" t="n"/>
      <c r="H27" s="132" t="n"/>
      <c r="I27" s="132" t="n"/>
      <c r="J27" s="132" t="n"/>
      <c r="K27" s="132" t="n"/>
    </row>
    <row r="28">
      <c r="B28" s="132" t="inlineStr">
        <is>
          <t>Составил ______________________        Е.А. Князева</t>
        </is>
      </c>
      <c r="G28" s="132" t="n"/>
      <c r="H28" s="132" t="n"/>
      <c r="I28" s="132" t="n"/>
      <c r="J28" s="132" t="n"/>
      <c r="K28" s="132" t="n"/>
    </row>
    <row r="29" ht="22.5" customHeight="1" s="141">
      <c r="B29" s="74" t="inlineStr">
        <is>
          <t xml:space="preserve">                         (подпись, инициалы, фамилия)</t>
        </is>
      </c>
      <c r="G29" s="132" t="n"/>
      <c r="H29" s="132" t="n"/>
      <c r="I29" s="132" t="n"/>
      <c r="J29" s="132" t="n"/>
      <c r="K29" s="132" t="n"/>
    </row>
    <row r="30">
      <c r="G30" s="132" t="n"/>
      <c r="H30" s="132" t="n"/>
      <c r="I30" s="132" t="n"/>
      <c r="J30" s="132" t="n"/>
      <c r="K30" s="132" t="n"/>
    </row>
    <row r="31">
      <c r="B31" s="132" t="inlineStr">
        <is>
          <t>Проверил ______________________        А.В. Костянецкая</t>
        </is>
      </c>
      <c r="G31" s="132" t="n"/>
      <c r="H31" s="132" t="n"/>
      <c r="I31" s="132" t="n"/>
      <c r="J31" s="132" t="n"/>
      <c r="K31" s="132" t="n"/>
    </row>
    <row r="32" ht="22.5" customHeight="1" s="141">
      <c r="B32" s="74" t="inlineStr">
        <is>
          <t xml:space="preserve">                        (подпись, инициалы, фамилия)</t>
        </is>
      </c>
      <c r="G32" s="132" t="n"/>
      <c r="H32" s="132" t="n"/>
      <c r="I32" s="132" t="n"/>
      <c r="J32" s="132" t="n"/>
      <c r="K32" s="132" t="n"/>
    </row>
    <row r="33">
      <c r="G33" s="132" t="n"/>
      <c r="H33" s="132" t="n"/>
      <c r="I33" s="132" t="n"/>
      <c r="J33" s="132" t="n"/>
      <c r="K33" s="132" t="n"/>
    </row>
    <row r="34">
      <c r="G34" s="132" t="n"/>
      <c r="H34" s="132" t="n"/>
      <c r="I34" s="132" t="n"/>
      <c r="J34" s="132" t="n"/>
      <c r="K34" s="132" t="n"/>
    </row>
  </sheetData>
  <mergeCells count="4">
    <mergeCell ref="B4:F4"/>
    <mergeCell ref="B9:F9"/>
    <mergeCell ref="B7:F7"/>
    <mergeCell ref="B3:F3"/>
  </mergeCells>
  <pageMargins left="0.7" right="0.7" top="0.75" bottom="0.75" header="0.3" footer="0.3"/>
  <pageSetup orientation="portrait" paperSize="9" scale="74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M23"/>
  <sheetViews>
    <sheetView view="pageBreakPreview" zoomScale="60" workbookViewId="0">
      <selection activeCell="C19" sqref="C19"/>
    </sheetView>
  </sheetViews>
  <sheetFormatPr baseColWidth="8" defaultRowHeight="15"/>
  <cols>
    <col width="5.5703125" customWidth="1" style="141" min="1" max="1"/>
    <col width="9.140625" customWidth="1" style="141" min="2" max="2"/>
    <col width="35.28515625" customWidth="1" style="141" min="3" max="3"/>
    <col width="13.85546875" customWidth="1" style="141" min="4" max="4"/>
    <col width="24.85546875" customWidth="1" style="141" min="5" max="5"/>
    <col width="12.7109375" customWidth="1" style="141" min="6" max="6"/>
    <col width="14.85546875" customWidth="1" style="141" min="7" max="7"/>
    <col width="16.7109375" customWidth="1" style="141" min="8" max="8"/>
    <col width="13" customWidth="1" style="141" min="9" max="10"/>
    <col width="9.140625" customWidth="1" style="141" min="11" max="11"/>
  </cols>
  <sheetData>
    <row r="1" ht="15.75" customHeight="1" s="141">
      <c r="A1" s="132" t="n"/>
      <c r="B1" s="132" t="n"/>
      <c r="C1" s="132" t="n"/>
      <c r="D1" s="132" t="n"/>
      <c r="E1" s="132" t="n"/>
      <c r="F1" s="132" t="n"/>
      <c r="G1" s="132" t="n"/>
      <c r="H1" s="132" t="n"/>
      <c r="I1" s="132" t="n"/>
      <c r="J1" s="132" t="n"/>
    </row>
    <row r="2" ht="15.75" customHeight="1" s="141">
      <c r="A2" s="132" t="n"/>
      <c r="B2" s="132" t="n"/>
      <c r="C2" s="132" t="n"/>
      <c r="D2" s="132" t="n"/>
      <c r="E2" s="132" t="n"/>
      <c r="F2" s="132" t="n"/>
      <c r="G2" s="132" t="n"/>
      <c r="H2" s="132" t="n"/>
      <c r="I2" s="132" t="n"/>
      <c r="J2" s="132" t="n"/>
    </row>
    <row r="3" ht="15.75" customHeight="1" s="141">
      <c r="A3" s="132" t="n"/>
      <c r="B3" s="162" t="inlineStr">
        <is>
          <t>Приложение № 2</t>
        </is>
      </c>
    </row>
    <row r="4" ht="15.75" customHeight="1" s="141">
      <c r="A4" s="132" t="n"/>
      <c r="B4" s="163" t="inlineStr">
        <is>
          <t>Расчет стоимости основных видов работ для выбора объекта-представителя</t>
        </is>
      </c>
    </row>
    <row r="5" ht="15.75" customHeight="1" s="141">
      <c r="A5" s="132" t="n"/>
      <c r="B5" s="57" t="n"/>
      <c r="C5" s="57" t="n"/>
      <c r="D5" s="57" t="n"/>
      <c r="E5" s="57" t="n"/>
      <c r="F5" s="57" t="n"/>
      <c r="G5" s="57" t="n"/>
      <c r="H5" s="57" t="n"/>
      <c r="I5" s="57" t="n"/>
      <c r="J5" s="57" t="n"/>
    </row>
    <row r="6" ht="43.5" customHeight="1" s="141">
      <c r="A6" s="132" t="n"/>
      <c r="B6" s="165">
        <f>'Прил.1 Сравнит табл'!B7</f>
        <v/>
      </c>
    </row>
    <row r="7" ht="15.75" customHeight="1" s="141">
      <c r="A7" s="132" t="n"/>
      <c r="B7" s="161">
        <f>'Прил.1 Сравнит табл'!B9</f>
        <v/>
      </c>
    </row>
    <row r="8" ht="15.75" customHeight="1" s="141">
      <c r="A8" s="132" t="n"/>
      <c r="B8" s="161" t="n"/>
      <c r="C8" s="132" t="n"/>
      <c r="D8" s="132" t="n"/>
      <c r="E8" s="132" t="n"/>
      <c r="F8" s="132" t="n"/>
      <c r="G8" s="132" t="n"/>
      <c r="H8" s="132" t="n"/>
      <c r="I8" s="132" t="n"/>
      <c r="J8" s="132" t="n"/>
    </row>
    <row r="9" ht="15.75" customHeight="1" s="141">
      <c r="A9" s="132" t="n"/>
      <c r="B9" s="166" t="inlineStr">
        <is>
          <t>№ п/п</t>
        </is>
      </c>
      <c r="C9" s="16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66" t="inlineStr">
        <is>
          <t>Объект-представитель 1</t>
        </is>
      </c>
      <c r="E9" s="198" t="n"/>
      <c r="F9" s="198" t="n"/>
      <c r="G9" s="198" t="n"/>
      <c r="H9" s="198" t="n"/>
      <c r="I9" s="198" t="n"/>
      <c r="J9" s="199" t="n"/>
      <c r="K9" s="132" t="n"/>
      <c r="L9" s="132" t="n"/>
    </row>
    <row r="10" ht="15.75" customHeight="1" s="141">
      <c r="A10" s="132" t="n"/>
      <c r="B10" s="200" t="n"/>
      <c r="C10" s="200" t="n"/>
      <c r="D10" s="166" t="inlineStr">
        <is>
          <t>Номер сметы</t>
        </is>
      </c>
      <c r="E10" s="166" t="inlineStr">
        <is>
          <t>Наименование сметы</t>
        </is>
      </c>
      <c r="F10" s="166" t="inlineStr">
        <is>
          <t>Сметная стоимость в уровне цен 4 кв. 2021 г., тыс. руб.</t>
        </is>
      </c>
      <c r="G10" s="198" t="n"/>
      <c r="H10" s="198" t="n"/>
      <c r="I10" s="198" t="n"/>
      <c r="J10" s="199" t="n"/>
      <c r="K10" s="132" t="n"/>
      <c r="L10" s="132" t="n"/>
    </row>
    <row r="11" ht="31.5" customHeight="1" s="141">
      <c r="A11" s="132" t="n"/>
      <c r="B11" s="201" t="n"/>
      <c r="C11" s="201" t="n"/>
      <c r="D11" s="201" t="n"/>
      <c r="E11" s="201" t="n"/>
      <c r="F11" s="166" t="inlineStr">
        <is>
          <t>Строительные работы</t>
        </is>
      </c>
      <c r="G11" s="166" t="inlineStr">
        <is>
          <t>Монтажные работы</t>
        </is>
      </c>
      <c r="H11" s="166" t="inlineStr">
        <is>
          <t>Оборудование</t>
        </is>
      </c>
      <c r="I11" s="166" t="inlineStr">
        <is>
          <t>Прочее</t>
        </is>
      </c>
      <c r="J11" s="166" t="inlineStr">
        <is>
          <t>Всего</t>
        </is>
      </c>
      <c r="K11" s="132" t="n"/>
      <c r="L11" s="134" t="n"/>
    </row>
    <row r="12" ht="31.5" customHeight="1" s="141">
      <c r="A12" s="132" t="n"/>
      <c r="B12" s="135" t="n">
        <v>1</v>
      </c>
      <c r="C12" s="136" t="inlineStr">
        <is>
          <t>Система АСУТП - 1 комплект</t>
        </is>
      </c>
      <c r="D12" s="137" t="inlineStr">
        <is>
          <t>1.02-04-02 изм.3</t>
        </is>
      </c>
      <c r="E12" s="138" t="inlineStr">
        <is>
          <t>АСУ ТП.</t>
        </is>
      </c>
      <c r="F12" s="139" t="n"/>
      <c r="G12" s="139" t="n">
        <v>18634.9932036</v>
      </c>
      <c r="H12" s="139" t="n">
        <v>73372.54951339999</v>
      </c>
      <c r="I12" s="139" t="n"/>
      <c r="J12" s="140">
        <f>SUM(F12:I12)</f>
        <v/>
      </c>
      <c r="K12" s="132" t="n"/>
      <c r="L12" s="132" t="n"/>
    </row>
    <row r="13" ht="15" customHeight="1" s="141">
      <c r="A13" s="132" t="n"/>
      <c r="B13" s="164" t="inlineStr">
        <is>
          <t>Всего по объекту:</t>
        </is>
      </c>
      <c r="C13" s="198" t="n"/>
      <c r="D13" s="198" t="n"/>
      <c r="E13" s="199" t="n"/>
      <c r="F13" s="143">
        <f>SUM(F12:F12)</f>
        <v/>
      </c>
      <c r="G13" s="143">
        <f>SUM(G12:G12)</f>
        <v/>
      </c>
      <c r="H13" s="143">
        <f>SUM(H12:H12)</f>
        <v/>
      </c>
      <c r="I13" s="143" t="n"/>
      <c r="J13" s="143">
        <f>SUM(F13:I13)</f>
        <v/>
      </c>
      <c r="K13" s="144" t="n"/>
      <c r="L13" s="132" t="n"/>
    </row>
    <row r="14" ht="15.75" customHeight="1" s="141">
      <c r="A14" s="132" t="n"/>
      <c r="B14" s="164" t="inlineStr">
        <is>
          <t>Всего по объекту в сопоставимом уровне цен 4 кв. 2021 г. :</t>
        </is>
      </c>
      <c r="C14" s="198" t="n"/>
      <c r="D14" s="198" t="n"/>
      <c r="E14" s="199" t="n"/>
      <c r="F14" s="143">
        <f>F13</f>
        <v/>
      </c>
      <c r="G14" s="143">
        <f>G13</f>
        <v/>
      </c>
      <c r="H14" s="143">
        <f>H13</f>
        <v/>
      </c>
      <c r="I14" s="143">
        <f>'Прил.1 Сравнит табл'!D21</f>
        <v/>
      </c>
      <c r="J14" s="143">
        <f>SUM(F14:I14)</f>
        <v/>
      </c>
      <c r="K14" s="132" t="n"/>
      <c r="L14" s="132" t="n"/>
    </row>
    <row r="15" ht="15.75" customHeight="1" s="141">
      <c r="A15" s="132" t="n"/>
      <c r="B15" s="161" t="n"/>
      <c r="C15" s="132" t="n"/>
      <c r="D15" s="132" t="n"/>
      <c r="E15" s="132" t="n"/>
      <c r="F15" s="132" t="n"/>
      <c r="G15" s="132" t="n"/>
      <c r="H15" s="132" t="n"/>
      <c r="I15" s="132" t="n"/>
      <c r="J15" s="132" t="n"/>
      <c r="L15" s="132" t="n"/>
    </row>
    <row r="16" ht="15.75" customHeight="1" s="141">
      <c r="A16" s="132" t="n"/>
      <c r="B16" s="132" t="n"/>
      <c r="C16" s="132" t="n"/>
      <c r="D16" s="132" t="n"/>
      <c r="E16" s="132" t="n"/>
      <c r="F16" s="132" t="n"/>
      <c r="G16" s="132" t="n"/>
      <c r="H16" s="132" t="n"/>
      <c r="I16" s="132" t="n"/>
      <c r="J16" s="132" t="n"/>
    </row>
    <row r="17" ht="15.75" customHeight="1" s="141">
      <c r="A17" s="132" t="n"/>
      <c r="B17" s="132" t="n"/>
      <c r="C17" s="132" t="n"/>
      <c r="D17" s="132" t="n"/>
      <c r="E17" s="132" t="n"/>
      <c r="F17" s="132" t="n"/>
      <c r="G17" s="132" t="n"/>
      <c r="H17" s="132" t="n"/>
      <c r="I17" s="132" t="n"/>
      <c r="J17" s="132" t="n"/>
    </row>
    <row r="18" ht="15.75" customHeight="1" s="141">
      <c r="A18" s="132" t="n"/>
      <c r="B18" s="132" t="n"/>
      <c r="C18" s="132" t="n"/>
      <c r="D18" s="132" t="n"/>
      <c r="E18" s="132" t="n"/>
      <c r="F18" s="132" t="n"/>
      <c r="G18" s="132" t="n"/>
      <c r="H18" s="132" t="n"/>
      <c r="I18" s="132" t="n"/>
      <c r="J18" s="132" t="n"/>
    </row>
    <row r="19" ht="15.75" customHeight="1" s="141">
      <c r="A19" s="132" t="n"/>
      <c r="B19" s="132" t="inlineStr">
        <is>
          <t>Составил ______________________        Е.А. Князева</t>
        </is>
      </c>
      <c r="C19" s="132" t="n"/>
      <c r="D19" s="132" t="n"/>
      <c r="E19" s="132" t="n"/>
      <c r="F19" s="132" t="n"/>
      <c r="G19" s="132" t="n"/>
      <c r="H19" s="132" t="n"/>
      <c r="I19" s="132" t="n"/>
      <c r="J19" s="132" t="n"/>
    </row>
    <row r="20" ht="22.5" customHeight="1" s="141">
      <c r="A20" s="132" t="n"/>
      <c r="B20" s="74" t="inlineStr">
        <is>
          <t xml:space="preserve">                         (подпись, инициалы, фамилия)</t>
        </is>
      </c>
      <c r="C20" s="132" t="n"/>
      <c r="D20" s="132" t="n"/>
      <c r="E20" s="132" t="n"/>
      <c r="F20" s="132" t="n"/>
      <c r="G20" s="132" t="n"/>
      <c r="H20" s="132" t="n"/>
      <c r="I20" s="132" t="n"/>
      <c r="J20" s="132" t="n"/>
    </row>
    <row r="21" ht="15.75" customHeight="1" s="141">
      <c r="A21" s="132" t="n"/>
      <c r="B21" s="132" t="n"/>
      <c r="C21" s="132" t="n"/>
      <c r="D21" s="132" t="n"/>
      <c r="E21" s="132" t="n"/>
      <c r="F21" s="132" t="n"/>
      <c r="G21" s="132" t="n"/>
      <c r="H21" s="132" t="n"/>
      <c r="I21" s="132" t="n"/>
      <c r="J21" s="132" t="n"/>
    </row>
    <row r="22" ht="15.75" customHeight="1" s="141">
      <c r="A22" s="132" t="n"/>
      <c r="B22" s="132" t="inlineStr">
        <is>
          <t>Проверил ______________________        А.В. Костянецкая</t>
        </is>
      </c>
      <c r="C22" s="132" t="n"/>
      <c r="D22" s="132" t="n"/>
      <c r="E22" s="132" t="n"/>
      <c r="F22" s="132" t="n"/>
      <c r="G22" s="132" t="n"/>
      <c r="H22" s="132" t="n"/>
      <c r="I22" s="132" t="n"/>
      <c r="J22" s="132" t="n"/>
    </row>
    <row r="23" ht="22.5" customHeight="1" s="141">
      <c r="A23" s="132" t="n"/>
      <c r="B23" s="74" t="inlineStr">
        <is>
          <t xml:space="preserve">                        (подпись, инициалы, фамилия)</t>
        </is>
      </c>
      <c r="C23" s="132" t="n"/>
      <c r="D23" s="132" t="n"/>
      <c r="E23" s="132" t="n"/>
      <c r="F23" s="132" t="n"/>
      <c r="G23" s="132" t="n"/>
      <c r="H23" s="132" t="n"/>
      <c r="I23" s="132" t="n"/>
      <c r="J23" s="132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74"/>
  <sheetViews>
    <sheetView view="pageBreakPreview" topLeftCell="A38" zoomScale="55" zoomScaleSheetLayoutView="55" workbookViewId="0">
      <selection activeCell="C70" sqref="C70"/>
    </sheetView>
  </sheetViews>
  <sheetFormatPr baseColWidth="8" defaultRowHeight="15.75"/>
  <cols>
    <col width="9.140625" customWidth="1" style="132" min="1" max="1"/>
    <col width="12.5703125" customWidth="1" style="132" min="2" max="2"/>
    <col width="22.42578125" customWidth="1" style="132" min="3" max="3"/>
    <col width="49.7109375" customWidth="1" style="132" min="4" max="4"/>
    <col width="10.140625" customWidth="1" style="132" min="5" max="5"/>
    <col width="20.7109375" customWidth="1" style="132" min="6" max="6"/>
    <col width="16.140625" customWidth="1" style="132" min="7" max="7"/>
    <col width="16.7109375" customWidth="1" style="132" min="8" max="8"/>
    <col width="9.140625" customWidth="1" style="132" min="9" max="9"/>
    <col width="19.42578125" customWidth="1" style="132" min="10" max="10"/>
    <col width="13" customWidth="1" style="141" min="11" max="11"/>
    <col width="9.140625" customWidth="1" style="141" min="12" max="13"/>
  </cols>
  <sheetData>
    <row r="1">
      <c r="K1" s="132" t="n"/>
    </row>
    <row r="2">
      <c r="A2" s="162" t="inlineStr">
        <is>
          <t xml:space="preserve">Приложение № 3 </t>
        </is>
      </c>
      <c r="K2" s="132" t="n"/>
    </row>
    <row r="3" s="141">
      <c r="A3" s="162" t="n"/>
      <c r="B3" s="162" t="n"/>
      <c r="C3" s="162" t="n"/>
      <c r="D3" s="162" t="n"/>
      <c r="E3" s="162" t="n"/>
      <c r="F3" s="162" t="n"/>
      <c r="G3" s="162" t="n"/>
      <c r="H3" s="162" t="n"/>
      <c r="I3" s="132" t="n"/>
      <c r="J3" s="132" t="n"/>
      <c r="K3" s="132" t="n"/>
    </row>
    <row r="4">
      <c r="A4" s="163" t="inlineStr">
        <is>
          <t>Объектная ресурсная ведомость</t>
        </is>
      </c>
      <c r="K4" s="132" t="n"/>
    </row>
    <row r="5" ht="18.75" customHeight="1" s="141">
      <c r="A5" s="161" t="n"/>
      <c r="K5" s="132" t="n"/>
    </row>
    <row r="6" ht="36.75" customHeight="1" s="141">
      <c r="A6" s="165">
        <f>'Прил.1 Сравнит табл'!B7</f>
        <v/>
      </c>
      <c r="K6" s="132" t="n"/>
    </row>
    <row r="7" ht="36.75" customHeight="1" s="141">
      <c r="A7" s="165" t="n"/>
      <c r="B7" s="165" t="n"/>
      <c r="C7" s="165" t="n"/>
      <c r="D7" s="165" t="n"/>
      <c r="E7" s="165" t="n"/>
      <c r="F7" s="165" t="n"/>
      <c r="G7" s="165" t="n"/>
      <c r="H7" s="165" t="n"/>
      <c r="I7" s="132" t="n"/>
      <c r="J7" s="132" t="n"/>
      <c r="K7" s="132" t="n"/>
    </row>
    <row r="8">
      <c r="A8" s="65" t="n"/>
      <c r="B8" s="65" t="n"/>
      <c r="C8" s="65" t="n"/>
      <c r="D8" s="65" t="n"/>
      <c r="E8" s="65" t="n"/>
      <c r="F8" s="65" t="n"/>
      <c r="G8" s="65" t="n"/>
      <c r="H8" s="65" t="n"/>
      <c r="K8" s="132" t="n"/>
    </row>
    <row r="9" ht="33" customHeight="1" s="141">
      <c r="A9" s="166" t="inlineStr">
        <is>
          <t>п/п</t>
        </is>
      </c>
      <c r="B9" s="166" t="inlineStr">
        <is>
          <t>№ЛСР</t>
        </is>
      </c>
      <c r="C9" s="166" t="inlineStr">
        <is>
          <t>Код ресурса</t>
        </is>
      </c>
      <c r="D9" s="166" t="inlineStr">
        <is>
          <t>Наименование ресурса</t>
        </is>
      </c>
      <c r="E9" s="166" t="inlineStr">
        <is>
          <t>Ед. изм.</t>
        </is>
      </c>
      <c r="F9" s="166" t="inlineStr">
        <is>
          <t>Кол-во единиц по данным объекта-представителя</t>
        </is>
      </c>
      <c r="G9" s="166" t="inlineStr">
        <is>
          <t>Сметная стоимость в ценах на 01.01.2000 (руб.)</t>
        </is>
      </c>
      <c r="H9" s="199" t="n"/>
      <c r="K9" s="132" t="n"/>
    </row>
    <row r="10" ht="33" customHeight="1" s="141">
      <c r="A10" s="201" t="n"/>
      <c r="B10" s="201" t="n"/>
      <c r="C10" s="201" t="n"/>
      <c r="D10" s="201" t="n"/>
      <c r="E10" s="201" t="n"/>
      <c r="F10" s="201" t="n"/>
      <c r="G10" s="166" t="inlineStr">
        <is>
          <t>на ед.изм.</t>
        </is>
      </c>
      <c r="H10" s="166" t="inlineStr">
        <is>
          <t>общая</t>
        </is>
      </c>
      <c r="K10" s="132" t="n"/>
    </row>
    <row r="11">
      <c r="A11" s="136" t="n">
        <v>1</v>
      </c>
      <c r="B11" s="136" t="n"/>
      <c r="C11" s="136" t="n">
        <v>2</v>
      </c>
      <c r="D11" s="136" t="inlineStr">
        <is>
          <t>З</t>
        </is>
      </c>
      <c r="E11" s="136" t="n">
        <v>4</v>
      </c>
      <c r="F11" s="136" t="n">
        <v>5</v>
      </c>
      <c r="G11" s="136" t="n">
        <v>6</v>
      </c>
      <c r="H11" s="136" t="n">
        <v>7</v>
      </c>
      <c r="I11" s="202" t="n"/>
      <c r="K11" s="132" t="n"/>
    </row>
    <row r="12">
      <c r="A12" s="167" t="inlineStr">
        <is>
          <t>Затраты труда рабочих</t>
        </is>
      </c>
      <c r="B12" s="198" t="n"/>
      <c r="C12" s="198" t="n"/>
      <c r="D12" s="198" t="n"/>
      <c r="E12" s="199" t="n"/>
      <c r="F12" s="67" t="n">
        <v>4464.992</v>
      </c>
      <c r="G12" s="67" t="n"/>
      <c r="H12" s="67">
        <f>SUM(H13:H16)</f>
        <v/>
      </c>
      <c r="I12" s="68" t="n"/>
      <c r="J12" s="68" t="n"/>
      <c r="K12" s="68" t="n"/>
    </row>
    <row r="13">
      <c r="A13" s="168" t="n">
        <v>1</v>
      </c>
      <c r="B13" s="83" t="n"/>
      <c r="C13" s="101" t="inlineStr">
        <is>
          <t>1-3-6</t>
        </is>
      </c>
      <c r="D13" s="169" t="inlineStr">
        <is>
          <t>Затраты труда рабочих (ср 3,6)</t>
        </is>
      </c>
      <c r="E13" s="168" t="inlineStr">
        <is>
          <t>чел.-ч</t>
        </is>
      </c>
      <c r="F13" s="168" t="n">
        <v>2264.8</v>
      </c>
      <c r="G13" s="71" t="n">
        <v>9.18</v>
      </c>
      <c r="H13" s="71">
        <f>ROUND(F13*G13,2)</f>
        <v/>
      </c>
      <c r="K13" s="132" t="n"/>
    </row>
    <row r="14" ht="15" customHeight="1" s="141">
      <c r="A14" s="168" t="n">
        <v>2</v>
      </c>
      <c r="B14" s="83" t="n"/>
      <c r="C14" s="101" t="inlineStr">
        <is>
          <t>1-3-8</t>
        </is>
      </c>
      <c r="D14" s="169" t="inlineStr">
        <is>
          <t>Затраты труда рабочих (ср 3,8)</t>
        </is>
      </c>
      <c r="E14" s="168" t="inlineStr">
        <is>
          <t>чел.-ч</t>
        </is>
      </c>
      <c r="F14" s="168" t="n">
        <v>2003.05</v>
      </c>
      <c r="G14" s="71" t="n">
        <v>9.4</v>
      </c>
      <c r="H14" s="71">
        <f>ROUND(F14*G14,2)</f>
        <v/>
      </c>
      <c r="K14" s="132" t="n"/>
    </row>
    <row r="15">
      <c r="A15" s="168" t="n">
        <v>3</v>
      </c>
      <c r="B15" s="83" t="n"/>
      <c r="C15" s="101" t="inlineStr">
        <is>
          <t>1-3-3</t>
        </is>
      </c>
      <c r="D15" s="169" t="inlineStr">
        <is>
          <t>Затраты труда рабочих (ср 3,3)</t>
        </is>
      </c>
      <c r="E15" s="168" t="inlineStr">
        <is>
          <t>чел.-ч</t>
        </is>
      </c>
      <c r="F15" s="168" t="n">
        <v>108.15</v>
      </c>
      <c r="G15" s="71" t="n">
        <v>8.859999999999999</v>
      </c>
      <c r="H15" s="71">
        <f>ROUND(F15*G15,2)</f>
        <v/>
      </c>
      <c r="K15" s="132" t="n"/>
    </row>
    <row r="16">
      <c r="A16" s="168" t="n">
        <v>4</v>
      </c>
      <c r="B16" s="83" t="n"/>
      <c r="C16" s="101" t="inlineStr">
        <is>
          <t>1-4-1</t>
        </is>
      </c>
      <c r="D16" s="169" t="inlineStr">
        <is>
          <t>Затраты труда рабочих (ср 4,1)</t>
        </is>
      </c>
      <c r="E16" s="168" t="inlineStr">
        <is>
          <t>чел.-ч</t>
        </is>
      </c>
      <c r="F16" s="168" t="n">
        <v>88.992</v>
      </c>
      <c r="G16" s="71" t="n">
        <v>9.76</v>
      </c>
      <c r="H16" s="71">
        <f>ROUND(F16*G16,2)</f>
        <v/>
      </c>
      <c r="K16" s="132" t="n"/>
    </row>
    <row r="17">
      <c r="A17" s="167" t="inlineStr">
        <is>
          <t>Затраты труда машинистов</t>
        </is>
      </c>
      <c r="B17" s="198" t="n"/>
      <c r="C17" s="198" t="n"/>
      <c r="D17" s="198" t="n"/>
      <c r="E17" s="199" t="n"/>
      <c r="F17" s="167" t="n">
        <v>74.73999999999999</v>
      </c>
      <c r="G17" s="67" t="n"/>
      <c r="H17" s="67">
        <f>H18</f>
        <v/>
      </c>
      <c r="K17" s="132" t="n"/>
    </row>
    <row r="18">
      <c r="A18" s="168" t="n">
        <v>5</v>
      </c>
      <c r="B18" s="135" t="n"/>
      <c r="C18" s="78" t="n">
        <v>2</v>
      </c>
      <c r="D18" s="169" t="inlineStr">
        <is>
          <t>Затраты труда машинистов</t>
        </is>
      </c>
      <c r="E18" s="168" t="inlineStr">
        <is>
          <t>чел.-ч</t>
        </is>
      </c>
      <c r="F18" s="168" t="n">
        <v>74.73999999999999</v>
      </c>
      <c r="G18" s="71" t="n"/>
      <c r="H18" s="71" t="n">
        <v>939.9</v>
      </c>
      <c r="K18" s="132" t="n"/>
    </row>
    <row r="19">
      <c r="A19" s="167" t="inlineStr">
        <is>
          <t>Машины и механизмы</t>
        </is>
      </c>
      <c r="B19" s="198" t="n"/>
      <c r="C19" s="198" t="n"/>
      <c r="D19" s="198" t="n"/>
      <c r="E19" s="199" t="n"/>
      <c r="F19" s="167" t="n"/>
      <c r="G19" s="67" t="n"/>
      <c r="H19" s="67">
        <f>SUM(H20:H25)</f>
        <v/>
      </c>
      <c r="I19" s="68" t="n"/>
      <c r="J19" s="68" t="n"/>
      <c r="K19" s="68" t="n"/>
    </row>
    <row r="20" ht="31.5" customHeight="1" s="141">
      <c r="A20" s="168" t="n">
        <v>6</v>
      </c>
      <c r="B20" s="135" t="n"/>
      <c r="C20" s="169" t="inlineStr">
        <is>
          <t>91.05.05-015</t>
        </is>
      </c>
      <c r="D20" s="169" t="inlineStr">
        <is>
          <t>Краны на автомобильном ходу, грузоподъемность 16 т</t>
        </is>
      </c>
      <c r="E20" s="168" t="inlineStr">
        <is>
          <t>маш.час</t>
        </is>
      </c>
      <c r="F20" s="168" t="n">
        <v>37.52</v>
      </c>
      <c r="G20" s="71" t="n">
        <v>115.4</v>
      </c>
      <c r="H20" s="71">
        <f>ROUND(F20*G20,2)</f>
        <v/>
      </c>
      <c r="K20" s="132" t="n"/>
    </row>
    <row r="21">
      <c r="A21" s="168" t="n">
        <v>7</v>
      </c>
      <c r="B21" s="135" t="n"/>
      <c r="C21" s="169" t="inlineStr">
        <is>
          <t>91.14.02-001</t>
        </is>
      </c>
      <c r="D21" s="169" t="inlineStr">
        <is>
          <t>Автомобили бортовые, грузоподъемность до 5 т</t>
        </is>
      </c>
      <c r="E21" s="168" t="inlineStr">
        <is>
          <t>маш.час</t>
        </is>
      </c>
      <c r="F21" s="168" t="n">
        <v>37.22</v>
      </c>
      <c r="G21" s="71" t="n">
        <v>65.70999999999999</v>
      </c>
      <c r="H21" s="71">
        <f>ROUND(F21*G21,2)</f>
        <v/>
      </c>
      <c r="I21" s="68" t="n"/>
      <c r="J21" s="68" t="n"/>
      <c r="K21" s="68" t="n"/>
    </row>
    <row r="22" ht="31.5" customHeight="1" s="141">
      <c r="A22" s="168" t="n">
        <v>8</v>
      </c>
      <c r="B22" s="135" t="n"/>
      <c r="C22" s="169" t="inlineStr">
        <is>
          <t>91.06.03-061</t>
        </is>
      </c>
      <c r="D22" s="169" t="inlineStr">
        <is>
          <t>Лебедки электрические тяговым усилием до 12,26 кН (1,25 т)</t>
        </is>
      </c>
      <c r="E22" s="168" t="inlineStr">
        <is>
          <t>маш.час</t>
        </is>
      </c>
      <c r="F22" s="168" t="n">
        <v>239.12</v>
      </c>
      <c r="G22" s="71" t="n">
        <v>3.28</v>
      </c>
      <c r="H22" s="71">
        <f>ROUND(F22*G22,2)</f>
        <v/>
      </c>
      <c r="I22" s="68" t="n"/>
      <c r="J22" s="68" t="n"/>
      <c r="K22" s="68" t="n"/>
    </row>
    <row r="23" ht="31.5" customHeight="1" s="141">
      <c r="A23" s="168" t="n">
        <v>9</v>
      </c>
      <c r="B23" s="135" t="n"/>
      <c r="C23" s="169" t="inlineStr">
        <is>
          <t>91.06.01-003</t>
        </is>
      </c>
      <c r="D23" s="169" t="inlineStr">
        <is>
          <t>Домкраты гидравлические, грузоподъемность 63-100 т</t>
        </is>
      </c>
      <c r="E23" s="168" t="inlineStr">
        <is>
          <t>маш.час</t>
        </is>
      </c>
      <c r="F23" s="168" t="n">
        <v>239.12</v>
      </c>
      <c r="G23" s="71" t="n">
        <v>0.9</v>
      </c>
      <c r="H23" s="71">
        <f>ROUND(F23*G23,2)</f>
        <v/>
      </c>
      <c r="I23" s="68" t="n"/>
      <c r="J23" s="68" t="n"/>
      <c r="K23" s="68" t="n"/>
    </row>
    <row r="24">
      <c r="A24" s="168" t="n">
        <v>10</v>
      </c>
      <c r="B24" s="135" t="n"/>
      <c r="C24" s="169" t="inlineStr">
        <is>
          <t>91.21.19-031</t>
        </is>
      </c>
      <c r="D24" s="169" t="inlineStr">
        <is>
          <t>Станки сверлильные</t>
        </is>
      </c>
      <c r="E24" s="168" t="inlineStr">
        <is>
          <t>маш.час</t>
        </is>
      </c>
      <c r="F24" s="168" t="n">
        <v>13.8</v>
      </c>
      <c r="G24" s="71" t="n">
        <v>2.36</v>
      </c>
      <c r="H24" s="71">
        <f>ROUND(F24*G24,2)</f>
        <v/>
      </c>
      <c r="K24" s="132" t="n"/>
    </row>
    <row r="25" ht="31.5" customHeight="1" s="141">
      <c r="A25" s="168" t="n">
        <v>11</v>
      </c>
      <c r="B25" s="135" t="n"/>
      <c r="C25" s="169" t="inlineStr">
        <is>
          <t>91.17.04-233</t>
        </is>
      </c>
      <c r="D25" s="169" t="inlineStr">
        <is>
          <t>Установки для сварки ручной дуговой (постоянного тока)</t>
        </is>
      </c>
      <c r="E25" s="168" t="inlineStr">
        <is>
          <t>маш.час</t>
        </is>
      </c>
      <c r="F25" s="168" t="n">
        <v>3</v>
      </c>
      <c r="G25" s="71" t="n">
        <v>8.1</v>
      </c>
      <c r="H25" s="71">
        <f>ROUND(F25*G25,2)</f>
        <v/>
      </c>
      <c r="K25" s="132" t="n"/>
    </row>
    <row r="26">
      <c r="A26" s="167" t="inlineStr">
        <is>
          <t>Оборудование</t>
        </is>
      </c>
      <c r="B26" s="198" t="n"/>
      <c r="C26" s="198" t="n"/>
      <c r="D26" s="198" t="n"/>
      <c r="E26" s="199" t="n"/>
      <c r="F26" s="167" t="n"/>
      <c r="G26" s="67" t="n"/>
      <c r="H26" s="67">
        <f>SUM(H27:H33)</f>
        <v/>
      </c>
      <c r="J26" s="80" t="n"/>
    </row>
    <row r="27" ht="31.5" customHeight="1" s="141">
      <c r="A27" s="168" t="n">
        <v>12</v>
      </c>
      <c r="B27" s="135" t="n"/>
      <c r="C27" s="169" t="inlineStr">
        <is>
          <t>Прайс из СД ОП</t>
        </is>
      </c>
      <c r="D27" s="169" t="inlineStr">
        <is>
          <t>Шкаф сетевой коммутации с четырьмя коммутаторами и двумя серверами СОЕВ</t>
        </is>
      </c>
      <c r="E27" s="168" t="inlineStr">
        <is>
          <t>шт</t>
        </is>
      </c>
      <c r="F27" s="168" t="n">
        <v>4</v>
      </c>
      <c r="G27" s="71" t="n">
        <v>1164536.74</v>
      </c>
      <c r="H27" s="71">
        <f>ROUND(F27*G27,2)</f>
        <v/>
      </c>
    </row>
    <row r="28">
      <c r="A28" s="168" t="n">
        <v>13</v>
      </c>
      <c r="B28" s="135" t="n"/>
      <c r="C28" s="169" t="inlineStr">
        <is>
          <t>Прайс из СД ОП</t>
        </is>
      </c>
      <c r="D28" s="169" t="inlineStr">
        <is>
          <t>Шкаф серверного оборудования 2 тип</t>
        </is>
      </c>
      <c r="E28" s="168" t="inlineStr">
        <is>
          <t>шт</t>
        </is>
      </c>
      <c r="F28" s="168" t="n">
        <v>1</v>
      </c>
      <c r="G28" s="71" t="n">
        <v>2482190.66</v>
      </c>
      <c r="H28" s="71">
        <f>ROUND(F28*G28,2)</f>
        <v/>
      </c>
    </row>
    <row r="29">
      <c r="A29" s="168" t="n">
        <v>14</v>
      </c>
      <c r="B29" s="135" t="n"/>
      <c r="C29" s="169" t="inlineStr">
        <is>
          <t>Прайс из СД ОП</t>
        </is>
      </c>
      <c r="D29" s="169" t="inlineStr">
        <is>
          <t>Шкаф серверного оборудования 1 тип</t>
        </is>
      </c>
      <c r="E29" s="168" t="inlineStr">
        <is>
          <t>шт</t>
        </is>
      </c>
      <c r="F29" s="168" t="n">
        <v>1</v>
      </c>
      <c r="G29" s="71" t="n">
        <v>2385145.93</v>
      </c>
      <c r="H29" s="71">
        <f>ROUND(F29*G29,2)</f>
        <v/>
      </c>
    </row>
    <row r="30" ht="47.25" customHeight="1" s="141">
      <c r="A30" s="168" t="n">
        <v>15</v>
      </c>
      <c r="B30" s="135" t="n"/>
      <c r="C30" s="169" t="inlineStr">
        <is>
          <t>Прайс из СД ОП</t>
        </is>
      </c>
      <c r="D30" s="169" t="inlineStr">
        <is>
          <t>Шкаф на 222 дискретных входов и 64 дискретных выхода для подключения устройств РЗА</t>
        </is>
      </c>
      <c r="E30" s="168" t="inlineStr">
        <is>
          <t>шт</t>
        </is>
      </c>
      <c r="F30" s="168" t="n">
        <v>8</v>
      </c>
      <c r="G30" s="71" t="n">
        <v>301916.93</v>
      </c>
      <c r="H30" s="71">
        <f>ROUND(F30*G30,2)</f>
        <v/>
      </c>
    </row>
    <row r="31" ht="31.5" customHeight="1" s="141">
      <c r="A31" s="168" t="n">
        <v>16</v>
      </c>
      <c r="B31" s="135" t="n"/>
      <c r="C31" s="169" t="inlineStr">
        <is>
          <t>Прайс из СД ОП</t>
        </is>
      </c>
      <c r="D31" s="169" t="inlineStr">
        <is>
          <t>Шкаф измерительных преобразователей с кол-вом ИП: 20 шт</t>
        </is>
      </c>
      <c r="E31" s="168" t="inlineStr">
        <is>
          <t>шт</t>
        </is>
      </c>
      <c r="F31" s="168" t="n">
        <v>1</v>
      </c>
      <c r="G31" s="71" t="n">
        <v>862619.8100000001</v>
      </c>
      <c r="H31" s="71">
        <f>ROUND(F31*G31,2)</f>
        <v/>
      </c>
    </row>
    <row r="32">
      <c r="A32" s="168" t="n">
        <v>17</v>
      </c>
      <c r="B32" s="135" t="n"/>
      <c r="C32" s="169" t="inlineStr">
        <is>
          <t>Прайс из СД ОП</t>
        </is>
      </c>
      <c r="D32" s="169" t="inlineStr">
        <is>
          <t>Ноутбук</t>
        </is>
      </c>
      <c r="E32" s="168" t="inlineStr">
        <is>
          <t>шт</t>
        </is>
      </c>
      <c r="F32" s="168" t="n">
        <v>1</v>
      </c>
      <c r="G32" s="71" t="n">
        <v>33004.52</v>
      </c>
      <c r="H32" s="71">
        <f>ROUND(F32*G32,2)</f>
        <v/>
      </c>
    </row>
    <row r="33" ht="31.5" customHeight="1" s="141">
      <c r="A33" s="168" t="n">
        <v>18</v>
      </c>
      <c r="B33" s="135" t="n"/>
      <c r="C33" s="169" t="inlineStr">
        <is>
          <t>61.3.05.02-0001</t>
        </is>
      </c>
      <c r="D33" s="169" t="inlineStr">
        <is>
          <t>Монитор LCD с диагональю экрана 22 дюйма HP LP2275w</t>
        </is>
      </c>
      <c r="E33" s="168" t="inlineStr">
        <is>
          <t>шт</t>
        </is>
      </c>
      <c r="F33" s="168" t="n">
        <v>2</v>
      </c>
      <c r="G33" s="71" t="n">
        <v>6695.11</v>
      </c>
      <c r="H33" s="71">
        <f>ROUND(F33*G33,2)</f>
        <v/>
      </c>
    </row>
    <row r="34">
      <c r="A34" s="167" t="inlineStr">
        <is>
          <t>Материалы</t>
        </is>
      </c>
      <c r="B34" s="198" t="n"/>
      <c r="C34" s="198" t="n"/>
      <c r="D34" s="198" t="n"/>
      <c r="E34" s="199" t="n"/>
      <c r="F34" s="167" t="n"/>
      <c r="G34" s="67" t="n"/>
      <c r="H34" s="67">
        <f>SUM(H35:H67)</f>
        <v/>
      </c>
      <c r="J34" s="80" t="n"/>
    </row>
    <row r="35" ht="31.5" customHeight="1" s="141">
      <c r="A35" s="168" t="n">
        <v>19</v>
      </c>
      <c r="B35" s="85" t="n"/>
      <c r="C35" s="169" t="inlineStr">
        <is>
          <t>21.1.01.01-0001</t>
        </is>
      </c>
      <c r="D35" s="169" t="inlineStr">
        <is>
          <t>Кабель волоконно-оптический самонесущий биэлектрический ДСт-49-6z-6/32</t>
        </is>
      </c>
      <c r="E35" s="168" t="inlineStr">
        <is>
          <t>1000 м</t>
        </is>
      </c>
      <c r="F35" s="168" t="n">
        <v>14.9</v>
      </c>
      <c r="G35" s="71" t="n">
        <v>45920.85</v>
      </c>
      <c r="H35" s="71">
        <f>ROUND(F35*G35,2)</f>
        <v/>
      </c>
    </row>
    <row r="36">
      <c r="A36" s="168" t="n">
        <v>20</v>
      </c>
      <c r="B36" s="85" t="n"/>
      <c r="C36" s="169" t="inlineStr">
        <is>
          <t>21.1.08.03-0597</t>
        </is>
      </c>
      <c r="D36" s="169" t="inlineStr">
        <is>
          <t>Кабель контрольный КВВГЭнг(A)-LS 27х1,5</t>
        </is>
      </c>
      <c r="E36" s="168" t="inlineStr">
        <is>
          <t>1000 м</t>
        </is>
      </c>
      <c r="F36" s="168" t="n">
        <v>4.08</v>
      </c>
      <c r="G36" s="71" t="n">
        <v>108386.87</v>
      </c>
      <c r="H36" s="71">
        <f>ROUND(F36*G36,2)</f>
        <v/>
      </c>
    </row>
    <row r="37">
      <c r="A37" s="168" t="n">
        <v>21</v>
      </c>
      <c r="B37" s="85" t="n"/>
      <c r="C37" s="169" t="inlineStr">
        <is>
          <t>21.1.08.03-0594</t>
        </is>
      </c>
      <c r="D37" s="169" t="inlineStr">
        <is>
          <t>Кабель контрольный КВВГЭнг(A)-LS 19х1,5</t>
        </is>
      </c>
      <c r="E37" s="168" t="inlineStr">
        <is>
          <t>1000 м</t>
        </is>
      </c>
      <c r="F37" s="168" t="n">
        <v>4.08</v>
      </c>
      <c r="G37" s="71" t="n">
        <v>83256.13</v>
      </c>
      <c r="H37" s="71">
        <f>ROUND(F37*G37,2)</f>
        <v/>
      </c>
    </row>
    <row r="38">
      <c r="A38" s="168" t="n">
        <v>22</v>
      </c>
      <c r="B38" s="85" t="n"/>
      <c r="C38" s="169" t="inlineStr">
        <is>
          <t>21.1.08.03-0579</t>
        </is>
      </c>
      <c r="D38" s="169" t="inlineStr">
        <is>
          <t>Кабель контрольный КВВГЭнг(A)-LS 5х2,5</t>
        </is>
      </c>
      <c r="E38" s="168" t="inlineStr">
        <is>
          <t>1000 м</t>
        </is>
      </c>
      <c r="F38" s="168" t="n">
        <v>8.16</v>
      </c>
      <c r="G38" s="71" t="n">
        <v>38348.22</v>
      </c>
      <c r="H38" s="71">
        <f>ROUND(F38*G38,2)</f>
        <v/>
      </c>
    </row>
    <row r="39" ht="15" customHeight="1" s="141">
      <c r="A39" s="168" t="n">
        <v>23</v>
      </c>
      <c r="B39" s="85" t="n"/>
      <c r="C39" s="169" t="inlineStr">
        <is>
          <t>24.3.01.02-0002</t>
        </is>
      </c>
      <c r="D39" s="169" t="inlineStr">
        <is>
          <t>Трубы гибкие гофрированные из самозатухающего ПВХ легкие с протяжкой, диаметр 25 мм</t>
        </is>
      </c>
      <c r="E39" s="168" t="inlineStr">
        <is>
          <t>м</t>
        </is>
      </c>
      <c r="F39" s="168" t="n">
        <v>15198</v>
      </c>
      <c r="G39" s="71" t="n">
        <v>3.43</v>
      </c>
      <c r="H39" s="71">
        <f>ROUND(F39*G39,2)</f>
        <v/>
      </c>
    </row>
    <row r="40" ht="31.5" customHeight="1" s="141">
      <c r="A40" s="168" t="n">
        <v>24</v>
      </c>
      <c r="B40" s="85" t="n"/>
      <c r="C40" s="169" t="inlineStr">
        <is>
          <t>10.3.02.03-0011</t>
        </is>
      </c>
      <c r="D40" s="169" t="inlineStr">
        <is>
          <t>Припои оловянно-свинцовые бессурьмянистые, марка ПОС30</t>
        </is>
      </c>
      <c r="E40" s="168" t="inlineStr">
        <is>
          <t>т</t>
        </is>
      </c>
      <c r="F40" s="168" t="n">
        <v>0.08223999999999999</v>
      </c>
      <c r="G40" s="71" t="n">
        <v>68050</v>
      </c>
      <c r="H40" s="71">
        <f>ROUND(F40*G40,2)</f>
        <v/>
      </c>
    </row>
    <row r="41">
      <c r="A41" s="168" t="n">
        <v>25</v>
      </c>
      <c r="B41" s="85" t="n"/>
      <c r="C41" s="169" t="inlineStr">
        <is>
          <t>01.7.15.07-0152</t>
        </is>
      </c>
      <c r="D41" s="169" t="inlineStr">
        <is>
          <t>Дюбели с шурупом, размер 6х35 мм</t>
        </is>
      </c>
      <c r="E41" s="168" t="inlineStr">
        <is>
          <t>100 шт</t>
        </is>
      </c>
      <c r="F41" s="168" t="n">
        <v>260.75</v>
      </c>
      <c r="G41" s="71" t="n">
        <v>8</v>
      </c>
      <c r="H41" s="71">
        <f>ROUND(F41*G41,2)</f>
        <v/>
      </c>
    </row>
    <row r="42" ht="15" customHeight="1" s="141">
      <c r="A42" s="168" t="n">
        <v>26</v>
      </c>
      <c r="B42" s="85" t="n"/>
      <c r="C42" s="169" t="inlineStr">
        <is>
          <t>01.7.06.05-0041</t>
        </is>
      </c>
      <c r="D42" s="169" t="inlineStr">
        <is>
          <t>Лента изоляционная прорезиненная односторонняя, ширина 20 мм, толщина 0,25-0,35 мм</t>
        </is>
      </c>
      <c r="E42" s="168" t="inlineStr">
        <is>
          <t>кг</t>
        </is>
      </c>
      <c r="F42" s="168" t="n">
        <v>49.28</v>
      </c>
      <c r="G42" s="71" t="n">
        <v>30.4</v>
      </c>
      <c r="H42" s="71">
        <f>ROUND(F42*G42,2)</f>
        <v/>
      </c>
    </row>
    <row r="43" ht="47.25" customHeight="1" s="141">
      <c r="A43" s="168" t="n">
        <v>27</v>
      </c>
      <c r="B43" s="85" t="n"/>
      <c r="C43" s="169" t="inlineStr">
        <is>
          <t>08.3.06.01-0003</t>
        </is>
      </c>
      <c r="D43" s="169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E43" s="168" t="inlineStr">
        <is>
          <t>т</t>
        </is>
      </c>
      <c r="F43" s="168" t="n">
        <v>0.21</v>
      </c>
      <c r="G43" s="71" t="n">
        <v>6834.81</v>
      </c>
      <c r="H43" s="71">
        <f>ROUND(F43*G43,2)</f>
        <v/>
      </c>
    </row>
    <row r="44">
      <c r="A44" s="168" t="n">
        <v>28</v>
      </c>
      <c r="B44" s="85" t="n"/>
      <c r="C44" s="169" t="inlineStr">
        <is>
          <t>07.2.07.13-0171</t>
        </is>
      </c>
      <c r="D44" s="169" t="inlineStr">
        <is>
          <t>Подкладки металлические</t>
        </is>
      </c>
      <c r="E44" s="168" t="inlineStr">
        <is>
          <t>кг</t>
        </is>
      </c>
      <c r="F44" s="168" t="n">
        <v>90</v>
      </c>
      <c r="G44" s="71" t="n">
        <v>12.6</v>
      </c>
      <c r="H44" s="71">
        <f>ROUND(F44*G44,2)</f>
        <v/>
      </c>
    </row>
    <row r="45">
      <c r="A45" s="168" t="n">
        <v>29</v>
      </c>
      <c r="B45" s="85" t="n"/>
      <c r="C45" s="169" t="inlineStr">
        <is>
          <t>20.2.01.05-0005</t>
        </is>
      </c>
      <c r="D45" s="169" t="inlineStr">
        <is>
          <t>Гильзы кабельные медные ГМ 16</t>
        </is>
      </c>
      <c r="E45" s="168" t="inlineStr">
        <is>
          <t>100 шт</t>
        </is>
      </c>
      <c r="F45" s="168" t="n">
        <v>7.45</v>
      </c>
      <c r="G45" s="71" t="n">
        <v>143</v>
      </c>
      <c r="H45" s="71">
        <f>ROUND(F45*G45,2)</f>
        <v/>
      </c>
    </row>
    <row r="46">
      <c r="A46" s="168" t="n">
        <v>30</v>
      </c>
      <c r="B46" s="85" t="n"/>
      <c r="C46" s="169" t="inlineStr">
        <is>
          <t>01.7.06.07-0002</t>
        </is>
      </c>
      <c r="D46" s="169" t="inlineStr">
        <is>
          <t>Лента монтажная, тип ЛМ-5</t>
        </is>
      </c>
      <c r="E46" s="168" t="inlineStr">
        <is>
          <t>10 м</t>
        </is>
      </c>
      <c r="F46" s="168" t="n">
        <v>136.44</v>
      </c>
      <c r="G46" s="71" t="n">
        <v>6.9</v>
      </c>
      <c r="H46" s="71">
        <f>ROUND(F46*G46,2)</f>
        <v/>
      </c>
    </row>
    <row r="47" ht="31.5" customHeight="1" s="141">
      <c r="A47" s="168" t="n">
        <v>31</v>
      </c>
      <c r="B47" s="85" t="n"/>
      <c r="C47" s="169" t="inlineStr">
        <is>
          <t>999-9950</t>
        </is>
      </c>
      <c r="D47" s="169" t="inlineStr">
        <is>
          <t>Вспомогательные ненормируемые ресурсы (2% от Оплаты труда рабочих)</t>
        </is>
      </c>
      <c r="E47" s="168" t="inlineStr">
        <is>
          <t>руб</t>
        </is>
      </c>
      <c r="F47" s="168" t="n">
        <v>828.586</v>
      </c>
      <c r="G47" s="71" t="n">
        <v>1</v>
      </c>
      <c r="H47" s="71">
        <f>ROUND(F47*G47,2)</f>
        <v/>
      </c>
    </row>
    <row r="48">
      <c r="A48" s="168" t="n">
        <v>32</v>
      </c>
      <c r="B48" s="85" t="n"/>
      <c r="C48" s="169" t="inlineStr">
        <is>
          <t>20.1.02.06-0001</t>
        </is>
      </c>
      <c r="D48" s="169" t="inlineStr">
        <is>
          <t>Жир паяльный</t>
        </is>
      </c>
      <c r="E48" s="168" t="inlineStr">
        <is>
          <t>кг</t>
        </is>
      </c>
      <c r="F48" s="168" t="n">
        <v>3.2</v>
      </c>
      <c r="G48" s="71" t="n">
        <v>100.8</v>
      </c>
      <c r="H48" s="71">
        <f>ROUND(F48*G48,2)</f>
        <v/>
      </c>
    </row>
    <row r="49">
      <c r="A49" s="168" t="n">
        <v>33</v>
      </c>
      <c r="B49" s="85" t="n"/>
      <c r="C49" s="169" t="inlineStr">
        <is>
          <t>20.2.02.01-0013</t>
        </is>
      </c>
      <c r="D49" s="169" t="inlineStr">
        <is>
          <t>Втулки, диаметр 28 мм</t>
        </is>
      </c>
      <c r="E49" s="168" t="inlineStr">
        <is>
          <t>1000 шт</t>
        </is>
      </c>
      <c r="F49" s="168" t="n">
        <v>1.8178</v>
      </c>
      <c r="G49" s="71" t="n">
        <v>176.21</v>
      </c>
      <c r="H49" s="71">
        <f>ROUND(F49*G49,2)</f>
        <v/>
      </c>
    </row>
    <row r="50">
      <c r="A50" s="168" t="n">
        <v>34</v>
      </c>
      <c r="B50" s="85" t="n"/>
      <c r="C50" s="169" t="inlineStr">
        <is>
          <t>25.2.01.01-0017</t>
        </is>
      </c>
      <c r="D50" s="169" t="inlineStr">
        <is>
          <t>Бирки маркировочные пластмассовые</t>
        </is>
      </c>
      <c r="E50" s="168" t="inlineStr">
        <is>
          <t>100 шт</t>
        </is>
      </c>
      <c r="F50" s="168" t="n">
        <v>9.6</v>
      </c>
      <c r="G50" s="71" t="n">
        <v>30.74</v>
      </c>
      <c r="H50" s="71">
        <f>ROUND(F50*G50,2)</f>
        <v/>
      </c>
    </row>
    <row r="51">
      <c r="A51" s="168" t="n">
        <v>35</v>
      </c>
      <c r="B51" s="85" t="n"/>
      <c r="C51" s="169" t="inlineStr">
        <is>
          <t>01.7.07.20-0002</t>
        </is>
      </c>
      <c r="D51" s="169" t="inlineStr">
        <is>
          <t>Тальк молотый, сорт I</t>
        </is>
      </c>
      <c r="E51" s="168" t="inlineStr">
        <is>
          <t>т</t>
        </is>
      </c>
      <c r="F51" s="168" t="n">
        <v>0.15645</v>
      </c>
      <c r="G51" s="71" t="n">
        <v>1820</v>
      </c>
      <c r="H51" s="71">
        <f>ROUND(F51*G51,2)</f>
        <v/>
      </c>
    </row>
    <row r="52">
      <c r="A52" s="168" t="n">
        <v>36</v>
      </c>
      <c r="B52" s="85" t="n"/>
      <c r="C52" s="169" t="inlineStr">
        <is>
          <t>14.4.03.03-0002</t>
        </is>
      </c>
      <c r="D52" s="169" t="inlineStr">
        <is>
          <t>Лак битумный БТ-123</t>
        </is>
      </c>
      <c r="E52" s="168" t="inlineStr">
        <is>
          <t>т</t>
        </is>
      </c>
      <c r="F52" s="168" t="n">
        <v>0.02544</v>
      </c>
      <c r="G52" s="71" t="n">
        <v>7826.9</v>
      </c>
      <c r="H52" s="71">
        <f>ROUND(F52*G52,2)</f>
        <v/>
      </c>
    </row>
    <row r="53" ht="31.5" customHeight="1" s="141">
      <c r="A53" s="168" t="n">
        <v>37</v>
      </c>
      <c r="B53" s="85" t="n"/>
      <c r="C53" s="169" t="inlineStr">
        <is>
          <t>01.7.15.03-0034</t>
        </is>
      </c>
      <c r="D53" s="169" t="inlineStr">
        <is>
          <t>Болты с гайками и шайбами оцинкованные, диаметр 12 мм</t>
        </is>
      </c>
      <c r="E53" s="168" t="inlineStr">
        <is>
          <t>кг</t>
        </is>
      </c>
      <c r="F53" s="168" t="n">
        <v>3.567</v>
      </c>
      <c r="G53" s="71" t="n">
        <v>25.76</v>
      </c>
      <c r="H53" s="71">
        <f>ROUND(F53*G53,2)</f>
        <v/>
      </c>
    </row>
    <row r="54" ht="31.5" customHeight="1" s="141">
      <c r="A54" s="168" t="n">
        <v>38</v>
      </c>
      <c r="B54" s="85" t="n"/>
      <c r="C54" s="169" t="inlineStr">
        <is>
          <t>10.3.02.03-0013</t>
        </is>
      </c>
      <c r="D54" s="169" t="inlineStr">
        <is>
          <t>Припои оловянно-свинцовые бессурьмянистые, марка ПОС61</t>
        </is>
      </c>
      <c r="E54" s="168" t="inlineStr">
        <is>
          <t>т</t>
        </is>
      </c>
      <c r="F54" s="168" t="n">
        <v>0.000768</v>
      </c>
      <c r="G54" s="71" t="n">
        <v>114220</v>
      </c>
      <c r="H54" s="71">
        <f>ROUND(F54*G54,2)</f>
        <v/>
      </c>
    </row>
    <row r="55">
      <c r="A55" s="168" t="n">
        <v>39</v>
      </c>
      <c r="B55" s="85" t="n"/>
      <c r="C55" s="169" t="inlineStr">
        <is>
          <t>14.4.02.09-0001</t>
        </is>
      </c>
      <c r="D55" s="169" t="inlineStr">
        <is>
          <t>Краска</t>
        </is>
      </c>
      <c r="E55" s="168" t="inlineStr">
        <is>
          <t>кг</t>
        </is>
      </c>
      <c r="F55" s="168" t="n">
        <v>2.98</v>
      </c>
      <c r="G55" s="71" t="n">
        <v>28.6</v>
      </c>
      <c r="H55" s="71">
        <f>ROUND(F55*G55,2)</f>
        <v/>
      </c>
    </row>
    <row r="56">
      <c r="A56" s="168" t="n">
        <v>40</v>
      </c>
      <c r="B56" s="85" t="n"/>
      <c r="C56" s="169" t="inlineStr">
        <is>
          <t>25.2.02.11-0041</t>
        </is>
      </c>
      <c r="D56" s="169" t="inlineStr">
        <is>
          <t>Рамка для надписей 55х15 мм</t>
        </is>
      </c>
      <c r="E56" s="168" t="inlineStr">
        <is>
          <t>шт</t>
        </is>
      </c>
      <c r="F56" s="168" t="n">
        <v>150</v>
      </c>
      <c r="G56" s="71" t="n">
        <v>0.27</v>
      </c>
      <c r="H56" s="71">
        <f>ROUND(F56*G56,2)</f>
        <v/>
      </c>
      <c r="I56" s="68" t="n"/>
      <c r="J56" s="68" t="n"/>
    </row>
    <row r="57">
      <c r="A57" s="168" t="n">
        <v>41</v>
      </c>
      <c r="B57" s="85" t="n"/>
      <c r="C57" s="169" t="inlineStr">
        <is>
          <t>01.7.11.07-0032</t>
        </is>
      </c>
      <c r="D57" s="169" t="inlineStr">
        <is>
          <t>Электроды сварочные Э42, диаметр 4 мм</t>
        </is>
      </c>
      <c r="E57" s="168" t="inlineStr">
        <is>
          <t>т</t>
        </is>
      </c>
      <c r="F57" s="168" t="n">
        <v>0.0036</v>
      </c>
      <c r="G57" s="71" t="n">
        <v>10315.01</v>
      </c>
      <c r="H57" s="71">
        <f>ROUND(F57*G57,2)</f>
        <v/>
      </c>
      <c r="I57" s="68" t="n"/>
      <c r="J57" s="68" t="n"/>
    </row>
    <row r="58">
      <c r="A58" s="168" t="n">
        <v>42</v>
      </c>
      <c r="B58" s="85" t="n"/>
      <c r="C58" s="169" t="inlineStr">
        <is>
          <t>01.7.15.14-0165</t>
        </is>
      </c>
      <c r="D58" s="169" t="inlineStr">
        <is>
          <t>Шурупы с полукруглой головкой 4х40 мм</t>
        </is>
      </c>
      <c r="E58" s="168" t="inlineStr">
        <is>
          <t>т</t>
        </is>
      </c>
      <c r="F58" s="168" t="n">
        <v>0.00264</v>
      </c>
      <c r="G58" s="71" t="n">
        <v>12430</v>
      </c>
      <c r="H58" s="71">
        <f>ROUND(F58*G58,2)</f>
        <v/>
      </c>
      <c r="I58" s="68" t="n"/>
      <c r="J58" s="68" t="n"/>
    </row>
    <row r="59">
      <c r="A59" s="168" t="n">
        <v>43</v>
      </c>
      <c r="B59" s="85" t="n"/>
      <c r="C59" s="169" t="inlineStr">
        <is>
          <t>24.3.01.01-0002</t>
        </is>
      </c>
      <c r="D59" s="169" t="inlineStr">
        <is>
          <t>Трубка полихлорвиниловая</t>
        </is>
      </c>
      <c r="E59" s="168" t="inlineStr">
        <is>
          <t>кг</t>
        </is>
      </c>
      <c r="F59" s="168" t="n">
        <v>0.384</v>
      </c>
      <c r="G59" s="71" t="n">
        <v>35.7</v>
      </c>
      <c r="H59" s="71">
        <f>ROUND(F59*G59,2)</f>
        <v/>
      </c>
      <c r="I59" s="68" t="n"/>
      <c r="J59" s="68" t="n"/>
    </row>
    <row r="60">
      <c r="A60" s="168" t="n">
        <v>44</v>
      </c>
      <c r="B60" s="85" t="n"/>
      <c r="C60" s="169" t="inlineStr">
        <is>
          <t>01.3.01.05-0009</t>
        </is>
      </c>
      <c r="D60" s="169" t="inlineStr">
        <is>
          <t>Парафин нефтяной твердый Т-1</t>
        </is>
      </c>
      <c r="E60" s="168" t="inlineStr">
        <is>
          <t>т</t>
        </is>
      </c>
      <c r="F60" s="168" t="n">
        <v>0.0016</v>
      </c>
      <c r="G60" s="71" t="n">
        <v>8105.71</v>
      </c>
      <c r="H60" s="71">
        <f>ROUND(F60*G60,2)</f>
        <v/>
      </c>
      <c r="I60" s="68" t="n"/>
      <c r="J60" s="68" t="n"/>
    </row>
    <row r="61" ht="31.5" customHeight="1" s="141">
      <c r="A61" s="168" t="n">
        <v>45</v>
      </c>
      <c r="B61" s="85" t="n"/>
      <c r="C61" s="169" t="inlineStr">
        <is>
          <t>01.3.01.07-0009</t>
        </is>
      </c>
      <c r="D61" s="169" t="inlineStr">
        <is>
          <t>Спирт этиловый ректификованный технический, сорт I</t>
        </is>
      </c>
      <c r="E61" s="168" t="inlineStr">
        <is>
          <t>кг</t>
        </is>
      </c>
      <c r="F61" s="168" t="n">
        <v>0.2784</v>
      </c>
      <c r="G61" s="71" t="n">
        <v>38.89</v>
      </c>
      <c r="H61" s="71">
        <f>ROUND(F61*G61,2)</f>
        <v/>
      </c>
      <c r="I61" s="68" t="n"/>
      <c r="J61" s="68" t="n"/>
    </row>
    <row r="62">
      <c r="A62" s="168" t="n">
        <v>46</v>
      </c>
      <c r="B62" s="85" t="n"/>
      <c r="C62" s="169" t="inlineStr">
        <is>
          <t>14.4.04.09-0017</t>
        </is>
      </c>
      <c r="D62" s="169" t="inlineStr">
        <is>
          <t>Эмаль ХВ-124, защитная, зеленая</t>
        </is>
      </c>
      <c r="E62" s="168" t="inlineStr">
        <is>
          <t>т</t>
        </is>
      </c>
      <c r="F62" s="168" t="n">
        <v>0.0003</v>
      </c>
      <c r="G62" s="71" t="n">
        <v>28300.4</v>
      </c>
      <c r="H62" s="71">
        <f>ROUND(F62*G62,2)</f>
        <v/>
      </c>
      <c r="I62" s="68" t="n"/>
      <c r="J62" s="68" t="n"/>
    </row>
    <row r="63">
      <c r="A63" s="168" t="n">
        <v>47</v>
      </c>
      <c r="B63" s="85" t="n"/>
      <c r="C63" s="169" t="inlineStr">
        <is>
          <t>01.3.05.17-0002</t>
        </is>
      </c>
      <c r="D63" s="169" t="inlineStr">
        <is>
          <t>Канифоль сосновая</t>
        </is>
      </c>
      <c r="E63" s="168" t="inlineStr">
        <is>
          <t>кг</t>
        </is>
      </c>
      <c r="F63" s="168" t="n">
        <v>0.1824</v>
      </c>
      <c r="G63" s="71" t="n">
        <v>27.74</v>
      </c>
      <c r="H63" s="71">
        <f>ROUND(F63*G63,2)</f>
        <v/>
      </c>
      <c r="I63" s="68" t="n"/>
      <c r="J63" s="68" t="n"/>
    </row>
    <row r="64">
      <c r="A64" s="168" t="n">
        <v>48</v>
      </c>
      <c r="B64" s="85" t="n"/>
      <c r="C64" s="169" t="inlineStr">
        <is>
          <t>14.4.01.01-0003</t>
        </is>
      </c>
      <c r="D64" s="169" t="inlineStr">
        <is>
          <t>Грунтовка ГФ-021</t>
        </is>
      </c>
      <c r="E64" s="168" t="inlineStr">
        <is>
          <t>т</t>
        </is>
      </c>
      <c r="F64" s="168" t="n">
        <v>0.00015</v>
      </c>
      <c r="G64" s="71" t="n">
        <v>15620</v>
      </c>
      <c r="H64" s="71">
        <f>ROUND(F64*G64,2)</f>
        <v/>
      </c>
      <c r="I64" s="68" t="n"/>
      <c r="J64" s="68" t="n"/>
    </row>
    <row r="65">
      <c r="A65" s="168" t="n">
        <v>49</v>
      </c>
      <c r="B65" s="85" t="n"/>
      <c r="C65" s="169" t="inlineStr">
        <is>
          <t>14.5.09.07-0030</t>
        </is>
      </c>
      <c r="D65" s="169" t="inlineStr">
        <is>
          <t>Растворитель Р-4</t>
        </is>
      </c>
      <c r="E65" s="168" t="inlineStr">
        <is>
          <t>кг</t>
        </is>
      </c>
      <c r="F65" s="168" t="n">
        <v>0.15</v>
      </c>
      <c r="G65" s="71" t="n">
        <v>9.42</v>
      </c>
      <c r="H65" s="71">
        <f>ROUND(F65*G65,2)</f>
        <v/>
      </c>
      <c r="I65" s="68" t="n"/>
      <c r="J65" s="68" t="n"/>
    </row>
    <row r="66">
      <c r="A66" s="168" t="n">
        <v>50</v>
      </c>
      <c r="B66" s="85" t="n"/>
      <c r="C66" s="169" t="inlineStr">
        <is>
          <t>14.5.09.11-0102</t>
        </is>
      </c>
      <c r="D66" s="169" t="inlineStr">
        <is>
          <t>Уайт-спирит</t>
        </is>
      </c>
      <c r="E66" s="168" t="inlineStr">
        <is>
          <t>кг</t>
        </is>
      </c>
      <c r="F66" s="168" t="n">
        <v>0.15</v>
      </c>
      <c r="G66" s="71" t="n">
        <v>6.67</v>
      </c>
      <c r="H66" s="71">
        <f>ROUND(F66*G66,2)</f>
        <v/>
      </c>
      <c r="I66" s="68" t="n"/>
      <c r="J66" s="68" t="n"/>
    </row>
    <row r="67">
      <c r="A67" s="168" t="n">
        <v>51</v>
      </c>
      <c r="B67" s="85" t="n"/>
      <c r="C67" s="169" t="inlineStr">
        <is>
          <t>01.3.05.11-0001</t>
        </is>
      </c>
      <c r="D67" s="169" t="inlineStr">
        <is>
          <t>Дихлорэтан технический, сорт I</t>
        </is>
      </c>
      <c r="E67" s="168" t="inlineStr">
        <is>
          <t>т</t>
        </is>
      </c>
      <c r="F67" s="168" t="n">
        <v>0.000192</v>
      </c>
      <c r="G67" s="71" t="n">
        <v>4934.48</v>
      </c>
      <c r="H67" s="71">
        <f>ROUND(F67*G67,2)</f>
        <v/>
      </c>
      <c r="I67" s="68" t="n"/>
      <c r="J67" s="68" t="n"/>
    </row>
    <row r="68">
      <c r="J68" s="80" t="n"/>
    </row>
    <row r="70">
      <c r="B70" s="132" t="inlineStr">
        <is>
          <t>Составил ______________________        Е.А. Князева</t>
        </is>
      </c>
    </row>
    <row r="71">
      <c r="B71" s="56" t="inlineStr">
        <is>
          <t xml:space="preserve">                         (подпись, инициалы, фамилия)</t>
        </is>
      </c>
    </row>
    <row r="73">
      <c r="B73" s="132" t="inlineStr">
        <is>
          <t>Проверил ______________________        А.В. Костянецкая</t>
        </is>
      </c>
    </row>
    <row r="74">
      <c r="B74" s="56" t="inlineStr">
        <is>
          <t xml:space="preserve">                        (подпись, инициалы, фамилия)</t>
        </is>
      </c>
    </row>
  </sheetData>
  <mergeCells count="15">
    <mergeCell ref="A4:H4"/>
    <mergeCell ref="A34:E34"/>
    <mergeCell ref="A12:E12"/>
    <mergeCell ref="B9:B10"/>
    <mergeCell ref="C9:C10"/>
    <mergeCell ref="D9:D10"/>
    <mergeCell ref="E9:E10"/>
    <mergeCell ref="F9:F10"/>
    <mergeCell ref="A9:A10"/>
    <mergeCell ref="A26:E26"/>
    <mergeCell ref="A2:H2"/>
    <mergeCell ref="A19:E19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40" workbookViewId="0">
      <selection activeCell="B43" sqref="B43"/>
    </sheetView>
  </sheetViews>
  <sheetFormatPr baseColWidth="8" defaultRowHeight="15"/>
  <cols>
    <col width="4.140625" customWidth="1" style="141" min="1" max="1"/>
    <col width="36.28515625" customWidth="1" style="141" min="2" max="2"/>
    <col width="18.85546875" customWidth="1" style="141" min="3" max="3"/>
    <col width="18.28515625" customWidth="1" style="141" min="4" max="4"/>
    <col width="18.85546875" customWidth="1" style="141" min="5" max="5"/>
    <col width="9.140625" customWidth="1" style="141" min="6" max="6"/>
    <col width="12.85546875" customWidth="1" style="141" min="7" max="7"/>
    <col width="9.140625" customWidth="1" style="141" min="8" max="11"/>
    <col width="13.5703125" customWidth="1" style="141" min="12" max="12"/>
    <col width="9.140625" customWidth="1" style="141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93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70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9.75" customHeight="1" s="141">
      <c r="B7" s="171">
        <f>'Прил.1 Сравнит табл'!B7</f>
        <v/>
      </c>
    </row>
    <row r="8">
      <c r="B8" s="172">
        <f>'Прил.1 Сравнит табл'!B9</f>
        <v/>
      </c>
    </row>
    <row r="9">
      <c r="B9" s="16" t="n"/>
      <c r="C9" s="6" t="n"/>
      <c r="D9" s="6" t="n"/>
      <c r="E9" s="6" t="n"/>
    </row>
    <row r="10" ht="51" customHeight="1" s="141">
      <c r="B10" s="173" t="inlineStr">
        <is>
          <t>Наименование</t>
        </is>
      </c>
      <c r="C10" s="173" t="inlineStr">
        <is>
          <t>Сметная стоимость в ценах на 01.01.2023
 (руб.)</t>
        </is>
      </c>
      <c r="D10" s="173" t="inlineStr">
        <is>
          <t>Удельный вес, 
(в СМР)</t>
        </is>
      </c>
      <c r="E10" s="173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7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7" t="inlineStr">
        <is>
          <t>Эксплуатация машин основных</t>
        </is>
      </c>
      <c r="C12" s="27">
        <f>'Прил.5 Расчет СМР и ОБ'!J21</f>
        <v/>
      </c>
      <c r="D12" s="26">
        <f>C12/$C$24</f>
        <v/>
      </c>
      <c r="E12" s="26">
        <f>C12/$C$40</f>
        <v/>
      </c>
    </row>
    <row r="13">
      <c r="B13" s="7" t="inlineStr">
        <is>
          <t>Эксплуатация машин прочих</t>
        </is>
      </c>
      <c r="C13" s="27">
        <f>'Прил.5 Расчет СМР и ОБ'!J26</f>
        <v/>
      </c>
      <c r="D13" s="26">
        <f>C13/$C$24</f>
        <v/>
      </c>
      <c r="E13" s="26">
        <f>C13/$C$40</f>
        <v/>
      </c>
    </row>
    <row r="14">
      <c r="B14" s="7" t="inlineStr">
        <is>
          <t>ЭКСПЛУАТАЦИЯ МАШИН, ВСЕГО:</t>
        </is>
      </c>
      <c r="C14" s="27">
        <f>C13+C12</f>
        <v/>
      </c>
      <c r="D14" s="26">
        <f>C14/$C$24</f>
        <v/>
      </c>
      <c r="E14" s="26">
        <f>C14/$C$40</f>
        <v/>
      </c>
    </row>
    <row r="15">
      <c r="B15" s="7" t="inlineStr">
        <is>
          <t>в том числе зарплата машинистов</t>
        </is>
      </c>
      <c r="C15" s="27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7" t="inlineStr">
        <is>
          <t>Материалы основные</t>
        </is>
      </c>
      <c r="C16" s="27">
        <f>'Прил.5 Расчет СМР и ОБ'!J48</f>
        <v/>
      </c>
      <c r="D16" s="26">
        <f>C16/$C$24</f>
        <v/>
      </c>
      <c r="E16" s="26">
        <f>C16/$C$40</f>
        <v/>
      </c>
    </row>
    <row r="17">
      <c r="B17" s="7" t="inlineStr">
        <is>
          <t>Материалы прочие</t>
        </is>
      </c>
      <c r="C17" s="27">
        <f>'Прил.5 Расчет СМР и ОБ'!J78</f>
        <v/>
      </c>
      <c r="D17" s="26">
        <f>C17/$C$24</f>
        <v/>
      </c>
      <c r="E17" s="26">
        <f>C17/$C$40</f>
        <v/>
      </c>
      <c r="G17" s="203" t="n"/>
    </row>
    <row r="18">
      <c r="B18" s="7" t="inlineStr">
        <is>
          <t>МАТЕРИАЛЫ, ВСЕГО:</t>
        </is>
      </c>
      <c r="C18" s="27">
        <f>C17+C16</f>
        <v/>
      </c>
      <c r="D18" s="26">
        <f>C18/$C$24</f>
        <v/>
      </c>
      <c r="E18" s="26">
        <f>C18/$C$40</f>
        <v/>
      </c>
    </row>
    <row r="19">
      <c r="B19" s="7" t="inlineStr">
        <is>
          <t>ИТОГО</t>
        </is>
      </c>
      <c r="C19" s="27">
        <f>C18+C14+C11</f>
        <v/>
      </c>
      <c r="D19" s="26" t="n"/>
      <c r="E19" s="7" t="n"/>
    </row>
    <row r="20">
      <c r="B20" s="7" t="inlineStr">
        <is>
          <t>Сметная прибыль, руб.</t>
        </is>
      </c>
      <c r="C20" s="27">
        <f>ROUND(C21*(C11+C15),2)</f>
        <v/>
      </c>
      <c r="D20" s="26">
        <f>C20/$C$24</f>
        <v/>
      </c>
      <c r="E20" s="26">
        <f>C20/$C$40</f>
        <v/>
      </c>
    </row>
    <row r="21">
      <c r="B21" s="7" t="inlineStr">
        <is>
          <t>Сметная прибыль, %</t>
        </is>
      </c>
      <c r="C21" s="28">
        <f>'Прил.5 Расчет СМР и ОБ'!E82</f>
        <v/>
      </c>
      <c r="D21" s="26" t="n"/>
      <c r="E21" s="7" t="n"/>
    </row>
    <row r="22">
      <c r="B22" s="7" t="inlineStr">
        <is>
          <t>Накладные расходы, руб.</t>
        </is>
      </c>
      <c r="C22" s="27">
        <f>ROUND(C23*(C11+C15),2)</f>
        <v/>
      </c>
      <c r="D22" s="26">
        <f>C22/$C$24</f>
        <v/>
      </c>
      <c r="E22" s="26">
        <f>C22/$C$40</f>
        <v/>
      </c>
    </row>
    <row r="23">
      <c r="B23" s="7" t="inlineStr">
        <is>
          <t>Накладные расходы, %</t>
        </is>
      </c>
      <c r="C23" s="28">
        <f>'Прил.5 Расчет СМР и ОБ'!E81</f>
        <v/>
      </c>
      <c r="D23" s="26" t="n"/>
      <c r="E23" s="7" t="n"/>
    </row>
    <row r="24">
      <c r="B24" s="7" t="inlineStr">
        <is>
          <t>ВСЕГО СМР с НР и СП</t>
        </is>
      </c>
      <c r="C24" s="27">
        <f>C19+C20+C22</f>
        <v/>
      </c>
      <c r="D24" s="26">
        <f>C24/$C$24</f>
        <v/>
      </c>
      <c r="E24" s="26">
        <f>C24/$C$40</f>
        <v/>
      </c>
    </row>
    <row r="25" ht="25.5" customHeight="1" s="141">
      <c r="B25" s="7" t="inlineStr">
        <is>
          <t>ВСЕГО стоимость оборудования, в том числе</t>
        </is>
      </c>
      <c r="C25" s="27">
        <f>'Прил.5 Расчет СМР и ОБ'!J39</f>
        <v/>
      </c>
      <c r="D25" s="26" t="n"/>
      <c r="E25" s="26">
        <f>C25/$C$40</f>
        <v/>
      </c>
    </row>
    <row r="26" ht="25.5" customHeight="1" s="141">
      <c r="B26" s="7" t="inlineStr">
        <is>
          <t>стоимость оборудования технологического</t>
        </is>
      </c>
      <c r="C26" s="27">
        <f>'Прил.5 Расчет СМР и ОБ'!J40</f>
        <v/>
      </c>
      <c r="D26" s="26" t="n"/>
      <c r="E26" s="26">
        <f>C26/$C$40</f>
        <v/>
      </c>
    </row>
    <row r="27">
      <c r="B27" s="7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14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41">
      <c r="B29" s="7" t="inlineStr">
        <is>
          <t>Временные здания и сооружения - 3,9%</t>
        </is>
      </c>
      <c r="C29" s="25">
        <f>ROUND(C24*3.9%,2)</f>
        <v/>
      </c>
      <c r="D29" s="7" t="n"/>
      <c r="E29" s="26">
        <f>C29/$C$40</f>
        <v/>
      </c>
    </row>
    <row r="30" ht="38.25" customHeight="1" s="141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7" t="n"/>
      <c r="E30" s="26">
        <f>C30/$C$40</f>
        <v/>
      </c>
    </row>
    <row r="31">
      <c r="B31" s="7" t="inlineStr">
        <is>
          <t xml:space="preserve">Пусконаладочные работы </t>
        </is>
      </c>
      <c r="C31" s="25" t="n">
        <v>5553172.74</v>
      </c>
      <c r="D31" s="7" t="n"/>
      <c r="E31" s="26">
        <f>C31/$C$40</f>
        <v/>
      </c>
    </row>
    <row r="32" ht="25.5" customHeight="1" s="141">
      <c r="B32" s="7" t="inlineStr">
        <is>
          <t>Затраты по перевозке работников к месту работы и обратно</t>
        </is>
      </c>
      <c r="C32" s="25">
        <f>ROUND(C27*0%,2)</f>
        <v/>
      </c>
      <c r="D32" s="7" t="n"/>
      <c r="E32" s="26">
        <f>C32/$C$40</f>
        <v/>
      </c>
      <c r="G32" s="82" t="n"/>
    </row>
    <row r="33" ht="25.5" customHeight="1" s="141">
      <c r="B33" s="7" t="inlineStr">
        <is>
          <t>Затраты, связанные с осуществлением работ вахтовым методом</t>
        </is>
      </c>
      <c r="C33" s="25" t="n">
        <v>0</v>
      </c>
      <c r="D33" s="7" t="n"/>
      <c r="E33" s="26">
        <f>C33/$C$40</f>
        <v/>
      </c>
      <c r="G33" s="82" t="n"/>
    </row>
    <row r="34" ht="51" customHeight="1" s="14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7" t="n"/>
      <c r="E34" s="26">
        <f>C34/$C$40</f>
        <v/>
      </c>
      <c r="G34" s="82" t="n"/>
    </row>
    <row r="35" ht="76.5" customHeight="1" s="14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 t="n">
        <v>0</v>
      </c>
      <c r="D35" s="7" t="n"/>
      <c r="E35" s="26">
        <f>C35/$C$40</f>
        <v/>
      </c>
      <c r="G35" s="82" t="n"/>
    </row>
    <row r="36" ht="25.5" customHeight="1" s="141">
      <c r="B36" s="7" t="inlineStr">
        <is>
          <t>Строительный контроль и содержание службы заказчика - 2,14%</t>
        </is>
      </c>
      <c r="C36" s="25">
        <f>ROUND(SUM(C27:C35)*2.14%,2)</f>
        <v/>
      </c>
      <c r="D36" s="7" t="n"/>
      <c r="E36" s="26">
        <f>C36/$C$40</f>
        <v/>
      </c>
      <c r="G36" s="46" t="n"/>
      <c r="L36" s="18" t="n"/>
    </row>
    <row r="37">
      <c r="B37" s="7" t="inlineStr">
        <is>
          <t>Авторский надзор - 0,2%</t>
        </is>
      </c>
      <c r="C37" s="25">
        <f>ROUND(SUM(C27:C35)*0.2%,2)</f>
        <v/>
      </c>
      <c r="D37" s="7" t="n"/>
      <c r="E37" s="26">
        <f>C37/$C$40</f>
        <v/>
      </c>
      <c r="G37" s="46" t="n"/>
      <c r="L37" s="18" t="n"/>
    </row>
    <row r="38" ht="38.25" customHeight="1" s="141">
      <c r="B38" s="7" t="inlineStr">
        <is>
          <t>ИТОГО (СМР+ОБОРУДОВАНИЕ+ПРОЧ. ЗАТР., УЧТЕННЫЕ ПОКАЗАТЕЛЕМ)</t>
        </is>
      </c>
      <c r="C38" s="27">
        <f>SUM(C27:C37)</f>
        <v/>
      </c>
      <c r="D38" s="7" t="n"/>
      <c r="E38" s="26">
        <f>C38/$C$40</f>
        <v/>
      </c>
    </row>
    <row r="39" ht="13.5" customHeight="1" s="141">
      <c r="B39" s="7" t="inlineStr">
        <is>
          <t>Непредвиденные расходы - 3%</t>
        </is>
      </c>
      <c r="C39" s="27">
        <f>ROUND(C38*3%,2)</f>
        <v/>
      </c>
      <c r="D39" s="7" t="n"/>
      <c r="E39" s="26">
        <f>C39/$C$40</f>
        <v/>
      </c>
    </row>
    <row r="40">
      <c r="B40" s="7" t="inlineStr">
        <is>
          <t>ВСЕГО:</t>
        </is>
      </c>
      <c r="C40" s="27">
        <f>C39+C38</f>
        <v/>
      </c>
      <c r="D40" s="7" t="n"/>
      <c r="E40" s="26">
        <f>C40/$C$40</f>
        <v/>
      </c>
    </row>
    <row r="41">
      <c r="B41" s="7" t="inlineStr">
        <is>
          <t>ИТОГО ПОКАЗАТЕЛЬ НА ЕД. ИЗМ.</t>
        </is>
      </c>
      <c r="C41" s="27">
        <f>C40/'Прил.5 Расчет СМР и ОБ'!E85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49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49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92"/>
  <sheetViews>
    <sheetView view="pageBreakPreview" topLeftCell="A61" zoomScale="85" zoomScaleSheetLayoutView="85" workbookViewId="0">
      <selection activeCell="C88" sqref="C88"/>
    </sheetView>
  </sheetViews>
  <sheetFormatPr baseColWidth="8" defaultColWidth="9.140625" defaultRowHeight="15" outlineLevelRow="1"/>
  <cols>
    <col width="5.7109375" customWidth="1" style="1" min="1" max="1"/>
    <col width="22.57031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2.85546875" customWidth="1" style="1" min="11" max="11"/>
    <col width="10.7109375" customWidth="1" style="1" min="12" max="12"/>
    <col width="10.85546875" customWidth="1" style="1" min="13" max="13"/>
    <col width="9.140625" customWidth="1" style="1" min="14" max="14"/>
  </cols>
  <sheetData>
    <row r="2" ht="15.75" customHeight="1" s="141">
      <c r="I2" s="132" t="n"/>
      <c r="J2" s="47" t="inlineStr">
        <is>
          <t>Приложение №5</t>
        </is>
      </c>
    </row>
    <row r="4" ht="12.75" customFormat="1" customHeight="1" s="6">
      <c r="A4" s="170" t="inlineStr">
        <is>
          <t>Расчет стоимости СМР и оборудования</t>
        </is>
      </c>
      <c r="I4" s="170" t="n"/>
      <c r="J4" s="170" t="n"/>
    </row>
    <row r="5" ht="12.75" customFormat="1" customHeight="1" s="6">
      <c r="A5" s="170" t="n"/>
      <c r="B5" s="170" t="n"/>
      <c r="C5" s="170" t="n"/>
      <c r="D5" s="170" t="n"/>
      <c r="E5" s="170" t="n"/>
      <c r="F5" s="170" t="n"/>
      <c r="G5" s="170" t="n"/>
      <c r="H5" s="170" t="n"/>
      <c r="I5" s="170" t="n"/>
      <c r="J5" s="170" t="n"/>
    </row>
    <row r="6" ht="41.25" customFormat="1" customHeight="1" s="6">
      <c r="A6" s="75" t="inlineStr">
        <is>
          <t>Наименование разрабатываемого показателя УНЦ</t>
        </is>
      </c>
      <c r="B6" s="76" t="n"/>
      <c r="C6" s="76" t="n"/>
      <c r="D6" s="186" t="inlineStr">
        <is>
          <t>Создание/модернизация АСУТП (1 архитектуры) на ПС 220 кВ с количеством присоединений класса напряжения 35 кВ и выше: 16-20</t>
        </is>
      </c>
    </row>
    <row r="7" ht="12.75" customFormat="1" customHeight="1" s="6">
      <c r="A7" s="186">
        <f>'Прил.1 Сравнит табл'!B9</f>
        <v/>
      </c>
      <c r="I7" s="171" t="n"/>
      <c r="J7" s="171" t="n"/>
    </row>
    <row r="8" ht="12.75" customFormat="1" customHeight="1" s="6"/>
    <row r="9" ht="27" customHeight="1" s="141">
      <c r="A9" s="173" t="inlineStr">
        <is>
          <t>№ пп.</t>
        </is>
      </c>
      <c r="B9" s="173" t="inlineStr">
        <is>
          <t>Код ресурса</t>
        </is>
      </c>
      <c r="C9" s="173" t="inlineStr">
        <is>
          <t>Наименование</t>
        </is>
      </c>
      <c r="D9" s="173" t="inlineStr">
        <is>
          <t>Ед. изм.</t>
        </is>
      </c>
      <c r="E9" s="173" t="inlineStr">
        <is>
          <t>Кол-во единиц по проектным данным</t>
        </is>
      </c>
      <c r="F9" s="173" t="inlineStr">
        <is>
          <t>Сметная стоимость в ценах на 01.01.2000 (руб.)</t>
        </is>
      </c>
      <c r="G9" s="199" t="n"/>
      <c r="H9" s="173" t="inlineStr">
        <is>
          <t>Удельный вес, %</t>
        </is>
      </c>
      <c r="I9" s="173" t="inlineStr">
        <is>
          <t>Сметная стоимость в ценах на 01.01.2023 (руб.)</t>
        </is>
      </c>
      <c r="J9" s="199" t="n"/>
    </row>
    <row r="10" ht="28.5" customHeight="1" s="141">
      <c r="A10" s="201" t="n"/>
      <c r="B10" s="201" t="n"/>
      <c r="C10" s="201" t="n"/>
      <c r="D10" s="201" t="n"/>
      <c r="E10" s="201" t="n"/>
      <c r="F10" s="173" t="inlineStr">
        <is>
          <t>на ед. изм.</t>
        </is>
      </c>
      <c r="G10" s="173" t="inlineStr">
        <is>
          <t>общая</t>
        </is>
      </c>
      <c r="H10" s="201" t="n"/>
      <c r="I10" s="173" t="inlineStr">
        <is>
          <t>на ед. изм.</t>
        </is>
      </c>
      <c r="J10" s="173" t="inlineStr">
        <is>
          <t>общая</t>
        </is>
      </c>
    </row>
    <row r="11">
      <c r="A11" s="173" t="n">
        <v>1</v>
      </c>
      <c r="B11" s="173" t="n">
        <v>2</v>
      </c>
      <c r="C11" s="173" t="n">
        <v>3</v>
      </c>
      <c r="D11" s="173" t="n">
        <v>4</v>
      </c>
      <c r="E11" s="173" t="n">
        <v>5</v>
      </c>
      <c r="F11" s="173" t="n">
        <v>6</v>
      </c>
      <c r="G11" s="173" t="n">
        <v>7</v>
      </c>
      <c r="H11" s="173" t="n">
        <v>8</v>
      </c>
      <c r="I11" s="173" t="n">
        <v>9</v>
      </c>
      <c r="J11" s="173" t="n">
        <v>10</v>
      </c>
      <c r="L11" s="44" t="n"/>
    </row>
    <row r="12">
      <c r="A12" s="173" t="n"/>
      <c r="B12" s="187" t="inlineStr">
        <is>
          <t>Затраты труда рабочих-строителей</t>
        </is>
      </c>
      <c r="C12" s="198" t="n"/>
      <c r="D12" s="198" t="n"/>
      <c r="E12" s="198" t="n"/>
      <c r="F12" s="198" t="n"/>
      <c r="G12" s="198" t="n"/>
      <c r="H12" s="199" t="n"/>
      <c r="I12" s="30" t="n"/>
      <c r="J12" s="30" t="n"/>
      <c r="L12" s="204" t="n"/>
    </row>
    <row r="13" ht="25.5" customHeight="1" s="141">
      <c r="A13" s="173" t="n">
        <v>1</v>
      </c>
      <c r="B13" s="145" t="inlineStr">
        <is>
          <t>1-3-7</t>
        </is>
      </c>
      <c r="C13" s="178" t="inlineStr">
        <is>
          <t>Затраты труда рабочих-строителей среднего разряда (3,7)</t>
        </is>
      </c>
      <c r="D13" s="173" t="inlineStr">
        <is>
          <t>чел.-ч.</t>
        </is>
      </c>
      <c r="E13" s="205">
        <f>G13/F13</f>
        <v/>
      </c>
      <c r="F13" s="150" t="n">
        <v>9.289999999999999</v>
      </c>
      <c r="G13" s="150">
        <f>Прил.3!H12</f>
        <v/>
      </c>
      <c r="H13" s="188">
        <f>G13/G14</f>
        <v/>
      </c>
      <c r="I13" s="150">
        <f>ФОТр.тек.!E13</f>
        <v/>
      </c>
      <c r="J13" s="150">
        <f>ROUND(I13*E13,2)</f>
        <v/>
      </c>
    </row>
    <row r="14" ht="25.5" customFormat="1" customHeight="1" s="1">
      <c r="A14" s="173" t="n"/>
      <c r="B14" s="173" t="n"/>
      <c r="C14" s="187" t="inlineStr">
        <is>
          <t>Итого по разделу "Затраты труда рабочих-строителей"</t>
        </is>
      </c>
      <c r="D14" s="173" t="inlineStr">
        <is>
          <t>чел.-ч.</t>
        </is>
      </c>
      <c r="E14" s="205">
        <f>SUM(E13:E13)</f>
        <v/>
      </c>
      <c r="F14" s="150" t="n"/>
      <c r="G14" s="150">
        <f>SUM(G13:G13)</f>
        <v/>
      </c>
      <c r="H14" s="188" t="n">
        <v>1</v>
      </c>
      <c r="I14" s="150" t="n"/>
      <c r="J14" s="150">
        <f>SUM(J13:J13)</f>
        <v/>
      </c>
      <c r="L14" s="51" t="n"/>
    </row>
    <row r="15" ht="14.25" customFormat="1" customHeight="1" s="1">
      <c r="A15" s="173" t="n"/>
      <c r="B15" s="178" t="inlineStr">
        <is>
          <t>Затраты труда машинистов</t>
        </is>
      </c>
      <c r="C15" s="198" t="n"/>
      <c r="D15" s="198" t="n"/>
      <c r="E15" s="198" t="n"/>
      <c r="F15" s="198" t="n"/>
      <c r="G15" s="198" t="n"/>
      <c r="H15" s="199" t="n"/>
      <c r="I15" s="30" t="n"/>
      <c r="J15" s="30" t="n"/>
      <c r="L15" s="204" t="n"/>
    </row>
    <row r="16" ht="14.25" customFormat="1" customHeight="1" s="1">
      <c r="A16" s="173" t="n">
        <v>2</v>
      </c>
      <c r="B16" s="173" t="n">
        <v>2</v>
      </c>
      <c r="C16" s="178" t="inlineStr">
        <is>
          <t>Затраты труда машинистов</t>
        </is>
      </c>
      <c r="D16" s="173" t="inlineStr">
        <is>
          <t>чел.-ч.</t>
        </is>
      </c>
      <c r="E16" s="205">
        <f>Прил.3!F18</f>
        <v/>
      </c>
      <c r="F16" s="150">
        <f>G16/E16</f>
        <v/>
      </c>
      <c r="G16" s="150">
        <f>Прил.3!H18</f>
        <v/>
      </c>
      <c r="H16" s="188" t="n">
        <v>1</v>
      </c>
      <c r="I16" s="150">
        <f>ROUND(F16*Прил.10!D10,2)</f>
        <v/>
      </c>
      <c r="J16" s="150">
        <f>ROUND(I16*E16,2)</f>
        <v/>
      </c>
      <c r="L16" s="44" t="n"/>
    </row>
    <row r="17" ht="14.25" customFormat="1" customHeight="1" s="1">
      <c r="A17" s="173" t="n"/>
      <c r="B17" s="187" t="inlineStr">
        <is>
          <t>Машины и механизмы</t>
        </is>
      </c>
      <c r="C17" s="198" t="n"/>
      <c r="D17" s="198" t="n"/>
      <c r="E17" s="198" t="n"/>
      <c r="F17" s="198" t="n"/>
      <c r="G17" s="198" t="n"/>
      <c r="H17" s="199" t="n"/>
      <c r="I17" s="188" t="n"/>
      <c r="J17" s="188" t="n"/>
    </row>
    <row r="18" ht="14.25" customFormat="1" customHeight="1" s="1">
      <c r="A18" s="173" t="n"/>
      <c r="B18" s="178" t="inlineStr">
        <is>
          <t>Основные машины и механизмы</t>
        </is>
      </c>
      <c r="C18" s="198" t="n"/>
      <c r="D18" s="198" t="n"/>
      <c r="E18" s="198" t="n"/>
      <c r="F18" s="198" t="n"/>
      <c r="G18" s="198" t="n"/>
      <c r="H18" s="199" t="n"/>
      <c r="I18" s="30" t="n"/>
      <c r="J18" s="30" t="n"/>
    </row>
    <row r="19" ht="25.5" customFormat="1" customHeight="1" s="1">
      <c r="A19" s="173" t="n">
        <v>3</v>
      </c>
      <c r="B19" s="145" t="inlineStr">
        <is>
          <t>91.05.05-015</t>
        </is>
      </c>
      <c r="C19" s="178" t="inlineStr">
        <is>
          <t>Краны на автомобильном ходу, грузоподъемность 16 т</t>
        </is>
      </c>
      <c r="D19" s="173" t="inlineStr">
        <is>
          <t>маш.час</t>
        </is>
      </c>
      <c r="E19" s="205" t="n">
        <v>37.52</v>
      </c>
      <c r="F19" s="192" t="n">
        <v>115.4</v>
      </c>
      <c r="G19" s="150">
        <f>ROUND(E19*F19,2)</f>
        <v/>
      </c>
      <c r="H19" s="188">
        <f>G19/$G$27</f>
        <v/>
      </c>
      <c r="I19" s="150">
        <f>ROUND(F19*Прил.10!$D$11,2)</f>
        <v/>
      </c>
      <c r="J19" s="150">
        <f>ROUND(I19*E19,2)</f>
        <v/>
      </c>
    </row>
    <row r="20" ht="25.5" customFormat="1" customHeight="1" s="1">
      <c r="A20" s="173" t="n">
        <v>4</v>
      </c>
      <c r="B20" s="145" t="inlineStr">
        <is>
          <t>91.14.02-001</t>
        </is>
      </c>
      <c r="C20" s="178" t="inlineStr">
        <is>
          <t>Автомобили бортовые, грузоподъемность до 5 т</t>
        </is>
      </c>
      <c r="D20" s="173" t="inlineStr">
        <is>
          <t>маш.час</t>
        </is>
      </c>
      <c r="E20" s="205" t="n">
        <v>37.22</v>
      </c>
      <c r="F20" s="192" t="n">
        <v>65.70999999999999</v>
      </c>
      <c r="G20" s="150">
        <f>ROUND(E20*F20,2)</f>
        <v/>
      </c>
      <c r="H20" s="188">
        <f>G20/$G$27</f>
        <v/>
      </c>
      <c r="I20" s="150">
        <f>ROUND(F20*Прил.10!$D$11,2)</f>
        <v/>
      </c>
      <c r="J20" s="150">
        <f>ROUND(I20*E20,2)</f>
        <v/>
      </c>
    </row>
    <row r="21" ht="14.25" customFormat="1" customHeight="1" s="1">
      <c r="B21" s="173" t="n"/>
      <c r="C21" s="178" t="inlineStr">
        <is>
          <t>Итого основные машины и механизмы</t>
        </is>
      </c>
      <c r="D21" s="173" t="n"/>
      <c r="E21" s="206" t="n"/>
      <c r="F21" s="150" t="n"/>
      <c r="G21" s="150">
        <f>SUM(G19:G20)</f>
        <v/>
      </c>
      <c r="H21" s="188">
        <f>G21/G27</f>
        <v/>
      </c>
      <c r="I21" s="150" t="n"/>
      <c r="J21" s="150">
        <f>SUM(J19:J20)</f>
        <v/>
      </c>
      <c r="L21" s="204" t="n"/>
    </row>
    <row r="22" outlineLevel="1" ht="25.5" customFormat="1" customHeight="1" s="1">
      <c r="A22" s="173" t="n">
        <v>5</v>
      </c>
      <c r="B22" s="145" t="inlineStr">
        <is>
          <t>91.06.03-061</t>
        </is>
      </c>
      <c r="C22" s="178" t="inlineStr">
        <is>
          <t>Лебедки электрические тяговым усилием до 12,26 кН (1,25 т)</t>
        </is>
      </c>
      <c r="D22" s="173" t="inlineStr">
        <is>
          <t>маш.час</t>
        </is>
      </c>
      <c r="E22" s="205" t="n">
        <v>239.12</v>
      </c>
      <c r="F22" s="192" t="n">
        <v>3.28</v>
      </c>
      <c r="G22" s="150">
        <f>ROUND(E22*F22,2)</f>
        <v/>
      </c>
      <c r="H22" s="188">
        <f>G22/$G$27</f>
        <v/>
      </c>
      <c r="I22" s="150">
        <f>ROUND(F22*Прил.10!$D$11,2)</f>
        <v/>
      </c>
      <c r="J22" s="150">
        <f>ROUND(I22*E22,2)</f>
        <v/>
      </c>
      <c r="L22" s="204" t="n"/>
    </row>
    <row r="23" outlineLevel="1" ht="25.5" customFormat="1" customHeight="1" s="1">
      <c r="A23" s="173" t="n">
        <v>6</v>
      </c>
      <c r="B23" s="145" t="inlineStr">
        <is>
          <t>91.06.01-003</t>
        </is>
      </c>
      <c r="C23" s="178" t="inlineStr">
        <is>
          <t>Домкраты гидравлические, грузоподъемность 63-100 т</t>
        </is>
      </c>
      <c r="D23" s="173" t="inlineStr">
        <is>
          <t>маш.час</t>
        </is>
      </c>
      <c r="E23" s="205" t="n">
        <v>239.12</v>
      </c>
      <c r="F23" s="192" t="n">
        <v>0.9</v>
      </c>
      <c r="G23" s="150">
        <f>ROUND(E23*F23,2)</f>
        <v/>
      </c>
      <c r="H23" s="188">
        <f>G23/$G$27</f>
        <v/>
      </c>
      <c r="I23" s="150">
        <f>ROUND(F23*Прил.10!$D$11,2)</f>
        <v/>
      </c>
      <c r="J23" s="150">
        <f>ROUND(I23*E23,2)</f>
        <v/>
      </c>
      <c r="L23" s="204" t="n"/>
    </row>
    <row r="24" outlineLevel="1" ht="14.25" customFormat="1" customHeight="1" s="1">
      <c r="A24" s="173" t="n">
        <v>7</v>
      </c>
      <c r="B24" s="145" t="inlineStr">
        <is>
          <t>91.21.19-031</t>
        </is>
      </c>
      <c r="C24" s="178" t="inlineStr">
        <is>
          <t>Станки сверлильные</t>
        </is>
      </c>
      <c r="D24" s="173" t="inlineStr">
        <is>
          <t>маш.час</t>
        </is>
      </c>
      <c r="E24" s="205" t="n">
        <v>13.8</v>
      </c>
      <c r="F24" s="192" t="n">
        <v>2.36</v>
      </c>
      <c r="G24" s="150">
        <f>ROUND(E24*F24,2)</f>
        <v/>
      </c>
      <c r="H24" s="188">
        <f>G24/$G$27</f>
        <v/>
      </c>
      <c r="I24" s="150">
        <f>ROUND(F24*Прил.10!$D$11,2)</f>
        <v/>
      </c>
      <c r="J24" s="150">
        <f>ROUND(I24*E24,2)</f>
        <v/>
      </c>
      <c r="L24" s="204" t="n"/>
    </row>
    <row r="25" outlineLevel="1" ht="25.5" customFormat="1" customHeight="1" s="1">
      <c r="A25" s="173" t="n">
        <v>8</v>
      </c>
      <c r="B25" s="145" t="inlineStr">
        <is>
          <t>91.17.04-233</t>
        </is>
      </c>
      <c r="C25" s="178" t="inlineStr">
        <is>
          <t>Установки для сварки ручной дуговой (постоянного тока)</t>
        </is>
      </c>
      <c r="D25" s="173" t="inlineStr">
        <is>
          <t>маш.час</t>
        </is>
      </c>
      <c r="E25" s="205" t="n">
        <v>3</v>
      </c>
      <c r="F25" s="192" t="n">
        <v>8.1</v>
      </c>
      <c r="G25" s="150">
        <f>ROUND(E25*F25,2)</f>
        <v/>
      </c>
      <c r="H25" s="188">
        <f>G25/$G$27</f>
        <v/>
      </c>
      <c r="I25" s="150">
        <f>ROUND(F25*Прил.10!$D$11,2)</f>
        <v/>
      </c>
      <c r="J25" s="150">
        <f>ROUND(I25*E25,2)</f>
        <v/>
      </c>
      <c r="L25" s="204" t="n"/>
    </row>
    <row r="26" ht="14.25" customFormat="1" customHeight="1" s="1">
      <c r="A26" s="173" t="n"/>
      <c r="B26" s="145" t="n"/>
      <c r="C26" s="178" t="inlineStr">
        <is>
          <t>Итого прочие машины и механизмы</t>
        </is>
      </c>
      <c r="D26" s="173" t="n"/>
      <c r="E26" s="205" t="n"/>
      <c r="F26" s="192" t="n"/>
      <c r="G26" s="150">
        <f>SUM(G22:G25)</f>
        <v/>
      </c>
      <c r="H26" s="188">
        <f>G26/G27</f>
        <v/>
      </c>
      <c r="I26" s="150" t="n"/>
      <c r="J26" s="150">
        <f>SUM(J22:J25)</f>
        <v/>
      </c>
      <c r="K26" s="207" t="n"/>
      <c r="L26" s="204" t="n"/>
    </row>
    <row r="27" ht="25.5" customFormat="1" customHeight="1" s="1">
      <c r="A27" s="173" t="n"/>
      <c r="B27" s="174" t="n"/>
      <c r="C27" s="182" t="inlineStr">
        <is>
          <t>Итого по разделу «Машины и механизмы»</t>
        </is>
      </c>
      <c r="D27" s="174" t="n"/>
      <c r="E27" s="39" t="n"/>
      <c r="F27" s="157" t="n"/>
      <c r="G27" s="157">
        <f>G21+G26</f>
        <v/>
      </c>
      <c r="H27" s="158" t="n">
        <v>1</v>
      </c>
      <c r="I27" s="157" t="n"/>
      <c r="J27" s="157">
        <f>J21+J26</f>
        <v/>
      </c>
    </row>
    <row r="28">
      <c r="A28" s="53" t="n"/>
      <c r="B28" s="182" t="inlineStr">
        <is>
          <t xml:space="preserve">Оборудование </t>
        </is>
      </c>
      <c r="C28" s="208" t="n"/>
      <c r="D28" s="208" t="n"/>
      <c r="E28" s="208" t="n"/>
      <c r="F28" s="208" t="n"/>
      <c r="G28" s="208" t="n"/>
      <c r="H28" s="208" t="n"/>
      <c r="I28" s="208" t="n"/>
      <c r="J28" s="209" t="n"/>
    </row>
    <row r="29" ht="15" customHeight="1" s="141">
      <c r="A29" s="173" t="n"/>
      <c r="B29" s="178" t="inlineStr">
        <is>
          <t>Основное оборудование</t>
        </is>
      </c>
      <c r="C29" s="198" t="n"/>
      <c r="D29" s="198" t="n"/>
      <c r="E29" s="198" t="n"/>
      <c r="F29" s="198" t="n"/>
      <c r="G29" s="198" t="n"/>
      <c r="H29" s="198" t="n"/>
      <c r="I29" s="198" t="n"/>
      <c r="J29" s="199" t="n"/>
    </row>
    <row r="30" ht="25.5" customHeight="1" s="141">
      <c r="A30" s="173" t="n">
        <v>9</v>
      </c>
      <c r="B30" s="145" t="inlineStr">
        <is>
          <t>БЦ.33.13</t>
        </is>
      </c>
      <c r="C30" s="178" t="inlineStr">
        <is>
          <t>Шкаф сетевой коммутации с четырьмя коммутаторами и двумя серверами СОЕВ</t>
        </is>
      </c>
      <c r="D30" s="173" t="inlineStr">
        <is>
          <t>шт</t>
        </is>
      </c>
      <c r="E30" s="205" t="n">
        <v>4</v>
      </c>
      <c r="F30" s="180">
        <f>ROUND(I30/Прил.10!$D$13,2)</f>
        <v/>
      </c>
      <c r="G30" s="150">
        <f>ROUND(E30*F30,2)</f>
        <v/>
      </c>
      <c r="H30" s="188">
        <f>G30/$G$39</f>
        <v/>
      </c>
      <c r="I30" s="150" t="n">
        <v>8100000</v>
      </c>
      <c r="J30" s="150">
        <f>ROUND(I30*E30,2)</f>
        <v/>
      </c>
    </row>
    <row r="31">
      <c r="A31" s="173" t="n">
        <v>10</v>
      </c>
      <c r="B31" s="145" t="inlineStr">
        <is>
          <t>БЦ.33.12</t>
        </is>
      </c>
      <c r="C31" s="178" t="inlineStr">
        <is>
          <t>Шкаф серверного оборудования 2 тип</t>
        </is>
      </c>
      <c r="D31" s="173" t="inlineStr">
        <is>
          <t>шт</t>
        </is>
      </c>
      <c r="E31" s="205" t="n">
        <v>1</v>
      </c>
      <c r="F31" s="180">
        <f>ROUND(I31/Прил.10!$D$13,2)</f>
        <v/>
      </c>
      <c r="G31" s="150">
        <f>ROUND(E31*F31,2)</f>
        <v/>
      </c>
      <c r="H31" s="188">
        <f>G31/$G$39</f>
        <v/>
      </c>
      <c r="I31" s="150" t="n">
        <v>17265015</v>
      </c>
      <c r="J31" s="150">
        <f>ROUND(I31*E31,2)</f>
        <v/>
      </c>
    </row>
    <row r="32">
      <c r="A32" s="173" t="n">
        <v>11</v>
      </c>
      <c r="B32" s="145" t="inlineStr">
        <is>
          <t>БЦ.33.11</t>
        </is>
      </c>
      <c r="C32" s="178" t="inlineStr">
        <is>
          <t>Шкаф серверного оборудования 1 тип</t>
        </is>
      </c>
      <c r="D32" s="173" t="inlineStr">
        <is>
          <t>шт</t>
        </is>
      </c>
      <c r="E32" s="205" t="n">
        <v>1</v>
      </c>
      <c r="F32" s="180">
        <f>ROUND(I32/Прил.10!$D$13,2)</f>
        <v/>
      </c>
      <c r="G32" s="150">
        <f>ROUND(E32*F32,2)</f>
        <v/>
      </c>
      <c r="H32" s="188">
        <f>G32/$G$39</f>
        <v/>
      </c>
      <c r="I32" s="150" t="n">
        <v>16590015</v>
      </c>
      <c r="J32" s="150">
        <f>ROUND(I32*E32,2)</f>
        <v/>
      </c>
    </row>
    <row r="33" ht="38.25" customHeight="1" s="141">
      <c r="A33" s="173" t="n">
        <v>12</v>
      </c>
      <c r="B33" s="145" t="inlineStr">
        <is>
          <t>БЦ.34.16</t>
        </is>
      </c>
      <c r="C33" s="178" t="inlineStr">
        <is>
          <t>Шкаф на 222 дискретных входов и 64 дискретных выхода для подключения устройств РЗА</t>
        </is>
      </c>
      <c r="D33" s="173" t="inlineStr">
        <is>
          <t>шт</t>
        </is>
      </c>
      <c r="E33" s="205" t="n">
        <v>8</v>
      </c>
      <c r="F33" s="180">
        <f>ROUND(I33/Прил.10!$D$13,2)</f>
        <v/>
      </c>
      <c r="G33" s="150">
        <f>ROUND(E33*F33,2)</f>
        <v/>
      </c>
      <c r="H33" s="188">
        <f>G33/$G$39</f>
        <v/>
      </c>
      <c r="I33" s="150" t="n">
        <v>2100000</v>
      </c>
      <c r="J33" s="150">
        <f>ROUND(I33*E33,2)</f>
        <v/>
      </c>
    </row>
    <row r="34">
      <c r="A34" s="54" t="n"/>
      <c r="B34" s="173" t="n"/>
      <c r="C34" s="178" t="inlineStr">
        <is>
          <t>Итого основное оборудование</t>
        </is>
      </c>
      <c r="D34" s="173" t="n"/>
      <c r="E34" s="205" t="n"/>
      <c r="F34" s="180" t="n"/>
      <c r="G34" s="150">
        <f>SUM(G30:G33)</f>
        <v/>
      </c>
      <c r="H34" s="188">
        <f>G34/$G$39</f>
        <v/>
      </c>
      <c r="I34" s="150" t="n"/>
      <c r="J34" s="150">
        <f>SUM(J30:J33)</f>
        <v/>
      </c>
      <c r="K34" s="207" t="n"/>
    </row>
    <row r="35" outlineLevel="1" ht="25.5" customHeight="1" s="141">
      <c r="A35" s="173" t="n">
        <v>13</v>
      </c>
      <c r="B35" s="173" t="inlineStr">
        <is>
          <t>БЦ.33.21</t>
        </is>
      </c>
      <c r="C35" s="178" t="inlineStr">
        <is>
          <t>Шкаф измерительных преобразователей с кол-вом ИП: 20 шт</t>
        </is>
      </c>
      <c r="D35" s="173" t="inlineStr">
        <is>
          <t>шт</t>
        </is>
      </c>
      <c r="E35" s="205" t="n">
        <v>1</v>
      </c>
      <c r="F35" s="180">
        <f>ROUND(I35/Прил.10!$D$13,2)</f>
        <v/>
      </c>
      <c r="G35" s="150">
        <f>ROUND(E35*F35,2)</f>
        <v/>
      </c>
      <c r="H35" s="188">
        <f>G35/$G$39</f>
        <v/>
      </c>
      <c r="I35" s="150" t="n">
        <v>6000000</v>
      </c>
      <c r="J35" s="150">
        <f>ROUND(I35*E35,2)</f>
        <v/>
      </c>
    </row>
    <row r="36" outlineLevel="1" s="141">
      <c r="A36" s="173" t="n">
        <v>14</v>
      </c>
      <c r="B36" s="173" t="inlineStr">
        <is>
          <t>БЦ.33.26</t>
        </is>
      </c>
      <c r="C36" s="178" t="inlineStr">
        <is>
          <t>Ноутбук</t>
        </is>
      </c>
      <c r="D36" s="173" t="inlineStr">
        <is>
          <t>шт</t>
        </is>
      </c>
      <c r="E36" s="205" t="n">
        <v>1</v>
      </c>
      <c r="F36" s="180">
        <f>ROUND(I36/Прил.10!$D$13,2)</f>
        <v/>
      </c>
      <c r="G36" s="150">
        <f>ROUND(E36*F36,2)</f>
        <v/>
      </c>
      <c r="H36" s="188">
        <f>G36/$G$39</f>
        <v/>
      </c>
      <c r="I36" s="150" t="n">
        <v>229564.8</v>
      </c>
      <c r="J36" s="150">
        <f>ROUND(I36*E36,2)</f>
        <v/>
      </c>
    </row>
    <row r="37" outlineLevel="1" ht="25.5" customHeight="1" s="141">
      <c r="A37" s="173" t="n">
        <v>15</v>
      </c>
      <c r="B37" s="173" t="inlineStr">
        <is>
          <t>61.3.05.02-0001</t>
        </is>
      </c>
      <c r="C37" s="178" t="inlineStr">
        <is>
          <t>Монитор LCD с диагональю экрана 22 дюйма HP LP2275w</t>
        </is>
      </c>
      <c r="D37" s="173" t="inlineStr">
        <is>
          <t>шт</t>
        </is>
      </c>
      <c r="E37" s="205" t="n">
        <v>2</v>
      </c>
      <c r="F37" s="180" t="n">
        <v>6695.11</v>
      </c>
      <c r="G37" s="150">
        <f>ROUND(E37*F37,2)</f>
        <v/>
      </c>
      <c r="H37" s="188">
        <f>G37/$G$39</f>
        <v/>
      </c>
      <c r="I37" s="150">
        <f>F37*Прил.10!D13</f>
        <v/>
      </c>
      <c r="J37" s="150">
        <f>ROUND(I37*E37,2)</f>
        <v/>
      </c>
    </row>
    <row r="38">
      <c r="A38" s="54" t="n"/>
      <c r="B38" s="173" t="n"/>
      <c r="C38" s="178" t="inlineStr">
        <is>
          <t>Итого прочее оборудование</t>
        </is>
      </c>
      <c r="D38" s="173" t="n"/>
      <c r="E38" s="179" t="n"/>
      <c r="F38" s="180" t="n"/>
      <c r="G38" s="150">
        <f>SUM(G35:G37)</f>
        <v/>
      </c>
      <c r="H38" s="188">
        <f>G38/$G$39</f>
        <v/>
      </c>
      <c r="I38" s="150" t="n"/>
      <c r="J38" s="150">
        <f>SUM(J35:J37)</f>
        <v/>
      </c>
      <c r="K38" s="207" t="n"/>
      <c r="L38" s="210" t="n"/>
    </row>
    <row r="39">
      <c r="A39" s="173" t="n"/>
      <c r="B39" s="173" t="n"/>
      <c r="C39" s="187" t="inlineStr">
        <is>
          <t>Итого по разделу «Оборудование»</t>
        </is>
      </c>
      <c r="D39" s="173" t="n"/>
      <c r="E39" s="179" t="n"/>
      <c r="F39" s="180" t="n"/>
      <c r="G39" s="150">
        <f>G34+G38</f>
        <v/>
      </c>
      <c r="H39" s="188">
        <f>(G34+G38)/G39</f>
        <v/>
      </c>
      <c r="I39" s="150" t="n"/>
      <c r="J39" s="150">
        <f>J38+J34</f>
        <v/>
      </c>
      <c r="K39" s="207" t="n"/>
    </row>
    <row r="40" ht="25.5" customHeight="1" s="141">
      <c r="A40" s="173" t="n"/>
      <c r="B40" s="173" t="n"/>
      <c r="C40" s="178" t="inlineStr">
        <is>
          <t>в том числе технологическое оборудование</t>
        </is>
      </c>
      <c r="D40" s="173" t="n"/>
      <c r="E40" s="179" t="n"/>
      <c r="F40" s="180" t="n"/>
      <c r="G40" s="150">
        <f>'Прил.6 Расчет ОБ'!G21</f>
        <v/>
      </c>
      <c r="H40" s="188">
        <f>G40/$G$39</f>
        <v/>
      </c>
      <c r="I40" s="150" t="n"/>
      <c r="J40" s="150">
        <f>ROUND(G40*Прил.10!$D$13,2)</f>
        <v/>
      </c>
      <c r="K40" s="207" t="n"/>
    </row>
    <row r="41" ht="14.25" customFormat="1" customHeight="1" s="1">
      <c r="A41" s="175" t="n"/>
      <c r="B41" s="211" t="inlineStr">
        <is>
          <t>Материалы</t>
        </is>
      </c>
      <c r="J41" s="212" t="n"/>
      <c r="K41" s="207" t="n"/>
    </row>
    <row r="42" ht="14.25" customFormat="1" customHeight="1" s="1">
      <c r="A42" s="173" t="n"/>
      <c r="B42" s="178" t="inlineStr">
        <is>
          <t>Основные материалы</t>
        </is>
      </c>
      <c r="C42" s="198" t="n"/>
      <c r="D42" s="198" t="n"/>
      <c r="E42" s="198" t="n"/>
      <c r="F42" s="198" t="n"/>
      <c r="G42" s="198" t="n"/>
      <c r="H42" s="199" t="n"/>
      <c r="I42" s="188" t="n"/>
      <c r="J42" s="188" t="n"/>
    </row>
    <row r="43" ht="25.5" customFormat="1" customHeight="1" s="1">
      <c r="A43" s="173" t="n">
        <v>16</v>
      </c>
      <c r="B43" s="173">
        <f>B44</f>
        <v/>
      </c>
      <c r="C43" s="173">
        <f>C44</f>
        <v/>
      </c>
      <c r="D43" s="173">
        <f>D44</f>
        <v/>
      </c>
      <c r="E43" s="205">
        <f>G43/F43</f>
        <v/>
      </c>
      <c r="F43" s="192">
        <f>F44</f>
        <v/>
      </c>
      <c r="G43" s="150">
        <f>G44+G45+G46</f>
        <v/>
      </c>
      <c r="H43" s="188">
        <f>G43/$G$79</f>
        <v/>
      </c>
      <c r="I43" s="150">
        <f>ROUND(F43*Прил.10!$D$12,2)</f>
        <v/>
      </c>
      <c r="J43" s="150">
        <f>ROUND(I43*E43,2)</f>
        <v/>
      </c>
    </row>
    <row r="44" hidden="1" outlineLevel="1" ht="25.5" customFormat="1" customHeight="1" s="91">
      <c r="A44" s="89" t="n"/>
      <c r="B44" s="145" t="inlineStr">
        <is>
          <t>21.1.08.03-0597</t>
        </is>
      </c>
      <c r="C44" s="178" t="inlineStr">
        <is>
          <t>Кабель контрольный КВВГЭнг(A)-LS 27х1,5</t>
        </is>
      </c>
      <c r="D44" s="173" t="inlineStr">
        <is>
          <t>1000 м</t>
        </is>
      </c>
      <c r="E44" s="205" t="n">
        <v>4.08</v>
      </c>
      <c r="F44" s="192" t="n">
        <v>108386.87</v>
      </c>
      <c r="G44" s="150">
        <f>ROUND(E44*F44,2)</f>
        <v/>
      </c>
      <c r="H44" s="188">
        <f>G44/$G$79</f>
        <v/>
      </c>
      <c r="I44" s="90" t="n"/>
      <c r="J44" s="90" t="n"/>
    </row>
    <row r="45" hidden="1" outlineLevel="1" ht="25.5" customFormat="1" customHeight="1" s="91">
      <c r="A45" s="92" t="n"/>
      <c r="B45" s="152" t="inlineStr">
        <is>
          <t>21.1.08.03-0594</t>
        </is>
      </c>
      <c r="C45" s="153" t="inlineStr">
        <is>
          <t>Кабель контрольный КВВГЭнг(A)-LS 19х1,5</t>
        </is>
      </c>
      <c r="D45" s="174" t="inlineStr">
        <is>
          <t>1000 м</t>
        </is>
      </c>
      <c r="E45" s="213" t="n">
        <v>4.08</v>
      </c>
      <c r="F45" s="156" t="n">
        <v>83256.13</v>
      </c>
      <c r="G45" s="157">
        <f>ROUND(E45*F45,2)</f>
        <v/>
      </c>
      <c r="H45" s="158">
        <f>G45/$G$79</f>
        <v/>
      </c>
      <c r="I45" s="93" t="n"/>
      <c r="J45" s="93" t="n"/>
    </row>
    <row r="46" hidden="1" outlineLevel="1" ht="14.25" customFormat="1" customHeight="1" s="91">
      <c r="A46" s="89" t="n"/>
      <c r="B46" s="145" t="inlineStr">
        <is>
          <t>21.1.08.03-0579</t>
        </is>
      </c>
      <c r="C46" s="178" t="inlineStr">
        <is>
          <t>Кабель контрольный КВВГЭнг(A)-LS 5х2,5</t>
        </is>
      </c>
      <c r="D46" s="173" t="inlineStr">
        <is>
          <t>1000 м</t>
        </is>
      </c>
      <c r="E46" s="205" t="n">
        <v>8.16</v>
      </c>
      <c r="F46" s="192" t="n">
        <v>38348.22</v>
      </c>
      <c r="G46" s="150">
        <f>ROUND(E46*F46,2)</f>
        <v/>
      </c>
      <c r="H46" s="188">
        <f>G46/$G$79</f>
        <v/>
      </c>
      <c r="I46" s="90" t="n"/>
      <c r="J46" s="90" t="n"/>
    </row>
    <row r="47" collapsed="1" ht="38.25" customFormat="1" customHeight="1" s="91">
      <c r="A47" s="173" t="n">
        <v>17</v>
      </c>
      <c r="B47" s="145" t="inlineStr">
        <is>
          <t>21.1.01.01-0001</t>
        </is>
      </c>
      <c r="C47" s="178" t="inlineStr">
        <is>
          <t>Кабель волоконно-оптический самонесущий биэлектрический ДСт-49-6z-6/32</t>
        </is>
      </c>
      <c r="D47" s="173" t="inlineStr">
        <is>
          <t>1000 м</t>
        </is>
      </c>
      <c r="E47" s="205" t="n">
        <v>14.9</v>
      </c>
      <c r="F47" s="192" t="n">
        <v>45920.85</v>
      </c>
      <c r="G47" s="150">
        <f>ROUND(F47*E47,2)</f>
        <v/>
      </c>
      <c r="H47" s="188">
        <f>G47/$G$79</f>
        <v/>
      </c>
      <c r="I47" s="150">
        <f>ROUND(F47*Прил.10!$D$12,2)</f>
        <v/>
      </c>
      <c r="J47" s="150">
        <f>ROUND(I47*E47,2)</f>
        <v/>
      </c>
      <c r="K47" s="1" t="n"/>
      <c r="L47" s="1" t="n"/>
    </row>
    <row r="48" ht="14.25" customFormat="1" customHeight="1" s="1">
      <c r="A48" s="98" t="n"/>
      <c r="B48" s="173" t="n"/>
      <c r="C48" s="178" t="inlineStr">
        <is>
          <t>Итого основные материалы</t>
        </is>
      </c>
      <c r="D48" s="173" t="n"/>
      <c r="E48" s="205" t="n"/>
      <c r="F48" s="180" t="n"/>
      <c r="G48" s="150">
        <f>G43+G47</f>
        <v/>
      </c>
      <c r="H48" s="188">
        <f>G48/$G$79</f>
        <v/>
      </c>
      <c r="I48" s="150" t="n"/>
      <c r="J48" s="150">
        <f>SUM(J43:J47)</f>
        <v/>
      </c>
      <c r="K48" s="207" t="n"/>
    </row>
    <row r="49" outlineLevel="1" ht="38.25" customFormat="1" customHeight="1" s="1">
      <c r="A49" s="175" t="n">
        <v>18</v>
      </c>
      <c r="B49" s="94" t="inlineStr">
        <is>
          <t>24.3.01.02-0002</t>
        </is>
      </c>
      <c r="C49" s="12" t="inlineStr">
        <is>
          <t>Трубы гибкие гофрированные из самозатухающего ПВХ легкие с протяжкой, диаметр 25 мм</t>
        </is>
      </c>
      <c r="D49" s="175" t="inlineStr">
        <is>
          <t>м</t>
        </is>
      </c>
      <c r="E49" s="214" t="n">
        <v>15198</v>
      </c>
      <c r="F49" s="13" t="n">
        <v>3.43</v>
      </c>
      <c r="G49" s="96">
        <f>ROUND(F49*E49,2)</f>
        <v/>
      </c>
      <c r="H49" s="97">
        <f>G49/$G$79</f>
        <v/>
      </c>
      <c r="I49" s="96">
        <f>ROUND(F49*Прил.10!$D$12,2)</f>
        <v/>
      </c>
      <c r="J49" s="96">
        <f>ROUND(I49*E49,2)</f>
        <v/>
      </c>
    </row>
    <row r="50" outlineLevel="1" ht="25.5" customFormat="1" customHeight="1" s="1">
      <c r="A50" s="173" t="n">
        <v>19</v>
      </c>
      <c r="B50" s="145" t="inlineStr">
        <is>
          <t>10.3.02.03-0011</t>
        </is>
      </c>
      <c r="C50" s="178" t="inlineStr">
        <is>
          <t>Припои оловянно-свинцовые бессурьмянистые, марка ПОС30</t>
        </is>
      </c>
      <c r="D50" s="173" t="inlineStr">
        <is>
          <t>т</t>
        </is>
      </c>
      <c r="E50" s="205" t="n">
        <v>0.08223999999999999</v>
      </c>
      <c r="F50" s="192" t="n">
        <v>68050</v>
      </c>
      <c r="G50" s="150">
        <f>ROUND(F50*E50,2)</f>
        <v/>
      </c>
      <c r="H50" s="188">
        <f>G50/$G$79</f>
        <v/>
      </c>
      <c r="I50" s="150">
        <f>ROUND(F50*Прил.10!$D$12,2)</f>
        <v/>
      </c>
      <c r="J50" s="150">
        <f>ROUND(I50*E50,2)</f>
        <v/>
      </c>
    </row>
    <row r="51" outlineLevel="1" ht="14.25" customFormat="1" customHeight="1" s="1">
      <c r="A51" s="175" t="n">
        <v>20</v>
      </c>
      <c r="B51" s="145" t="inlineStr">
        <is>
          <t>01.7.15.07-0152</t>
        </is>
      </c>
      <c r="C51" s="178" t="inlineStr">
        <is>
          <t>Дюбели с шурупом, размер 6х35 мм</t>
        </is>
      </c>
      <c r="D51" s="173" t="inlineStr">
        <is>
          <t>100 шт</t>
        </is>
      </c>
      <c r="E51" s="205" t="n">
        <v>260.75</v>
      </c>
      <c r="F51" s="192" t="n">
        <v>8</v>
      </c>
      <c r="G51" s="150">
        <f>ROUND(F51*E51,2)</f>
        <v/>
      </c>
      <c r="H51" s="188">
        <f>G51/$G$79</f>
        <v/>
      </c>
      <c r="I51" s="150">
        <f>ROUND(F51*Прил.10!$D$12,2)</f>
        <v/>
      </c>
      <c r="J51" s="150">
        <f>ROUND(I51*E51,2)</f>
        <v/>
      </c>
    </row>
    <row r="52" outlineLevel="1" ht="38.25" customFormat="1" customHeight="1" s="1">
      <c r="A52" s="173" t="n">
        <v>21</v>
      </c>
      <c r="B52" s="145" t="inlineStr">
        <is>
          <t>01.7.06.05-0041</t>
        </is>
      </c>
      <c r="C52" s="178" t="inlineStr">
        <is>
          <t>Лента изоляционная прорезиненная односторонняя, ширина 20 мм, толщина 0,25-0,35 мм</t>
        </is>
      </c>
      <c r="D52" s="173" t="inlineStr">
        <is>
          <t>кг</t>
        </is>
      </c>
      <c r="E52" s="205" t="n">
        <v>49.28</v>
      </c>
      <c r="F52" s="192" t="n">
        <v>30.4</v>
      </c>
      <c r="G52" s="150">
        <f>ROUND(F52*E52,2)</f>
        <v/>
      </c>
      <c r="H52" s="188">
        <f>G52/$G$79</f>
        <v/>
      </c>
      <c r="I52" s="150">
        <f>ROUND(F52*Прил.10!$D$12,2)</f>
        <v/>
      </c>
      <c r="J52" s="150">
        <f>ROUND(I52*E52,2)</f>
        <v/>
      </c>
    </row>
    <row r="53" outlineLevel="1" ht="51" customFormat="1" customHeight="1" s="1">
      <c r="A53" s="175" t="n">
        <v>22</v>
      </c>
      <c r="B53" s="145" t="inlineStr">
        <is>
          <t>08.3.06.01-0003</t>
        </is>
      </c>
      <c r="C53" s="178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D53" s="173" t="inlineStr">
        <is>
          <t>т</t>
        </is>
      </c>
      <c r="E53" s="205" t="n">
        <v>0.21</v>
      </c>
      <c r="F53" s="192" t="n">
        <v>6834.81</v>
      </c>
      <c r="G53" s="150">
        <f>ROUND(F53*E53,2)</f>
        <v/>
      </c>
      <c r="H53" s="188">
        <f>G53/$G$79</f>
        <v/>
      </c>
      <c r="I53" s="150">
        <f>ROUND(F53*Прил.10!$D$12,2)</f>
        <v/>
      </c>
      <c r="J53" s="150">
        <f>ROUND(I53*E53,2)</f>
        <v/>
      </c>
    </row>
    <row r="54" outlineLevel="1" ht="14.25" customFormat="1" customHeight="1" s="1">
      <c r="A54" s="173" t="n">
        <v>23</v>
      </c>
      <c r="B54" s="145" t="inlineStr">
        <is>
          <t>07.2.07.13-0171</t>
        </is>
      </c>
      <c r="C54" s="178" t="inlineStr">
        <is>
          <t>Подкладки металлические</t>
        </is>
      </c>
      <c r="D54" s="173" t="inlineStr">
        <is>
          <t>кг</t>
        </is>
      </c>
      <c r="E54" s="205" t="n">
        <v>90</v>
      </c>
      <c r="F54" s="192" t="n">
        <v>12.6</v>
      </c>
      <c r="G54" s="150">
        <f>ROUND(F54*E54,2)</f>
        <v/>
      </c>
      <c r="H54" s="188">
        <f>G54/$G$79</f>
        <v/>
      </c>
      <c r="I54" s="150">
        <f>ROUND(F54*Прил.10!$D$12,2)</f>
        <v/>
      </c>
      <c r="J54" s="150">
        <f>ROUND(I54*E54,2)</f>
        <v/>
      </c>
    </row>
    <row r="55" outlineLevel="1" ht="14.25" customFormat="1" customHeight="1" s="1">
      <c r="A55" s="175" t="n">
        <v>24</v>
      </c>
      <c r="B55" s="145" t="inlineStr">
        <is>
          <t>20.2.01.05-0005</t>
        </is>
      </c>
      <c r="C55" s="178" t="inlineStr">
        <is>
          <t>Гильзы кабельные медные ГМ 16</t>
        </is>
      </c>
      <c r="D55" s="173" t="inlineStr">
        <is>
          <t>100 шт</t>
        </is>
      </c>
      <c r="E55" s="205" t="n">
        <v>7.45</v>
      </c>
      <c r="F55" s="192" t="n">
        <v>143</v>
      </c>
      <c r="G55" s="150">
        <f>ROUND(F55*E55,2)</f>
        <v/>
      </c>
      <c r="H55" s="188">
        <f>G55/$G$79</f>
        <v/>
      </c>
      <c r="I55" s="150">
        <f>ROUND(F55*Прил.10!$D$12,2)</f>
        <v/>
      </c>
      <c r="J55" s="150">
        <f>ROUND(I55*E55,2)</f>
        <v/>
      </c>
    </row>
    <row r="56" outlineLevel="1" ht="14.25" customFormat="1" customHeight="1" s="1">
      <c r="A56" s="173" t="n">
        <v>25</v>
      </c>
      <c r="B56" s="145" t="inlineStr">
        <is>
          <t>01.7.06.07-0002</t>
        </is>
      </c>
      <c r="C56" s="178" t="inlineStr">
        <is>
          <t>Лента монтажная, тип ЛМ-5</t>
        </is>
      </c>
      <c r="D56" s="173" t="inlineStr">
        <is>
          <t>10 м</t>
        </is>
      </c>
      <c r="E56" s="205" t="n">
        <v>136.44</v>
      </c>
      <c r="F56" s="192" t="n">
        <v>6.9</v>
      </c>
      <c r="G56" s="150">
        <f>ROUND(F56*E56,2)</f>
        <v/>
      </c>
      <c r="H56" s="188">
        <f>G56/$G$79</f>
        <v/>
      </c>
      <c r="I56" s="150">
        <f>ROUND(F56*Прил.10!$D$12,2)</f>
        <v/>
      </c>
      <c r="J56" s="150">
        <f>ROUND(I56*E56,2)</f>
        <v/>
      </c>
    </row>
    <row r="57" outlineLevel="1" ht="25.5" customFormat="1" customHeight="1" s="1">
      <c r="A57" s="175" t="n">
        <v>26</v>
      </c>
      <c r="B57" s="145" t="inlineStr">
        <is>
          <t>999-9950</t>
        </is>
      </c>
      <c r="C57" s="178" t="inlineStr">
        <is>
          <t>Вспомогательные ненормируемые ресурсы (2% от Оплаты труда рабочих)</t>
        </is>
      </c>
      <c r="D57" s="173" t="inlineStr">
        <is>
          <t>руб</t>
        </is>
      </c>
      <c r="E57" s="205" t="n">
        <v>828.586</v>
      </c>
      <c r="F57" s="192" t="n">
        <v>1</v>
      </c>
      <c r="G57" s="150">
        <f>ROUND(F57*E57,2)</f>
        <v/>
      </c>
      <c r="H57" s="188">
        <f>G57/$G$79</f>
        <v/>
      </c>
      <c r="I57" s="150">
        <f>ROUND(F57*Прил.10!$D$12,2)</f>
        <v/>
      </c>
      <c r="J57" s="150">
        <f>ROUND(I57*E57,2)</f>
        <v/>
      </c>
    </row>
    <row r="58" outlineLevel="1" ht="14.25" customFormat="1" customHeight="1" s="1">
      <c r="A58" s="173" t="n">
        <v>27</v>
      </c>
      <c r="B58" s="145" t="inlineStr">
        <is>
          <t>20.1.02.06-0001</t>
        </is>
      </c>
      <c r="C58" s="178" t="inlineStr">
        <is>
          <t>Жир паяльный</t>
        </is>
      </c>
      <c r="D58" s="173" t="inlineStr">
        <is>
          <t>кг</t>
        </is>
      </c>
      <c r="E58" s="205" t="n">
        <v>3.2</v>
      </c>
      <c r="F58" s="192" t="n">
        <v>100.8</v>
      </c>
      <c r="G58" s="150">
        <f>ROUND(F58*E58,2)</f>
        <v/>
      </c>
      <c r="H58" s="188">
        <f>G58/$G$79</f>
        <v/>
      </c>
      <c r="I58" s="150">
        <f>ROUND(F58*Прил.10!$D$12,2)</f>
        <v/>
      </c>
      <c r="J58" s="150">
        <f>ROUND(I58*E58,2)</f>
        <v/>
      </c>
    </row>
    <row r="59" outlineLevel="1" ht="14.25" customFormat="1" customHeight="1" s="1">
      <c r="A59" s="175" t="n">
        <v>28</v>
      </c>
      <c r="B59" s="145" t="inlineStr">
        <is>
          <t>20.2.02.01-0013</t>
        </is>
      </c>
      <c r="C59" s="178" t="inlineStr">
        <is>
          <t>Втулки, диаметр 28 мм</t>
        </is>
      </c>
      <c r="D59" s="173" t="inlineStr">
        <is>
          <t>1000 шт</t>
        </is>
      </c>
      <c r="E59" s="205" t="n">
        <v>1.8178</v>
      </c>
      <c r="F59" s="192" t="n">
        <v>176.21</v>
      </c>
      <c r="G59" s="150">
        <f>ROUND(F59*E59,2)</f>
        <v/>
      </c>
      <c r="H59" s="188">
        <f>G59/$G$79</f>
        <v/>
      </c>
      <c r="I59" s="150">
        <f>ROUND(F59*Прил.10!$D$12,2)</f>
        <v/>
      </c>
      <c r="J59" s="150">
        <f>ROUND(I59*E59,2)</f>
        <v/>
      </c>
    </row>
    <row r="60" outlineLevel="1" ht="14.25" customFormat="1" customHeight="1" s="1">
      <c r="A60" s="173" t="n">
        <v>29</v>
      </c>
      <c r="B60" s="145" t="inlineStr">
        <is>
          <t>25.2.01.01-0017</t>
        </is>
      </c>
      <c r="C60" s="178" t="inlineStr">
        <is>
          <t>Бирки маркировочные пластмассовые</t>
        </is>
      </c>
      <c r="D60" s="173" t="inlineStr">
        <is>
          <t>100 шт</t>
        </is>
      </c>
      <c r="E60" s="205" t="n">
        <v>9.6</v>
      </c>
      <c r="F60" s="192" t="n">
        <v>30.74</v>
      </c>
      <c r="G60" s="150">
        <f>ROUND(F60*E60,2)</f>
        <v/>
      </c>
      <c r="H60" s="188">
        <f>G60/$G$79</f>
        <v/>
      </c>
      <c r="I60" s="150">
        <f>ROUND(F60*Прил.10!$D$12,2)</f>
        <v/>
      </c>
      <c r="J60" s="150">
        <f>ROUND(I60*E60,2)</f>
        <v/>
      </c>
    </row>
    <row r="61" outlineLevel="1" ht="14.25" customFormat="1" customHeight="1" s="1">
      <c r="A61" s="175" t="n">
        <v>30</v>
      </c>
      <c r="B61" s="145" t="inlineStr">
        <is>
          <t>01.7.07.20-0002</t>
        </is>
      </c>
      <c r="C61" s="178" t="inlineStr">
        <is>
          <t>Тальк молотый, сорт I</t>
        </is>
      </c>
      <c r="D61" s="173" t="inlineStr">
        <is>
          <t>т</t>
        </is>
      </c>
      <c r="E61" s="205" t="n">
        <v>0.15645</v>
      </c>
      <c r="F61" s="192" t="n">
        <v>1820</v>
      </c>
      <c r="G61" s="150">
        <f>ROUND(F61*E61,2)</f>
        <v/>
      </c>
      <c r="H61" s="188">
        <f>G61/$G$79</f>
        <v/>
      </c>
      <c r="I61" s="150">
        <f>ROUND(F61*Прил.10!$D$12,2)</f>
        <v/>
      </c>
      <c r="J61" s="150">
        <f>ROUND(I61*E61,2)</f>
        <v/>
      </c>
    </row>
    <row r="62" outlineLevel="1" ht="14.25" customFormat="1" customHeight="1" s="1">
      <c r="A62" s="173" t="n">
        <v>31</v>
      </c>
      <c r="B62" s="145" t="inlineStr">
        <is>
          <t>14.4.03.03-0002</t>
        </is>
      </c>
      <c r="C62" s="178" t="inlineStr">
        <is>
          <t>Лак битумный БТ-123</t>
        </is>
      </c>
      <c r="D62" s="173" t="inlineStr">
        <is>
          <t>т</t>
        </is>
      </c>
      <c r="E62" s="205" t="n">
        <v>0.02544</v>
      </c>
      <c r="F62" s="192" t="n">
        <v>7826.9</v>
      </c>
      <c r="G62" s="150">
        <f>ROUND(F62*E62,2)</f>
        <v/>
      </c>
      <c r="H62" s="188">
        <f>G62/$G$79</f>
        <v/>
      </c>
      <c r="I62" s="150">
        <f>ROUND(F62*Прил.10!$D$12,2)</f>
        <v/>
      </c>
      <c r="J62" s="150">
        <f>ROUND(I62*E62,2)</f>
        <v/>
      </c>
    </row>
    <row r="63" outlineLevel="1" ht="25.5" customFormat="1" customHeight="1" s="1">
      <c r="A63" s="175" t="n">
        <v>32</v>
      </c>
      <c r="B63" s="145" t="inlineStr">
        <is>
          <t>01.7.15.03-0034</t>
        </is>
      </c>
      <c r="C63" s="178" t="inlineStr">
        <is>
          <t>Болты с гайками и шайбами оцинкованные, диаметр 12 мм</t>
        </is>
      </c>
      <c r="D63" s="173" t="inlineStr">
        <is>
          <t>кг</t>
        </is>
      </c>
      <c r="E63" s="205" t="n">
        <v>3.567</v>
      </c>
      <c r="F63" s="192" t="n">
        <v>25.76</v>
      </c>
      <c r="G63" s="150">
        <f>ROUND(F63*E63,2)</f>
        <v/>
      </c>
      <c r="H63" s="188">
        <f>G63/$G$79</f>
        <v/>
      </c>
      <c r="I63" s="150">
        <f>ROUND(F63*Прил.10!$D$12,2)</f>
        <v/>
      </c>
      <c r="J63" s="150">
        <f>ROUND(I63*E63,2)</f>
        <v/>
      </c>
    </row>
    <row r="64" outlineLevel="1" ht="25.5" customFormat="1" customHeight="1" s="1">
      <c r="A64" s="173" t="n">
        <v>33</v>
      </c>
      <c r="B64" s="145" t="inlineStr">
        <is>
          <t>10.3.02.03-0013</t>
        </is>
      </c>
      <c r="C64" s="178" t="inlineStr">
        <is>
          <t>Припои оловянно-свинцовые бессурьмянистые, марка ПОС61</t>
        </is>
      </c>
      <c r="D64" s="173" t="inlineStr">
        <is>
          <t>т</t>
        </is>
      </c>
      <c r="E64" s="205" t="n">
        <v>0.000768</v>
      </c>
      <c r="F64" s="192" t="n">
        <v>114220</v>
      </c>
      <c r="G64" s="150">
        <f>ROUND(F64*E64,2)</f>
        <v/>
      </c>
      <c r="H64" s="188">
        <f>G64/$G$79</f>
        <v/>
      </c>
      <c r="I64" s="150">
        <f>ROUND(F64*Прил.10!$D$12,2)</f>
        <v/>
      </c>
      <c r="J64" s="150">
        <f>ROUND(I64*E64,2)</f>
        <v/>
      </c>
    </row>
    <row r="65" outlineLevel="1" ht="14.25" customFormat="1" customHeight="1" s="1">
      <c r="A65" s="175" t="n">
        <v>34</v>
      </c>
      <c r="B65" s="145" t="inlineStr">
        <is>
          <t>14.4.02.09-0001</t>
        </is>
      </c>
      <c r="C65" s="178" t="inlineStr">
        <is>
          <t>Краска</t>
        </is>
      </c>
      <c r="D65" s="173" t="inlineStr">
        <is>
          <t>кг</t>
        </is>
      </c>
      <c r="E65" s="205" t="n">
        <v>2.98</v>
      </c>
      <c r="F65" s="192" t="n">
        <v>28.6</v>
      </c>
      <c r="G65" s="150">
        <f>ROUND(F65*E65,2)</f>
        <v/>
      </c>
      <c r="H65" s="188">
        <f>G65/$G$79</f>
        <v/>
      </c>
      <c r="I65" s="150">
        <f>ROUND(F65*Прил.10!$D$12,2)</f>
        <v/>
      </c>
      <c r="J65" s="150">
        <f>ROUND(I65*E65,2)</f>
        <v/>
      </c>
    </row>
    <row r="66" outlineLevel="1" ht="14.25" customFormat="1" customHeight="1" s="1">
      <c r="A66" s="173" t="n">
        <v>35</v>
      </c>
      <c r="B66" s="145" t="inlineStr">
        <is>
          <t>25.2.02.11-0041</t>
        </is>
      </c>
      <c r="C66" s="178" t="inlineStr">
        <is>
          <t>Рамка для надписей 55х15 мм</t>
        </is>
      </c>
      <c r="D66" s="173" t="inlineStr">
        <is>
          <t>шт</t>
        </is>
      </c>
      <c r="E66" s="205" t="n">
        <v>150</v>
      </c>
      <c r="F66" s="192" t="n">
        <v>0.27</v>
      </c>
      <c r="G66" s="150">
        <f>ROUND(F66*E66,2)</f>
        <v/>
      </c>
      <c r="H66" s="188">
        <f>G66/$G$79</f>
        <v/>
      </c>
      <c r="I66" s="150">
        <f>ROUND(F66*Прил.10!$D$12,2)</f>
        <v/>
      </c>
      <c r="J66" s="150">
        <f>ROUND(I66*E66,2)</f>
        <v/>
      </c>
    </row>
    <row r="67" outlineLevel="1" ht="14.25" customFormat="1" customHeight="1" s="1">
      <c r="A67" s="175" t="n">
        <v>36</v>
      </c>
      <c r="B67" s="145" t="inlineStr">
        <is>
          <t>01.7.11.07-0032</t>
        </is>
      </c>
      <c r="C67" s="178" t="inlineStr">
        <is>
          <t>Электроды сварочные Э42, диаметр 4 мм</t>
        </is>
      </c>
      <c r="D67" s="173" t="inlineStr">
        <is>
          <t>т</t>
        </is>
      </c>
      <c r="E67" s="205" t="n">
        <v>0.0036</v>
      </c>
      <c r="F67" s="192" t="n">
        <v>10315.01</v>
      </c>
      <c r="G67" s="150">
        <f>ROUND(F67*E67,2)</f>
        <v/>
      </c>
      <c r="H67" s="188">
        <f>G67/$G$79</f>
        <v/>
      </c>
      <c r="I67" s="150">
        <f>ROUND(F67*Прил.10!$D$12,2)</f>
        <v/>
      </c>
      <c r="J67" s="150">
        <f>ROUND(I67*E67,2)</f>
        <v/>
      </c>
    </row>
    <row r="68" outlineLevel="1" ht="14.25" customFormat="1" customHeight="1" s="1">
      <c r="A68" s="173" t="n">
        <v>37</v>
      </c>
      <c r="B68" s="145" t="inlineStr">
        <is>
          <t>01.7.15.14-0165</t>
        </is>
      </c>
      <c r="C68" s="178" t="inlineStr">
        <is>
          <t>Шурупы с полукруглой головкой 4х40 мм</t>
        </is>
      </c>
      <c r="D68" s="173" t="inlineStr">
        <is>
          <t>т</t>
        </is>
      </c>
      <c r="E68" s="205" t="n">
        <v>0.00264</v>
      </c>
      <c r="F68" s="192" t="n">
        <v>12430</v>
      </c>
      <c r="G68" s="150">
        <f>ROUND(F68*E68,2)</f>
        <v/>
      </c>
      <c r="H68" s="188">
        <f>G68/$G$79</f>
        <v/>
      </c>
      <c r="I68" s="150">
        <f>ROUND(F68*Прил.10!$D$12,2)</f>
        <v/>
      </c>
      <c r="J68" s="150">
        <f>ROUND(I68*E68,2)</f>
        <v/>
      </c>
    </row>
    <row r="69" outlineLevel="1" ht="14.25" customFormat="1" customHeight="1" s="1">
      <c r="A69" s="175" t="n">
        <v>38</v>
      </c>
      <c r="B69" s="145" t="inlineStr">
        <is>
          <t>24.3.01.01-0002</t>
        </is>
      </c>
      <c r="C69" s="178" t="inlineStr">
        <is>
          <t>Трубка полихлорвиниловая</t>
        </is>
      </c>
      <c r="D69" s="173" t="inlineStr">
        <is>
          <t>кг</t>
        </is>
      </c>
      <c r="E69" s="205" t="n">
        <v>0.384</v>
      </c>
      <c r="F69" s="192" t="n">
        <v>35.7</v>
      </c>
      <c r="G69" s="150">
        <f>ROUND(F69*E69,2)</f>
        <v/>
      </c>
      <c r="H69" s="188">
        <f>G69/$G$79</f>
        <v/>
      </c>
      <c r="I69" s="150">
        <f>ROUND(F69*Прил.10!$D$12,2)</f>
        <v/>
      </c>
      <c r="J69" s="150">
        <f>ROUND(I69*E69,2)</f>
        <v/>
      </c>
    </row>
    <row r="70" outlineLevel="1" ht="14.25" customFormat="1" customHeight="1" s="1">
      <c r="A70" s="173" t="n">
        <v>39</v>
      </c>
      <c r="B70" s="145" t="inlineStr">
        <is>
          <t>01.3.01.05-0009</t>
        </is>
      </c>
      <c r="C70" s="178" t="inlineStr">
        <is>
          <t>Парафин нефтяной твердый Т-1</t>
        </is>
      </c>
      <c r="D70" s="173" t="inlineStr">
        <is>
          <t>т</t>
        </is>
      </c>
      <c r="E70" s="205" t="n">
        <v>0.0016</v>
      </c>
      <c r="F70" s="192" t="n">
        <v>8105.71</v>
      </c>
      <c r="G70" s="150">
        <f>ROUND(F70*E70,2)</f>
        <v/>
      </c>
      <c r="H70" s="188">
        <f>G70/$G$79</f>
        <v/>
      </c>
      <c r="I70" s="150">
        <f>ROUND(F70*Прил.10!$D$12,2)</f>
        <v/>
      </c>
      <c r="J70" s="150">
        <f>ROUND(I70*E70,2)</f>
        <v/>
      </c>
    </row>
    <row r="71" outlineLevel="1" ht="25.5" customFormat="1" customHeight="1" s="1">
      <c r="A71" s="175" t="n">
        <v>40</v>
      </c>
      <c r="B71" s="145" t="inlineStr">
        <is>
          <t>01.3.01.07-0009</t>
        </is>
      </c>
      <c r="C71" s="178" t="inlineStr">
        <is>
          <t>Спирт этиловый ректификованный технический, сорт I</t>
        </is>
      </c>
      <c r="D71" s="173" t="inlineStr">
        <is>
          <t>кг</t>
        </is>
      </c>
      <c r="E71" s="205" t="n">
        <v>0.2784</v>
      </c>
      <c r="F71" s="192" t="n">
        <v>38.89</v>
      </c>
      <c r="G71" s="150">
        <f>ROUND(F71*E71,2)</f>
        <v/>
      </c>
      <c r="H71" s="188">
        <f>G71/$G$79</f>
        <v/>
      </c>
      <c r="I71" s="150">
        <f>ROUND(F71*Прил.10!$D$12,2)</f>
        <v/>
      </c>
      <c r="J71" s="150">
        <f>ROUND(I71*E71,2)</f>
        <v/>
      </c>
    </row>
    <row r="72" outlineLevel="1" ht="14.25" customFormat="1" customHeight="1" s="1">
      <c r="A72" s="173" t="n">
        <v>41</v>
      </c>
      <c r="B72" s="145" t="inlineStr">
        <is>
          <t>14.4.04.09-0017</t>
        </is>
      </c>
      <c r="C72" s="178" t="inlineStr">
        <is>
          <t>Эмаль ХВ-124, защитная, зеленая</t>
        </is>
      </c>
      <c r="D72" s="173" t="inlineStr">
        <is>
          <t>т</t>
        </is>
      </c>
      <c r="E72" s="205" t="n">
        <v>0.0003</v>
      </c>
      <c r="F72" s="192" t="n">
        <v>28300.4</v>
      </c>
      <c r="G72" s="150">
        <f>ROUND(F72*E72,2)</f>
        <v/>
      </c>
      <c r="H72" s="188">
        <f>G72/$G$79</f>
        <v/>
      </c>
      <c r="I72" s="150">
        <f>ROUND(F72*Прил.10!$D$12,2)</f>
        <v/>
      </c>
      <c r="J72" s="150">
        <f>ROUND(I72*E72,2)</f>
        <v/>
      </c>
    </row>
    <row r="73" outlineLevel="1" ht="14.25" customFormat="1" customHeight="1" s="1">
      <c r="A73" s="175" t="n">
        <v>42</v>
      </c>
      <c r="B73" s="145" t="inlineStr">
        <is>
          <t>01.3.05.17-0002</t>
        </is>
      </c>
      <c r="C73" s="178" t="inlineStr">
        <is>
          <t>Канифоль сосновая</t>
        </is>
      </c>
      <c r="D73" s="173" t="inlineStr">
        <is>
          <t>кг</t>
        </is>
      </c>
      <c r="E73" s="205" t="n">
        <v>0.1824</v>
      </c>
      <c r="F73" s="192" t="n">
        <v>27.74</v>
      </c>
      <c r="G73" s="150">
        <f>ROUND(F73*E73,2)</f>
        <v/>
      </c>
      <c r="H73" s="188">
        <f>G73/$G$79</f>
        <v/>
      </c>
      <c r="I73" s="150">
        <f>ROUND(F73*Прил.10!$D$12,2)</f>
        <v/>
      </c>
      <c r="J73" s="150">
        <f>ROUND(I73*E73,2)</f>
        <v/>
      </c>
    </row>
    <row r="74" outlineLevel="1" ht="14.25" customFormat="1" customHeight="1" s="1">
      <c r="A74" s="173" t="n">
        <v>43</v>
      </c>
      <c r="B74" s="145" t="inlineStr">
        <is>
          <t>14.4.01.01-0003</t>
        </is>
      </c>
      <c r="C74" s="178" t="inlineStr">
        <is>
          <t>Грунтовка ГФ-021</t>
        </is>
      </c>
      <c r="D74" s="173" t="inlineStr">
        <is>
          <t>т</t>
        </is>
      </c>
      <c r="E74" s="205" t="n">
        <v>0.00015</v>
      </c>
      <c r="F74" s="192" t="n">
        <v>15620</v>
      </c>
      <c r="G74" s="150">
        <f>ROUND(F74*E74,2)</f>
        <v/>
      </c>
      <c r="H74" s="188">
        <f>G74/$G$79</f>
        <v/>
      </c>
      <c r="I74" s="150">
        <f>ROUND(F74*Прил.10!$D$12,2)</f>
        <v/>
      </c>
      <c r="J74" s="150">
        <f>ROUND(I74*E74,2)</f>
        <v/>
      </c>
    </row>
    <row r="75" outlineLevel="1" ht="14.25" customFormat="1" customHeight="1" s="1">
      <c r="A75" s="175" t="n">
        <v>44</v>
      </c>
      <c r="B75" s="145" t="inlineStr">
        <is>
          <t>14.5.09.07-0030</t>
        </is>
      </c>
      <c r="C75" s="178" t="inlineStr">
        <is>
          <t>Растворитель Р-4</t>
        </is>
      </c>
      <c r="D75" s="173" t="inlineStr">
        <is>
          <t>кг</t>
        </is>
      </c>
      <c r="E75" s="205" t="n">
        <v>0.15</v>
      </c>
      <c r="F75" s="192" t="n">
        <v>9.42</v>
      </c>
      <c r="G75" s="150">
        <f>ROUND(F75*E75,2)</f>
        <v/>
      </c>
      <c r="H75" s="188">
        <f>G75/$G$79</f>
        <v/>
      </c>
      <c r="I75" s="150">
        <f>ROUND(F75*Прил.10!$D$12,2)</f>
        <v/>
      </c>
      <c r="J75" s="150">
        <f>ROUND(I75*E75,2)</f>
        <v/>
      </c>
    </row>
    <row r="76" outlineLevel="1" ht="14.25" customFormat="1" customHeight="1" s="1">
      <c r="A76" s="173" t="n">
        <v>45</v>
      </c>
      <c r="B76" s="145" t="inlineStr">
        <is>
          <t>14.5.09.11-0102</t>
        </is>
      </c>
      <c r="C76" s="178" t="inlineStr">
        <is>
          <t>Уайт-спирит</t>
        </is>
      </c>
      <c r="D76" s="173" t="inlineStr">
        <is>
          <t>кг</t>
        </is>
      </c>
      <c r="E76" s="205" t="n">
        <v>0.15</v>
      </c>
      <c r="F76" s="192" t="n">
        <v>6.67</v>
      </c>
      <c r="G76" s="150">
        <f>ROUND(F76*E76,2)</f>
        <v/>
      </c>
      <c r="H76" s="188">
        <f>G76/$G$79</f>
        <v/>
      </c>
      <c r="I76" s="150">
        <f>ROUND(F76*Прил.10!$D$12,2)</f>
        <v/>
      </c>
      <c r="J76" s="150">
        <f>ROUND(I76*E76,2)</f>
        <v/>
      </c>
    </row>
    <row r="77" outlineLevel="1" ht="14.25" customFormat="1" customHeight="1" s="1">
      <c r="A77" s="175" t="n">
        <v>46</v>
      </c>
      <c r="B77" s="145" t="inlineStr">
        <is>
          <t>01.3.05.11-0001</t>
        </is>
      </c>
      <c r="C77" s="178" t="inlineStr">
        <is>
          <t>Дихлорэтан технический, сорт I</t>
        </is>
      </c>
      <c r="D77" s="173" t="inlineStr">
        <is>
          <t>т</t>
        </is>
      </c>
      <c r="E77" s="205" t="n">
        <v>0.000192</v>
      </c>
      <c r="F77" s="192" t="n">
        <v>4934.48</v>
      </c>
      <c r="G77" s="150">
        <f>ROUND(F77*E77,2)</f>
        <v/>
      </c>
      <c r="H77" s="188">
        <f>G77/$G$79</f>
        <v/>
      </c>
      <c r="I77" s="150">
        <f>ROUND(F77*Прил.10!$D$12,2)</f>
        <v/>
      </c>
      <c r="J77" s="150">
        <f>ROUND(I77*E77,2)</f>
        <v/>
      </c>
    </row>
    <row r="78" customFormat="1" s="1">
      <c r="A78" s="173" t="n"/>
      <c r="B78" s="173" t="n"/>
      <c r="C78" s="178" t="inlineStr">
        <is>
          <t>Итого прочие материалы</t>
        </is>
      </c>
      <c r="D78" s="173" t="n"/>
      <c r="E78" s="179" t="n"/>
      <c r="F78" s="180" t="n"/>
      <c r="G78" s="150">
        <f>SUM(G49:G77)</f>
        <v/>
      </c>
      <c r="H78" s="188">
        <f>G78/G79</f>
        <v/>
      </c>
      <c r="I78" s="150" t="n"/>
      <c r="J78" s="150">
        <f>SUM(J49:J77)</f>
        <v/>
      </c>
      <c r="L78" s="210" t="n"/>
    </row>
    <row r="79" ht="14.25" customFormat="1" customHeight="1" s="1">
      <c r="A79" s="173" t="n"/>
      <c r="B79" s="173" t="n"/>
      <c r="C79" s="187" t="inlineStr">
        <is>
          <t>Итого по разделу «Материалы»</t>
        </is>
      </c>
      <c r="D79" s="173" t="n"/>
      <c r="E79" s="179" t="n"/>
      <c r="F79" s="180" t="n"/>
      <c r="G79" s="150">
        <f>G48+G78</f>
        <v/>
      </c>
      <c r="H79" s="188" t="n">
        <v>1</v>
      </c>
      <c r="I79" s="180" t="n"/>
      <c r="J79" s="150">
        <f>J48+J78</f>
        <v/>
      </c>
      <c r="K79" s="207" t="n"/>
    </row>
    <row r="80" ht="14.25" customFormat="1" customHeight="1" s="1">
      <c r="A80" s="173" t="n"/>
      <c r="B80" s="173" t="n"/>
      <c r="C80" s="178" t="inlineStr">
        <is>
          <t>ИТОГО ПО РМ</t>
        </is>
      </c>
      <c r="D80" s="173" t="n"/>
      <c r="E80" s="179" t="n"/>
      <c r="F80" s="180" t="n"/>
      <c r="G80" s="150">
        <f>G14+G27+G79</f>
        <v/>
      </c>
      <c r="H80" s="188" t="n"/>
      <c r="I80" s="180" t="n"/>
      <c r="J80" s="150">
        <f>J14+J27+J79</f>
        <v/>
      </c>
    </row>
    <row r="81" ht="14.25" customFormat="1" customHeight="1" s="1">
      <c r="A81" s="173" t="n"/>
      <c r="B81" s="173" t="n"/>
      <c r="C81" s="178" t="inlineStr">
        <is>
          <t>Накладные расходы</t>
        </is>
      </c>
      <c r="D81" s="173" t="inlineStr">
        <is>
          <t>%</t>
        </is>
      </c>
      <c r="E81" s="42">
        <f>ROUND(G81/(G14+G16),2)</f>
        <v/>
      </c>
      <c r="F81" s="180" t="n"/>
      <c r="G81" s="150" t="n">
        <v>40983.99</v>
      </c>
      <c r="H81" s="188" t="n"/>
      <c r="I81" s="180" t="n"/>
      <c r="J81" s="150">
        <f>ROUND(E81*(J14+J16),2)</f>
        <v/>
      </c>
      <c r="K81" s="43" t="n"/>
    </row>
    <row r="82" ht="14.25" customFormat="1" customHeight="1" s="1">
      <c r="A82" s="173" t="n"/>
      <c r="B82" s="173" t="n"/>
      <c r="C82" s="178" t="inlineStr">
        <is>
          <t>Сметная прибыль</t>
        </is>
      </c>
      <c r="D82" s="173" t="inlineStr">
        <is>
          <t>%</t>
        </is>
      </c>
      <c r="E82" s="42">
        <f>ROUND(G82/(G14+G16),2)</f>
        <v/>
      </c>
      <c r="F82" s="180" t="n"/>
      <c r="G82" s="150" t="n">
        <v>21523.65</v>
      </c>
      <c r="H82" s="188" t="n"/>
      <c r="I82" s="180" t="n"/>
      <c r="J82" s="150">
        <f>ROUND(E82*(J14+J16),2)</f>
        <v/>
      </c>
      <c r="K82" s="43" t="n"/>
    </row>
    <row r="83" ht="14.25" customFormat="1" customHeight="1" s="1">
      <c r="A83" s="173" t="n"/>
      <c r="B83" s="173" t="n"/>
      <c r="C83" s="178" t="inlineStr">
        <is>
          <t>Итого СМР (с НР и СП)</t>
        </is>
      </c>
      <c r="D83" s="173" t="n"/>
      <c r="E83" s="179" t="n"/>
      <c r="F83" s="180" t="n"/>
      <c r="G83" s="150">
        <f>G14+G27+G79+G81+G82</f>
        <v/>
      </c>
      <c r="H83" s="188" t="n"/>
      <c r="I83" s="180" t="n"/>
      <c r="J83" s="150">
        <f>J14+J27+J79+J81+J82</f>
        <v/>
      </c>
      <c r="L83" s="44" t="n"/>
    </row>
    <row r="84" ht="14.25" customFormat="1" customHeight="1" s="1">
      <c r="A84" s="173" t="n"/>
      <c r="B84" s="173" t="n"/>
      <c r="C84" s="178" t="inlineStr">
        <is>
          <t>ВСЕГО СМР + ОБОРУДОВАНИЕ</t>
        </is>
      </c>
      <c r="D84" s="173" t="n"/>
      <c r="E84" s="179" t="n"/>
      <c r="F84" s="180" t="n"/>
      <c r="G84" s="150">
        <f>G83+G39</f>
        <v/>
      </c>
      <c r="H84" s="188" t="n"/>
      <c r="I84" s="180" t="n"/>
      <c r="J84" s="150">
        <f>J83+J39</f>
        <v/>
      </c>
      <c r="L84" s="43" t="n"/>
    </row>
    <row r="85" ht="14.25" customFormat="1" customHeight="1" s="1">
      <c r="A85" s="173" t="n"/>
      <c r="B85" s="173" t="n"/>
      <c r="C85" s="178" t="inlineStr">
        <is>
          <t>ИТОГО ПОКАЗАТЕЛЬ НА ЕД. ИЗМ.</t>
        </is>
      </c>
      <c r="D85" s="173" t="inlineStr">
        <is>
          <t>ед.</t>
        </is>
      </c>
      <c r="E85" s="45" t="n">
        <v>1</v>
      </c>
      <c r="F85" s="180" t="n"/>
      <c r="G85" s="150">
        <f>G84/E85</f>
        <v/>
      </c>
      <c r="H85" s="188" t="n"/>
      <c r="I85" s="180" t="n"/>
      <c r="J85" s="150">
        <f>J84/E85</f>
        <v/>
      </c>
      <c r="L85" s="204" t="n"/>
    </row>
    <row r="87" ht="14.25" customFormat="1" customHeight="1" s="1">
      <c r="A87" s="10" t="n"/>
    </row>
    <row r="88" ht="14.25" customFormat="1" customHeight="1" s="1">
      <c r="B88" s="6" t="inlineStr">
        <is>
          <t>Составил ______________________        Е.А. Князева</t>
        </is>
      </c>
    </row>
    <row r="89" ht="14.25" customFormat="1" customHeight="1" s="1">
      <c r="B89" s="49" t="inlineStr">
        <is>
          <t xml:space="preserve">                         (подпись, инициалы, фамилия)</t>
        </is>
      </c>
    </row>
    <row r="90" ht="14.25" customFormat="1" customHeight="1" s="1">
      <c r="B90" s="6" t="n"/>
    </row>
    <row r="91" ht="14.25" customFormat="1" customHeight="1" s="1">
      <c r="B91" s="6" t="inlineStr">
        <is>
          <t>Проверил ______________________        А.В. Костянецкая</t>
        </is>
      </c>
    </row>
    <row r="92" ht="14.25" customFormat="1" customHeight="1" s="1">
      <c r="B92" s="49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B29:J29"/>
    <mergeCell ref="C9:C10"/>
    <mergeCell ref="E9:E10"/>
    <mergeCell ref="A7:H7"/>
    <mergeCell ref="B28:J28"/>
    <mergeCell ref="B9:B10"/>
    <mergeCell ref="D9:D10"/>
    <mergeCell ref="B18:H18"/>
    <mergeCell ref="B12:H12"/>
    <mergeCell ref="D6:J6"/>
    <mergeCell ref="B41:J41"/>
    <mergeCell ref="B42:H42"/>
    <mergeCell ref="F9:G9"/>
    <mergeCell ref="A4:H4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8"/>
  <sheetViews>
    <sheetView view="pageBreakPreview" workbookViewId="0">
      <selection activeCell="C24" sqref="C24"/>
    </sheetView>
  </sheetViews>
  <sheetFormatPr baseColWidth="8" defaultRowHeight="15"/>
  <cols>
    <col width="5.7109375" customWidth="1" style="141" min="1" max="1"/>
    <col width="14.85546875" customWidth="1" style="141" min="2" max="2"/>
    <col width="39.140625" customWidth="1" style="141" min="3" max="3"/>
    <col width="8.28515625" customWidth="1" style="141" min="4" max="4"/>
    <col width="13.5703125" customWidth="1" style="141" min="5" max="5"/>
    <col width="12.42578125" customWidth="1" style="141" min="6" max="6"/>
    <col width="14.140625" customWidth="1" style="141" min="7" max="7"/>
  </cols>
  <sheetData>
    <row r="1">
      <c r="A1" s="193" t="inlineStr">
        <is>
          <t>Приложение №6</t>
        </is>
      </c>
    </row>
    <row r="2">
      <c r="A2" s="193" t="n"/>
      <c r="B2" s="193" t="n"/>
      <c r="C2" s="193" t="n"/>
      <c r="D2" s="193" t="n"/>
      <c r="E2" s="193" t="n"/>
      <c r="F2" s="193" t="n"/>
      <c r="G2" s="193" t="n"/>
    </row>
    <row r="3">
      <c r="A3" s="193" t="n"/>
      <c r="B3" s="193" t="n"/>
      <c r="C3" s="193" t="n"/>
      <c r="D3" s="193" t="n"/>
      <c r="E3" s="193" t="n"/>
      <c r="F3" s="193" t="n"/>
      <c r="G3" s="193" t="n"/>
    </row>
    <row r="4">
      <c r="A4" s="193" t="n"/>
      <c r="B4" s="193" t="n"/>
      <c r="C4" s="193" t="n"/>
      <c r="D4" s="193" t="n"/>
      <c r="E4" s="193" t="n"/>
      <c r="F4" s="193" t="n"/>
      <c r="G4" s="193" t="n"/>
    </row>
    <row r="5">
      <c r="A5" s="170" t="inlineStr">
        <is>
          <t>Расчет стоимости оборудования</t>
        </is>
      </c>
    </row>
    <row r="6" ht="64.5" customHeight="1" s="141">
      <c r="A6" s="195">
        <f>'Прил.1 Сравнит табл'!B7</f>
        <v/>
      </c>
    </row>
    <row r="7">
      <c r="A7" s="6" t="n"/>
      <c r="B7" s="6" t="n"/>
      <c r="C7" s="6" t="n"/>
      <c r="D7" s="6" t="n"/>
      <c r="E7" s="6" t="n"/>
      <c r="F7" s="6" t="n"/>
      <c r="G7" s="6" t="n"/>
    </row>
    <row r="8" ht="30" customHeight="1" s="141">
      <c r="A8" s="194" t="inlineStr">
        <is>
          <t>№ пп.</t>
        </is>
      </c>
      <c r="B8" s="194" t="inlineStr">
        <is>
          <t>Код ресурса</t>
        </is>
      </c>
      <c r="C8" s="194" t="inlineStr">
        <is>
          <t>Наименование</t>
        </is>
      </c>
      <c r="D8" s="194" t="inlineStr">
        <is>
          <t>Ед. изм.</t>
        </is>
      </c>
      <c r="E8" s="173" t="inlineStr">
        <is>
          <t>Кол-во единиц по проектным данным</t>
        </is>
      </c>
      <c r="F8" s="194" t="inlineStr">
        <is>
          <t>Сметная стоимость в ценах на 01.01.2000 (руб.)</t>
        </is>
      </c>
      <c r="G8" s="199" t="n"/>
    </row>
    <row r="9">
      <c r="A9" s="201" t="n"/>
      <c r="B9" s="201" t="n"/>
      <c r="C9" s="201" t="n"/>
      <c r="D9" s="201" t="n"/>
      <c r="E9" s="201" t="n"/>
      <c r="F9" s="173" t="inlineStr">
        <is>
          <t>на ед. изм.</t>
        </is>
      </c>
      <c r="G9" s="173" t="inlineStr">
        <is>
          <t>общая</t>
        </is>
      </c>
    </row>
    <row r="10">
      <c r="A10" s="173" t="n">
        <v>1</v>
      </c>
      <c r="B10" s="173" t="n">
        <v>2</v>
      </c>
      <c r="C10" s="173" t="n">
        <v>3</v>
      </c>
      <c r="D10" s="173" t="n">
        <v>4</v>
      </c>
      <c r="E10" s="173" t="n">
        <v>5</v>
      </c>
      <c r="F10" s="173" t="n">
        <v>6</v>
      </c>
      <c r="G10" s="173" t="n">
        <v>7</v>
      </c>
    </row>
    <row r="11" ht="15" customHeight="1" s="141">
      <c r="A11" s="7" t="n"/>
      <c r="B11" s="178" t="inlineStr">
        <is>
          <t>ИНЖЕНЕРНОЕ ОБОРУДОВАНИЕ</t>
        </is>
      </c>
      <c r="C11" s="198" t="n"/>
      <c r="D11" s="198" t="n"/>
      <c r="E11" s="198" t="n"/>
      <c r="F11" s="198" t="n"/>
      <c r="G11" s="199" t="n"/>
    </row>
    <row r="12" ht="27" customHeight="1" s="141">
      <c r="A12" s="173" t="n"/>
      <c r="B12" s="187" t="n"/>
      <c r="C12" s="178" t="inlineStr">
        <is>
          <t>ИТОГО ИНЖЕНЕРНОЕ ОБОРУДОВАНИЕ</t>
        </is>
      </c>
      <c r="D12" s="187" t="n"/>
      <c r="E12" s="8" t="n"/>
      <c r="F12" s="180" t="n"/>
      <c r="G12" s="180" t="n">
        <v>0</v>
      </c>
    </row>
    <row r="13">
      <c r="A13" s="173" t="n"/>
      <c r="B13" s="178" t="inlineStr">
        <is>
          <t>ТЕХНОЛОГИЧЕСКОЕ ОБОРУДОВАНИЕ</t>
        </is>
      </c>
      <c r="C13" s="198" t="n"/>
      <c r="D13" s="198" t="n"/>
      <c r="E13" s="198" t="n"/>
      <c r="F13" s="198" t="n"/>
      <c r="G13" s="199" t="n"/>
    </row>
    <row r="14" ht="25.5" customHeight="1" s="141">
      <c r="A14" s="173" t="n">
        <v>1</v>
      </c>
      <c r="B14" s="45">
        <f>'Прил.5 Расчет СМР и ОБ'!B30</f>
        <v/>
      </c>
      <c r="C14" s="81">
        <f>'Прил.5 Расчет СМР и ОБ'!C30</f>
        <v/>
      </c>
      <c r="D14" s="45">
        <f>'Прил.5 Расчет СМР и ОБ'!D30</f>
        <v/>
      </c>
      <c r="E14" s="45">
        <f>'Прил.5 Расчет СМР и ОБ'!E30</f>
        <v/>
      </c>
      <c r="F14" s="150">
        <f>'Прил.5 Расчет СМР и ОБ'!F30</f>
        <v/>
      </c>
      <c r="G14" s="150">
        <f>ROUND(E14*F14,2)</f>
        <v/>
      </c>
    </row>
    <row r="15">
      <c r="A15" s="173" t="n">
        <v>2</v>
      </c>
      <c r="B15" s="45">
        <f>'Прил.5 Расчет СМР и ОБ'!B31</f>
        <v/>
      </c>
      <c r="C15" s="81">
        <f>'Прил.5 Расчет СМР и ОБ'!C31</f>
        <v/>
      </c>
      <c r="D15" s="45">
        <f>'Прил.5 Расчет СМР и ОБ'!D31</f>
        <v/>
      </c>
      <c r="E15" s="45">
        <f>'Прил.5 Расчет СМР и ОБ'!E31</f>
        <v/>
      </c>
      <c r="F15" s="150">
        <f>'Прил.5 Расчет СМР и ОБ'!F31</f>
        <v/>
      </c>
      <c r="G15" s="150">
        <f>ROUND(E15*F15,2)</f>
        <v/>
      </c>
    </row>
    <row r="16">
      <c r="A16" s="173" t="n">
        <v>3</v>
      </c>
      <c r="B16" s="45">
        <f>'Прил.5 Расчет СМР и ОБ'!B32</f>
        <v/>
      </c>
      <c r="C16" s="81">
        <f>'Прил.5 Расчет СМР и ОБ'!C32</f>
        <v/>
      </c>
      <c r="D16" s="45">
        <f>'Прил.5 Расчет СМР и ОБ'!D32</f>
        <v/>
      </c>
      <c r="E16" s="45">
        <f>'Прил.5 Расчет СМР и ОБ'!E32</f>
        <v/>
      </c>
      <c r="F16" s="150">
        <f>'Прил.5 Расчет СМР и ОБ'!F32</f>
        <v/>
      </c>
      <c r="G16" s="150">
        <f>ROUND(E16*F16,2)</f>
        <v/>
      </c>
    </row>
    <row r="17" ht="38.25" customHeight="1" s="141">
      <c r="A17" s="173" t="n">
        <v>4</v>
      </c>
      <c r="B17" s="45">
        <f>'Прил.5 Расчет СМР и ОБ'!B33</f>
        <v/>
      </c>
      <c r="C17" s="81">
        <f>'Прил.5 Расчет СМР и ОБ'!C33</f>
        <v/>
      </c>
      <c r="D17" s="45">
        <f>'Прил.5 Расчет СМР и ОБ'!D33</f>
        <v/>
      </c>
      <c r="E17" s="45">
        <f>'Прил.5 Расчет СМР и ОБ'!E33</f>
        <v/>
      </c>
      <c r="F17" s="150">
        <f>'Прил.5 Расчет СМР и ОБ'!F33</f>
        <v/>
      </c>
      <c r="G17" s="150">
        <f>ROUND(E17*F17,2)</f>
        <v/>
      </c>
    </row>
    <row r="18" ht="25.5" customHeight="1" s="141">
      <c r="A18" s="173" t="n">
        <v>5</v>
      </c>
      <c r="B18" s="45">
        <f>'Прил.5 Расчет СМР и ОБ'!B35</f>
        <v/>
      </c>
      <c r="C18" s="81">
        <f>'Прил.5 Расчет СМР и ОБ'!C35</f>
        <v/>
      </c>
      <c r="D18" s="45">
        <f>'Прил.5 Расчет СМР и ОБ'!D35</f>
        <v/>
      </c>
      <c r="E18" s="45">
        <f>'Прил.5 Расчет СМР и ОБ'!E35</f>
        <v/>
      </c>
      <c r="F18" s="150">
        <f>'Прил.5 Расчет СМР и ОБ'!F35</f>
        <v/>
      </c>
      <c r="G18" s="150">
        <f>ROUND(E18*F18,2)</f>
        <v/>
      </c>
    </row>
    <row r="19">
      <c r="A19" s="173" t="n">
        <v>6</v>
      </c>
      <c r="B19" s="45">
        <f>'Прил.5 Расчет СМР и ОБ'!B36</f>
        <v/>
      </c>
      <c r="C19" s="81">
        <f>'Прил.5 Расчет СМР и ОБ'!C36</f>
        <v/>
      </c>
      <c r="D19" s="45">
        <f>'Прил.5 Расчет СМР и ОБ'!D36</f>
        <v/>
      </c>
      <c r="E19" s="45">
        <f>'Прил.5 Расчет СМР и ОБ'!E36</f>
        <v/>
      </c>
      <c r="F19" s="150">
        <f>'Прил.5 Расчет СМР и ОБ'!F36</f>
        <v/>
      </c>
      <c r="G19" s="150">
        <f>ROUND(E19*F19,2)</f>
        <v/>
      </c>
    </row>
    <row r="20" ht="25.5" customHeight="1" s="141">
      <c r="A20" s="173" t="n">
        <v>7</v>
      </c>
      <c r="B20" s="45">
        <f>'Прил.5 Расчет СМР и ОБ'!B37</f>
        <v/>
      </c>
      <c r="C20" s="81">
        <f>'Прил.5 Расчет СМР и ОБ'!C37</f>
        <v/>
      </c>
      <c r="D20" s="45">
        <f>'Прил.5 Расчет СМР и ОБ'!D37</f>
        <v/>
      </c>
      <c r="E20" s="45">
        <f>'Прил.5 Расчет СМР и ОБ'!E37</f>
        <v/>
      </c>
      <c r="F20" s="150">
        <f>'Прил.5 Расчет СМР и ОБ'!F37</f>
        <v/>
      </c>
      <c r="G20" s="150">
        <f>ROUND(E20*F20,2)</f>
        <v/>
      </c>
    </row>
    <row r="21" ht="25.5" customHeight="1" s="141">
      <c r="A21" s="173" t="n"/>
      <c r="B21" s="12" t="n"/>
      <c r="C21" s="12" t="inlineStr">
        <is>
          <t>ИТОГО ТЕХНОЛОГИЧЕСКОЕ ОБОРУДОВАНИЕ</t>
        </is>
      </c>
      <c r="D21" s="12" t="n"/>
      <c r="E21" s="13" t="n"/>
      <c r="F21" s="180" t="n"/>
      <c r="G21" s="150">
        <f>SUM(G14:G20)</f>
        <v/>
      </c>
    </row>
    <row r="22" ht="19.5" customHeight="1" s="141">
      <c r="A22" s="173" t="n"/>
      <c r="B22" s="178" t="n"/>
      <c r="C22" s="178" t="inlineStr">
        <is>
          <t>Всего по разделу «Оборудование»</t>
        </is>
      </c>
      <c r="D22" s="178" t="n"/>
      <c r="E22" s="192" t="n"/>
      <c r="F22" s="180" t="n"/>
      <c r="G22" s="150">
        <f>G12+G21</f>
        <v/>
      </c>
    </row>
    <row r="23">
      <c r="A23" s="10" t="n"/>
      <c r="B23" s="11" t="n"/>
      <c r="C23" s="10" t="n"/>
      <c r="D23" s="10" t="n"/>
      <c r="E23" s="10" t="n"/>
      <c r="F23" s="10" t="n"/>
      <c r="G23" s="10" t="n"/>
    </row>
    <row r="24">
      <c r="A24" s="6" t="inlineStr">
        <is>
          <t>Составил ______________________        Е.А. Князева</t>
        </is>
      </c>
      <c r="B24" s="1" t="n"/>
      <c r="C24" s="1" t="n"/>
      <c r="D24" s="10" t="n"/>
      <c r="E24" s="10" t="n"/>
      <c r="F24" s="10" t="n"/>
      <c r="G24" s="10" t="n"/>
    </row>
    <row r="25">
      <c r="A25" s="49" t="inlineStr">
        <is>
          <t xml:space="preserve">                         (подпись, инициалы, фамилия)</t>
        </is>
      </c>
      <c r="B25" s="1" t="n"/>
      <c r="C25" s="1" t="n"/>
      <c r="D25" s="10" t="n"/>
      <c r="E25" s="10" t="n"/>
      <c r="F25" s="10" t="n"/>
      <c r="G25" s="10" t="n"/>
    </row>
    <row r="26">
      <c r="A26" s="6" t="n"/>
      <c r="B26" s="1" t="n"/>
      <c r="C26" s="1" t="n"/>
      <c r="D26" s="10" t="n"/>
      <c r="E26" s="10" t="n"/>
      <c r="F26" s="10" t="n"/>
      <c r="G26" s="10" t="n"/>
    </row>
    <row r="27">
      <c r="A27" s="6" t="inlineStr">
        <is>
          <t>Проверил ______________________        А.В. Костянецкая</t>
        </is>
      </c>
      <c r="B27" s="1" t="n"/>
      <c r="C27" s="1" t="n"/>
      <c r="D27" s="10" t="n"/>
      <c r="E27" s="10" t="n"/>
      <c r="F27" s="10" t="n"/>
      <c r="G27" s="10" t="n"/>
    </row>
    <row r="28">
      <c r="A28" s="49" t="inlineStr">
        <is>
          <t xml:space="preserve">                        (подпись, инициалы, фамилия)</t>
        </is>
      </c>
      <c r="B28" s="1" t="n"/>
      <c r="C28" s="1" t="n"/>
      <c r="D28" s="10" t="n"/>
      <c r="E28" s="10" t="n"/>
      <c r="F28" s="10" t="n"/>
      <c r="G28" s="10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1.85546875" customWidth="1" style="141" min="1" max="1"/>
    <col width="29.7109375" customWidth="1" style="141" min="2" max="2"/>
    <col width="35" customWidth="1" style="141" min="3" max="3"/>
    <col width="27.5703125" customWidth="1" style="141" min="4" max="4"/>
    <col width="24.85546875" customWidth="1" style="141" min="5" max="5"/>
  </cols>
  <sheetData>
    <row r="1">
      <c r="B1" s="6" t="n"/>
      <c r="C1" s="6" t="n"/>
      <c r="D1" s="193" t="inlineStr">
        <is>
          <t>Приложение №7</t>
        </is>
      </c>
    </row>
    <row r="2">
      <c r="A2" s="193" t="n"/>
      <c r="B2" s="193" t="n"/>
      <c r="C2" s="193" t="n"/>
      <c r="D2" s="193" t="n"/>
    </row>
    <row r="3" ht="24.75" customHeight="1" s="141">
      <c r="A3" s="170" t="inlineStr">
        <is>
          <t>Расчет показателя УНЦ</t>
        </is>
      </c>
    </row>
    <row r="4" ht="24.75" customHeight="1" s="141">
      <c r="A4" s="170" t="n"/>
      <c r="B4" s="170" t="n"/>
      <c r="C4" s="170" t="n"/>
      <c r="D4" s="170" t="n"/>
    </row>
    <row r="5" ht="76.5" customHeight="1" s="141">
      <c r="A5" s="186" t="inlineStr">
        <is>
          <t xml:space="preserve">Наименование разрабатываемого показателя УНЦ - </t>
        </is>
      </c>
      <c r="D5" s="186">
        <f>'Прил.5 Расчет СМР и ОБ'!D6</f>
        <v/>
      </c>
    </row>
    <row r="6" ht="19.9" customHeight="1" s="141">
      <c r="A6" s="186">
        <f>'Прил.1 Сравнит табл'!B9</f>
        <v/>
      </c>
      <c r="D6" s="186" t="n"/>
    </row>
    <row r="7">
      <c r="A7" s="6" t="n"/>
      <c r="B7" s="6" t="n"/>
      <c r="C7" s="6" t="n"/>
      <c r="D7" s="6" t="n"/>
    </row>
    <row r="8" ht="14.45" customHeight="1" s="141">
      <c r="A8" s="166" t="inlineStr">
        <is>
          <t>Код показателя</t>
        </is>
      </c>
      <c r="B8" s="166" t="inlineStr">
        <is>
          <t>Наименование показателя</t>
        </is>
      </c>
      <c r="C8" s="166" t="inlineStr">
        <is>
          <t>Наименование РМ, входящих в состав показателя</t>
        </is>
      </c>
      <c r="D8" s="166" t="inlineStr">
        <is>
          <t>Норматив цены на 01.01.2023, тыс.руб.</t>
        </is>
      </c>
    </row>
    <row r="9" ht="15" customHeight="1" s="141">
      <c r="A9" s="201" t="n"/>
      <c r="B9" s="201" t="n"/>
      <c r="C9" s="201" t="n"/>
      <c r="D9" s="201" t="n"/>
    </row>
    <row r="10">
      <c r="A10" s="173" t="n">
        <v>1</v>
      </c>
      <c r="B10" s="173" t="n">
        <v>2</v>
      </c>
      <c r="C10" s="173" t="n">
        <v>3</v>
      </c>
      <c r="D10" s="173" t="n">
        <v>4</v>
      </c>
    </row>
    <row r="11" ht="51" customHeight="1" s="141">
      <c r="A11" s="173" t="inlineStr">
        <is>
          <t>А3-02-3</t>
        </is>
      </c>
      <c r="B11" s="173" t="inlineStr">
        <is>
          <t xml:space="preserve">УНЦ АСУТП ПС и ТМ </t>
        </is>
      </c>
      <c r="C11" s="27">
        <f>D5</f>
        <v/>
      </c>
      <c r="D11" s="100">
        <f>'Прил.4 РМ'!C41/1000</f>
        <v/>
      </c>
      <c r="E11" s="19" t="n"/>
    </row>
    <row r="12">
      <c r="A12" s="10" t="n"/>
      <c r="B12" s="11" t="n"/>
      <c r="C12" s="10" t="n"/>
      <c r="D12" s="10" t="n"/>
    </row>
    <row r="13">
      <c r="A13" s="6">
        <f>'Прил.1 Сравнит табл'!B28</f>
        <v/>
      </c>
      <c r="B13" s="1" t="n"/>
      <c r="C13" s="1" t="n"/>
      <c r="D13" s="10" t="n"/>
    </row>
    <row r="14">
      <c r="A14" s="49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>
      <c r="A17" s="49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100" workbookViewId="0">
      <selection activeCell="B26" sqref="B26"/>
    </sheetView>
  </sheetViews>
  <sheetFormatPr baseColWidth="8" defaultRowHeight="15"/>
  <cols>
    <col width="40.7109375" customWidth="1" style="141" min="2" max="2"/>
    <col width="37" customWidth="1" style="141" min="3" max="3"/>
    <col width="32" customWidth="1" style="141" min="4" max="4"/>
  </cols>
  <sheetData>
    <row r="4" ht="15.75" customHeight="1" s="141">
      <c r="B4" s="162" t="inlineStr">
        <is>
          <t>Приложение № 10</t>
        </is>
      </c>
    </row>
    <row r="5" ht="18.75" customHeight="1" s="141">
      <c r="B5" s="20" t="n"/>
    </row>
    <row r="6" ht="15.75" customHeight="1" s="141">
      <c r="B6" s="163" t="inlineStr">
        <is>
          <t>Используемые индексы изменений сметной стоимости и нормы сопутствующих затрат</t>
        </is>
      </c>
    </row>
    <row r="7">
      <c r="B7" s="196" t="n"/>
    </row>
    <row r="8" ht="47.25" customHeight="1" s="141">
      <c r="B8" s="166" t="inlineStr">
        <is>
          <t>Наименование индекса / норм сопутствующих затрат</t>
        </is>
      </c>
      <c r="C8" s="166" t="inlineStr">
        <is>
          <t>Дата применения и обоснование индекса / норм сопутствующих затрат</t>
        </is>
      </c>
      <c r="D8" s="166" t="inlineStr">
        <is>
          <t>Размер индекса / норма сопутствующих затрат</t>
        </is>
      </c>
    </row>
    <row r="9" ht="15.75" customHeight="1" s="141">
      <c r="B9" s="166" t="n">
        <v>1</v>
      </c>
      <c r="C9" s="166" t="n">
        <v>2</v>
      </c>
      <c r="D9" s="166" t="n">
        <v>3</v>
      </c>
    </row>
    <row r="10" ht="31.5" customHeight="1" s="141">
      <c r="B10" s="166" t="inlineStr">
        <is>
          <t xml:space="preserve">Индекс изменения сметной стоимости на 1 квартал 2023 года. ОЗП </t>
        </is>
      </c>
      <c r="C10" s="166" t="inlineStr">
        <is>
          <t>Письмо Минстроя России от 30.03.2023г. №17106-ИФ/09  прил.1</t>
        </is>
      </c>
      <c r="D10" s="166" t="n">
        <v>44.29</v>
      </c>
    </row>
    <row r="11" ht="31.5" customHeight="1" s="141">
      <c r="B11" s="166" t="inlineStr">
        <is>
          <t>Индекс изменения сметной стоимости на 1 квартал 2023 года. ЭМ</t>
        </is>
      </c>
      <c r="C11" s="166" t="inlineStr">
        <is>
          <t>Письмо Минстроя России от 30.03.2023г. №17106-ИФ/09  прил.1</t>
        </is>
      </c>
      <c r="D11" s="166" t="n">
        <v>13.47</v>
      </c>
    </row>
    <row r="12" ht="31.5" customHeight="1" s="141">
      <c r="B12" s="166" t="inlineStr">
        <is>
          <t>Индекс изменения сметной стоимости на 1 квартал 2023 года. МАТ</t>
        </is>
      </c>
      <c r="C12" s="166" t="inlineStr">
        <is>
          <t>Письмо Минстроя России от 30.03.2023г. №17106-ИФ/09  прил.1</t>
        </is>
      </c>
      <c r="D12" s="166" t="n">
        <v>8.039999999999999</v>
      </c>
    </row>
    <row r="13" ht="31.5" customHeight="1" s="141">
      <c r="B13" s="166" t="inlineStr">
        <is>
          <t>Индекс изменения сметной стоимости на 1 квартал 2023 года. ОБ</t>
        </is>
      </c>
      <c r="C13" s="23" t="inlineStr">
        <is>
          <t>Письмо Минстроя России от 23.02.2023г. №9791-ИФ/09 прил.6</t>
        </is>
      </c>
      <c r="D13" s="166" t="n">
        <v>6.26</v>
      </c>
    </row>
    <row r="14" ht="78.75" customHeight="1" s="141">
      <c r="B14" s="166" t="inlineStr">
        <is>
          <t>Временные здания и сооружения</t>
        </is>
      </c>
      <c r="C14" s="166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4" t="n">
        <v>0.039</v>
      </c>
    </row>
    <row r="15" ht="78.75" customHeight="1" s="141">
      <c r="B15" s="166" t="inlineStr">
        <is>
          <t>Дополнительные затраты при производстве строительно-монтажных работ в зимнее время</t>
        </is>
      </c>
      <c r="C15" s="166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4" t="n">
        <v>0.021</v>
      </c>
    </row>
    <row r="16" ht="15.75" customHeight="1" s="141">
      <c r="B16" s="166" t="n"/>
      <c r="C16" s="166" t="n"/>
      <c r="D16" s="24" t="n"/>
    </row>
    <row r="17" ht="31.5" customHeight="1" s="141">
      <c r="B17" s="166" t="inlineStr">
        <is>
          <t>Строительный контроль</t>
        </is>
      </c>
      <c r="C17" s="166" t="inlineStr">
        <is>
          <t>Постановление Правительства РФ от 21.06.10 г. № 468</t>
        </is>
      </c>
      <c r="D17" s="24" t="n">
        <v>0.0214</v>
      </c>
    </row>
    <row r="18" ht="31.5" customHeight="1" s="141">
      <c r="B18" s="166" t="inlineStr">
        <is>
          <t>Авторский надзор - 0,2%</t>
        </is>
      </c>
      <c r="C18" s="166" t="inlineStr">
        <is>
          <t>Приказ от 4.08.2020 № 421/пр п.173</t>
        </is>
      </c>
      <c r="D18" s="24" t="n">
        <v>0.002</v>
      </c>
    </row>
    <row r="19" ht="24" customHeight="1" s="141">
      <c r="B19" s="166" t="inlineStr">
        <is>
          <t>Непредвиденные расходы</t>
        </is>
      </c>
      <c r="C19" s="166" t="inlineStr">
        <is>
          <t>Приказ от 4.08.2020 № 421/пр п.179</t>
        </is>
      </c>
      <c r="D19" s="24" t="n">
        <v>0.03</v>
      </c>
    </row>
    <row r="20" ht="18.75" customHeight="1" s="141">
      <c r="B20" s="21" t="n"/>
    </row>
    <row r="21" ht="18.75" customHeight="1" s="141">
      <c r="B21" s="21" t="n"/>
    </row>
    <row r="22" ht="18.75" customHeight="1" s="141">
      <c r="B22" s="21" t="n"/>
    </row>
    <row r="23" ht="18.75" customHeight="1" s="141">
      <c r="B23" s="21" t="n"/>
    </row>
    <row r="26">
      <c r="B26" s="6" t="inlineStr">
        <is>
          <t>Составил ______________________        Е.А. Князева</t>
        </is>
      </c>
      <c r="C26" s="1" t="n"/>
    </row>
    <row r="27">
      <c r="B27" s="49" t="inlineStr">
        <is>
          <t xml:space="preserve">                         (подпись, инициалы, фамилия)</t>
        </is>
      </c>
      <c r="C27" s="1" t="n"/>
    </row>
    <row r="28">
      <c r="B28" s="6" t="n"/>
      <c r="C28" s="1" t="n"/>
    </row>
    <row r="29">
      <c r="B29" s="6" t="inlineStr">
        <is>
          <t>Проверил ______________________        А.В. Костянецкая</t>
        </is>
      </c>
      <c r="C29" s="1" t="n"/>
    </row>
    <row r="30">
      <c r="B30" s="49" t="inlineStr">
        <is>
          <t xml:space="preserve">                        (подпись, инициалы, фамилия)</t>
        </is>
      </c>
      <c r="C30" s="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E26" sqref="E26"/>
    </sheetView>
  </sheetViews>
  <sheetFormatPr baseColWidth="8" defaultColWidth="9.140625" defaultRowHeight="15"/>
  <cols>
    <col width="44.85546875" customWidth="1" style="141" min="2" max="2"/>
    <col width="13" customWidth="1" style="141" min="3" max="3"/>
    <col width="22.85546875" customWidth="1" style="141" min="4" max="4"/>
    <col width="21.5703125" customWidth="1" style="141" min="5" max="5"/>
    <col width="43.85546875" customWidth="1" style="141" min="6" max="6"/>
  </cols>
  <sheetData>
    <row r="1" s="141"/>
    <row r="2" ht="17.25" customHeight="1" s="141">
      <c r="A2" s="163" t="inlineStr">
        <is>
          <t>Расчет размера средств на оплату труда рабочих-строителей в текущем уровне цен (ФОТр.тек.)</t>
        </is>
      </c>
    </row>
    <row r="3" s="141"/>
    <row r="4" ht="18" customHeight="1" s="141">
      <c r="A4" s="103" t="inlineStr">
        <is>
          <t>Составлен в уровне цен на 01.01.2023 г.</t>
        </is>
      </c>
      <c r="B4" s="132" t="n"/>
      <c r="C4" s="132" t="n"/>
      <c r="D4" s="132" t="n"/>
      <c r="E4" s="132" t="n"/>
      <c r="F4" s="132" t="n"/>
      <c r="G4" s="132" t="n"/>
    </row>
    <row r="5" ht="15.75" customHeight="1" s="141">
      <c r="A5" s="135" t="inlineStr">
        <is>
          <t>№ пп.</t>
        </is>
      </c>
      <c r="B5" s="135" t="inlineStr">
        <is>
          <t>Наименование элемента</t>
        </is>
      </c>
      <c r="C5" s="135" t="inlineStr">
        <is>
          <t>Обозначение</t>
        </is>
      </c>
      <c r="D5" s="135" t="inlineStr">
        <is>
          <t>Формула</t>
        </is>
      </c>
      <c r="E5" s="135" t="inlineStr">
        <is>
          <t>Величина элемента</t>
        </is>
      </c>
      <c r="F5" s="135" t="inlineStr">
        <is>
          <t>Наименования обосновывающих документов</t>
        </is>
      </c>
      <c r="G5" s="132" t="n"/>
    </row>
    <row r="6" ht="15.75" customHeight="1" s="141">
      <c r="A6" s="135" t="n">
        <v>1</v>
      </c>
      <c r="B6" s="135" t="n">
        <v>2</v>
      </c>
      <c r="C6" s="135" t="n">
        <v>3</v>
      </c>
      <c r="D6" s="135" t="n">
        <v>4</v>
      </c>
      <c r="E6" s="135" t="n">
        <v>5</v>
      </c>
      <c r="F6" s="135" t="n">
        <v>6</v>
      </c>
      <c r="G6" s="132" t="n"/>
    </row>
    <row r="7" ht="110.25" customHeight="1" s="141">
      <c r="A7" s="106" t="inlineStr">
        <is>
          <t>1.1</t>
        </is>
      </c>
      <c r="B7" s="12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66" t="inlineStr">
        <is>
          <t>С1ср</t>
        </is>
      </c>
      <c r="D7" s="166" t="inlineStr">
        <is>
          <t>-</t>
        </is>
      </c>
      <c r="E7" s="109" t="n">
        <v>47872.94</v>
      </c>
      <c r="F7" s="12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32" t="n"/>
    </row>
    <row r="8" ht="31.5" customHeight="1" s="141">
      <c r="A8" s="106" t="inlineStr">
        <is>
          <t>1.2</t>
        </is>
      </c>
      <c r="B8" s="126" t="inlineStr">
        <is>
          <t>Среднегодовое нормативное число часов работы одного рабочего в месяц, часы (ч.)</t>
        </is>
      </c>
      <c r="C8" s="166" t="inlineStr">
        <is>
          <t>tср</t>
        </is>
      </c>
      <c r="D8" s="166" t="inlineStr">
        <is>
          <t>1973ч/12мес.</t>
        </is>
      </c>
      <c r="E8" s="110">
        <f>1973/12</f>
        <v/>
      </c>
      <c r="F8" s="126" t="inlineStr">
        <is>
          <t>Производственный календарь 2023 год
(40-часов.неделя)</t>
        </is>
      </c>
      <c r="G8" s="113" t="n"/>
    </row>
    <row r="9" ht="15.75" customHeight="1" s="141">
      <c r="A9" s="106" t="inlineStr">
        <is>
          <t>1.3</t>
        </is>
      </c>
      <c r="B9" s="126" t="inlineStr">
        <is>
          <t>Коэффициент увеличения</t>
        </is>
      </c>
      <c r="C9" s="166" t="inlineStr">
        <is>
          <t>Кув</t>
        </is>
      </c>
      <c r="D9" s="166" t="inlineStr">
        <is>
          <t>-</t>
        </is>
      </c>
      <c r="E9" s="110" t="n">
        <v>1</v>
      </c>
      <c r="F9" s="126" t="n"/>
      <c r="G9" s="113" t="n"/>
    </row>
    <row r="10" ht="15.75" customHeight="1" s="141">
      <c r="A10" s="106" t="inlineStr">
        <is>
          <t>1.4</t>
        </is>
      </c>
      <c r="B10" s="126" t="inlineStr">
        <is>
          <t>Средний разряд работ</t>
        </is>
      </c>
      <c r="C10" s="166" t="n"/>
      <c r="D10" s="166" t="n"/>
      <c r="E10" s="215" t="n">
        <v>3.7</v>
      </c>
      <c r="F10" s="126" t="inlineStr">
        <is>
          <t>РТМ</t>
        </is>
      </c>
      <c r="G10" s="113" t="n"/>
    </row>
    <row r="11" ht="78.75" customHeight="1" s="141">
      <c r="A11" s="106" t="inlineStr">
        <is>
          <t>1.5</t>
        </is>
      </c>
      <c r="B11" s="126" t="inlineStr">
        <is>
          <t>Тарифный коэффициент среднего разряда работ</t>
        </is>
      </c>
      <c r="C11" s="166" t="inlineStr">
        <is>
          <t>КТ</t>
        </is>
      </c>
      <c r="D11" s="166" t="inlineStr">
        <is>
          <t>-</t>
        </is>
      </c>
      <c r="E11" s="216" t="n">
        <v>1.293</v>
      </c>
      <c r="F11" s="12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32" t="n"/>
    </row>
    <row r="12" ht="78.75" customHeight="1" s="141">
      <c r="A12" s="106" t="inlineStr">
        <is>
          <t>1.6</t>
        </is>
      </c>
      <c r="B12" s="138" t="inlineStr">
        <is>
          <t>Коэффициент инфляции, определяемый поквартально</t>
        </is>
      </c>
      <c r="C12" s="166" t="inlineStr">
        <is>
          <t>Кинф</t>
        </is>
      </c>
      <c r="D12" s="166" t="inlineStr">
        <is>
          <t>-</t>
        </is>
      </c>
      <c r="E12" s="217" t="n">
        <v>1.139</v>
      </c>
      <c r="F12" s="1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41">
      <c r="A13" s="119" t="inlineStr">
        <is>
          <t>1.7</t>
        </is>
      </c>
      <c r="B13" s="120" t="inlineStr">
        <is>
          <t>Размер средств на оплату труда рабочих-строителей в текущем уровне цен (ФОТр.тек.), руб/чел.-ч</t>
        </is>
      </c>
      <c r="C13" s="136" t="inlineStr">
        <is>
          <t>ФОТр.тек.</t>
        </is>
      </c>
      <c r="D13" s="136" t="inlineStr">
        <is>
          <t>(С1ср/tср*КТ*Т*Кув)*Кинф</t>
        </is>
      </c>
      <c r="E13" s="122">
        <f>((E7*E9/E8)*E11)*E12</f>
        <v/>
      </c>
      <c r="F13" s="12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3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2025-01-24T11:52:21Z</dcterms:modified>
  <cp:lastModifiedBy>Виктор Плотников</cp:lastModifiedBy>
  <cp:lastPrinted>2023-11-25T10:31:12Z</cp:lastPrinted>
</cp:coreProperties>
</file>