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tabSelected="1" view="pageBreakPreview" topLeftCell="A7" zoomScale="60" zoomScaleNormal="70" workbookViewId="0">
      <selection activeCell="C28" sqref="C28"/>
    </sheetView>
  </sheetViews>
  <sheetFormatPr baseColWidth="8" defaultRowHeight="15.75"/>
  <cols>
    <col width="9.140625" customWidth="1" style="200" min="1" max="2"/>
    <col width="36.85546875" customWidth="1" style="200" min="3" max="3"/>
    <col width="42.5703125" customWidth="1" style="200" min="4" max="4"/>
    <col width="14.28515625" customWidth="1" style="198" min="5" max="5"/>
    <col width="12.140625" customWidth="1" style="198" min="6" max="6"/>
    <col width="12.28515625" customWidth="1" style="198" min="7" max="7"/>
    <col width="15" customWidth="1" style="198" min="8" max="8"/>
    <col width="9.140625" customWidth="1" style="198" min="9" max="9"/>
  </cols>
  <sheetData>
    <row r="1">
      <c r="E1" s="200" t="n"/>
      <c r="F1" s="200" t="n"/>
      <c r="G1" s="200" t="n"/>
      <c r="H1" s="200" t="n"/>
      <c r="I1" s="200" t="n"/>
    </row>
    <row r="2">
      <c r="E2" s="200" t="n"/>
      <c r="F2" s="200" t="n"/>
      <c r="G2" s="200" t="n"/>
      <c r="H2" s="200" t="n"/>
      <c r="I2" s="200" t="n"/>
    </row>
    <row r="3">
      <c r="B3" s="231" t="inlineStr">
        <is>
          <t>Приложение № 1</t>
        </is>
      </c>
      <c r="E3" s="200" t="n"/>
      <c r="F3" s="200" t="n"/>
      <c r="G3" s="200" t="n"/>
      <c r="H3" s="200" t="n"/>
      <c r="I3" s="200" t="n"/>
    </row>
    <row r="4">
      <c r="B4" s="232" t="inlineStr">
        <is>
          <t>Сравнительная таблица отбора объекта-представителя</t>
        </is>
      </c>
      <c r="E4" s="200" t="n"/>
      <c r="F4" s="200" t="n"/>
      <c r="G4" s="200" t="n"/>
      <c r="H4" s="200" t="n"/>
      <c r="I4" s="200" t="n"/>
    </row>
    <row r="5">
      <c r="B5" s="106" t="n"/>
      <c r="C5" s="106" t="n"/>
      <c r="D5" s="106" t="n"/>
      <c r="E5" s="200" t="n"/>
      <c r="F5" s="200" t="n"/>
      <c r="G5" s="200" t="n"/>
      <c r="H5" s="200" t="n"/>
      <c r="I5" s="200" t="n"/>
    </row>
    <row r="6">
      <c r="B6" s="106" t="n"/>
      <c r="C6" s="106" t="n"/>
      <c r="D6" s="106" t="n"/>
      <c r="E6" s="200" t="n"/>
      <c r="F6" s="200" t="n"/>
      <c r="G6" s="200" t="n"/>
      <c r="H6" s="200" t="n"/>
      <c r="I6" s="200" t="n"/>
    </row>
    <row r="7" ht="59.25" customHeight="1" s="198">
      <c r="B7" s="230">
        <f>CONCATENATE(TEXT('Прил.5 Расчет СМР и ОБ'!A6,0)," - ",TEXT('Прил.5 Расчет СМР и ОБ'!D6,0))</f>
        <v/>
      </c>
      <c r="E7" s="107" t="n"/>
      <c r="F7" s="200" t="n"/>
      <c r="G7" s="200" t="n"/>
      <c r="H7" s="200" t="n"/>
      <c r="I7" s="200" t="n"/>
    </row>
    <row r="8" ht="15.75" customHeight="1" s="198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200" t="n"/>
      <c r="F8" s="200" t="n"/>
      <c r="G8" s="200" t="n"/>
      <c r="H8" s="200" t="n"/>
      <c r="I8" s="200" t="n"/>
    </row>
    <row r="9" ht="15.75" customHeight="1" s="198">
      <c r="B9" s="230" t="inlineStr">
        <is>
          <t>Единица измерения  — 1 ед</t>
        </is>
      </c>
      <c r="E9" s="107" t="n"/>
      <c r="F9" s="200" t="n"/>
      <c r="G9" s="200" t="n"/>
      <c r="H9" s="200" t="n"/>
      <c r="I9" s="200" t="n"/>
    </row>
    <row r="10">
      <c r="B10" s="230" t="n"/>
      <c r="E10" s="200" t="n"/>
      <c r="F10" s="200" t="n"/>
      <c r="G10" s="200" t="n"/>
      <c r="H10" s="200" t="n"/>
      <c r="I10" s="200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>Объект-представитель 1</t>
        </is>
      </c>
      <c r="E11" s="107" t="n"/>
      <c r="F11" s="200" t="n"/>
      <c r="G11" s="200" t="n"/>
      <c r="H11" s="200" t="n"/>
      <c r="I11" s="200" t="n"/>
    </row>
    <row r="12" ht="76.5" customHeight="1" s="198">
      <c r="B12" s="235" t="n">
        <v>1</v>
      </c>
      <c r="C12" s="221" t="inlineStr">
        <is>
          <t>Наименование объекта-представителя</t>
        </is>
      </c>
      <c r="D12" s="235" t="inlineStr">
        <is>
          <t>Строительство ПС 330 кВ Мурманская с заходами ВЛ 330 кВ. Корректировка -2</t>
        </is>
      </c>
      <c r="E12" s="200" t="n"/>
      <c r="F12" s="200" t="n"/>
      <c r="G12" s="200" t="n"/>
      <c r="H12" s="200" t="n"/>
      <c r="I12" s="200" t="n"/>
    </row>
    <row r="13" ht="31.5" customHeight="1" s="198">
      <c r="B13" s="235" t="n">
        <v>2</v>
      </c>
      <c r="C13" s="221" t="inlineStr">
        <is>
          <t>Наименование субъекта Российской Федерации</t>
        </is>
      </c>
      <c r="D13" s="235" t="inlineStr">
        <is>
          <t>Мурманская область</t>
        </is>
      </c>
      <c r="E13" s="200" t="n"/>
      <c r="F13" s="200" t="n"/>
      <c r="G13" s="200" t="n"/>
      <c r="H13" s="200" t="n"/>
      <c r="I13" s="200" t="n"/>
    </row>
    <row r="14">
      <c r="B14" s="235" t="n">
        <v>3</v>
      </c>
      <c r="C14" s="221" t="inlineStr">
        <is>
          <t>Климатический район и подрайон</t>
        </is>
      </c>
      <c r="D14" s="235" t="inlineStr">
        <is>
          <t>IIА</t>
        </is>
      </c>
      <c r="E14" s="200" t="n"/>
      <c r="F14" s="200" t="n"/>
      <c r="G14" s="200" t="n"/>
      <c r="H14" s="200" t="n"/>
      <c r="I14" s="200" t="n"/>
    </row>
    <row r="15">
      <c r="B15" s="235" t="n">
        <v>4</v>
      </c>
      <c r="C15" s="221" t="inlineStr">
        <is>
          <t>Мощность объекта</t>
        </is>
      </c>
      <c r="D15" s="235" t="n">
        <v>1</v>
      </c>
      <c r="E15" s="200" t="n"/>
      <c r="F15" s="200" t="n"/>
      <c r="G15" s="200" t="n"/>
      <c r="H15" s="200" t="n"/>
      <c r="I15" s="200" t="n"/>
    </row>
    <row r="16" ht="100.5" customHeight="1" s="198">
      <c r="B16" s="23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200" t="n"/>
      <c r="F16" s="200" t="n"/>
      <c r="G16" s="200" t="n"/>
      <c r="H16" s="200" t="n"/>
      <c r="I16" s="200" t="n"/>
    </row>
    <row r="17" ht="82.5" customHeight="1" s="198">
      <c r="B17" s="23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7">
        <f>D18+D19+D20+D21</f>
        <v/>
      </c>
      <c r="E17" s="110" t="n"/>
      <c r="F17" s="200" t="n"/>
      <c r="G17" s="200" t="n"/>
      <c r="H17" s="200" t="n"/>
      <c r="I17" s="200" t="n"/>
    </row>
    <row r="18">
      <c r="B18" s="111" t="inlineStr">
        <is>
          <t>6.1</t>
        </is>
      </c>
      <c r="C18" s="221" t="inlineStr">
        <is>
          <t>строительно-монтажные работы</t>
        </is>
      </c>
      <c r="D18" s="227">
        <f>'Прил.2 Расч стоим'!F14+'Прил.2 Расч стоим'!G14</f>
        <v/>
      </c>
      <c r="E18" s="200" t="n"/>
      <c r="F18" s="200" t="n"/>
      <c r="G18" s="200" t="n"/>
      <c r="H18" s="200" t="n"/>
      <c r="I18" s="200" t="n"/>
    </row>
    <row r="19">
      <c r="B19" s="111" t="inlineStr">
        <is>
          <t>6.2</t>
        </is>
      </c>
      <c r="C19" s="221" t="inlineStr">
        <is>
          <t>оборудование и инвентарь</t>
        </is>
      </c>
      <c r="D19" s="227">
        <f>'Прил.2 Расч стоим'!H14</f>
        <v/>
      </c>
      <c r="E19" s="200" t="n"/>
      <c r="F19" s="200" t="n"/>
      <c r="G19" s="200" t="n"/>
      <c r="H19" s="200" t="n"/>
      <c r="I19" s="200" t="n"/>
    </row>
    <row r="20">
      <c r="B20" s="111" t="inlineStr">
        <is>
          <t>6.3</t>
        </is>
      </c>
      <c r="C20" s="221" t="inlineStr">
        <is>
          <t>пусконаладочные работы</t>
        </is>
      </c>
      <c r="D20" s="227" t="n"/>
      <c r="E20" s="200" t="n"/>
      <c r="F20" s="200" t="n"/>
      <c r="G20" s="200" t="n"/>
      <c r="H20" s="200" t="n"/>
      <c r="I20" s="200" t="n"/>
    </row>
    <row r="21" ht="31.5" customHeight="1" s="198">
      <c r="B21" s="111" t="inlineStr">
        <is>
          <t>6.4</t>
        </is>
      </c>
      <c r="C21" s="112" t="inlineStr">
        <is>
          <t>прочие и лимитированные затраты</t>
        </is>
      </c>
      <c r="D21" s="227">
        <f>D18*3.9%+(D18*3.9%+D18)*2.1%</f>
        <v/>
      </c>
      <c r="E21" s="200" t="n"/>
      <c r="F21" s="200" t="n"/>
      <c r="G21" s="200" t="n"/>
      <c r="H21" s="200" t="n"/>
      <c r="I21" s="200" t="n"/>
    </row>
    <row r="22">
      <c r="B22" s="235" t="n">
        <v>7</v>
      </c>
      <c r="C22" s="112" t="inlineStr">
        <is>
          <t>Сопоставимый уровень цен</t>
        </is>
      </c>
      <c r="D22" s="235" t="inlineStr">
        <is>
          <t>4 кв. 2019г.</t>
        </is>
      </c>
      <c r="E22" s="110" t="n"/>
      <c r="F22" s="200" t="n"/>
      <c r="G22" s="200" t="n"/>
      <c r="H22" s="200" t="n"/>
      <c r="I22" s="200" t="n"/>
    </row>
    <row r="23" ht="119.25" customHeight="1" s="198">
      <c r="A23" s="200" t="n"/>
      <c r="B23" s="23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7">
        <f>D17</f>
        <v/>
      </c>
      <c r="E23" s="200" t="n"/>
      <c r="F23" s="200" t="n"/>
      <c r="G23" s="200" t="n"/>
      <c r="H23" s="200" t="n"/>
      <c r="I23" s="200" t="n"/>
    </row>
    <row r="24" ht="47.25" customHeight="1" s="198">
      <c r="B24" s="23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7">
        <f>D23/D15</f>
        <v/>
      </c>
      <c r="E24" s="110" t="n"/>
      <c r="F24" s="200" t="n"/>
      <c r="G24" s="200" t="n"/>
      <c r="H24" s="200" t="n"/>
      <c r="I24" s="200" t="n"/>
    </row>
    <row r="25" ht="47.25" customHeight="1" s="198">
      <c r="B25" s="235" t="n">
        <v>10</v>
      </c>
      <c r="C25" s="221" t="inlineStr">
        <is>
          <t>Примечание</t>
        </is>
      </c>
      <c r="D25" s="221" t="n"/>
      <c r="E25" s="200" t="n"/>
      <c r="F25" s="200" t="n"/>
      <c r="G25" s="200" t="n"/>
      <c r="H25" s="200" t="n"/>
      <c r="I25" s="200" t="n"/>
    </row>
    <row r="26">
      <c r="B26" s="264" t="n"/>
      <c r="C26" s="114" t="n"/>
      <c r="D26" s="114" t="n"/>
      <c r="E26" s="200" t="n"/>
      <c r="F26" s="200" t="n"/>
      <c r="G26" s="200" t="n"/>
      <c r="H26" s="200" t="n"/>
      <c r="I26" s="200" t="n"/>
    </row>
    <row r="27">
      <c r="B27" s="142" t="n"/>
      <c r="E27" s="200" t="n"/>
      <c r="F27" s="200" t="n"/>
      <c r="G27" s="200" t="n"/>
      <c r="H27" s="200" t="n"/>
      <c r="I27" s="200" t="n"/>
    </row>
    <row r="28">
      <c r="B28" s="200" t="inlineStr">
        <is>
          <t>Составил ______________________        Е.А. Князева</t>
        </is>
      </c>
      <c r="E28" s="200" t="n"/>
      <c r="F28" s="200" t="n"/>
      <c r="G28" s="200" t="n"/>
      <c r="H28" s="200" t="n"/>
      <c r="I28" s="200" t="n"/>
    </row>
    <row r="29" ht="22.5" customHeight="1" s="198">
      <c r="B29" s="123" t="inlineStr">
        <is>
          <t xml:space="preserve">                         (подпись, инициалы, фамилия)</t>
        </is>
      </c>
      <c r="E29" s="200" t="n"/>
      <c r="F29" s="200" t="n"/>
      <c r="G29" s="200" t="n"/>
      <c r="H29" s="200" t="n"/>
      <c r="I29" s="200" t="n"/>
    </row>
    <row r="30">
      <c r="E30" s="200" t="n"/>
      <c r="F30" s="200" t="n"/>
      <c r="G30" s="200" t="n"/>
      <c r="H30" s="200" t="n"/>
      <c r="I30" s="200" t="n"/>
    </row>
    <row r="31">
      <c r="B31" s="200" t="inlineStr">
        <is>
          <t>Проверил ______________________        А.В. Костянецкая</t>
        </is>
      </c>
      <c r="E31" s="200" t="n"/>
      <c r="F31" s="200" t="n"/>
      <c r="G31" s="200" t="n"/>
      <c r="H31" s="200" t="n"/>
      <c r="I31" s="200" t="n"/>
    </row>
    <row r="32" ht="22.5" customHeight="1" s="198">
      <c r="B32" s="123" t="inlineStr">
        <is>
          <t xml:space="preserve">                        (подпись, инициалы, фамилия)</t>
        </is>
      </c>
      <c r="E32" s="200" t="n"/>
      <c r="F32" s="200" t="n"/>
      <c r="G32" s="200" t="n"/>
      <c r="H32" s="200" t="n"/>
      <c r="I32" s="200" t="n"/>
    </row>
    <row r="33">
      <c r="E33" s="200" t="n"/>
      <c r="F33" s="200" t="n"/>
      <c r="G33" s="200" t="n"/>
      <c r="H33" s="200" t="n"/>
      <c r="I33" s="200" t="n"/>
    </row>
    <row r="34">
      <c r="E34" s="200" t="n"/>
      <c r="F34" s="200" t="n"/>
      <c r="G34" s="200" t="n"/>
      <c r="H34" s="200" t="n"/>
      <c r="I34" s="20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20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9.140625" customWidth="1" style="198" min="11" max="11"/>
  </cols>
  <sheetData>
    <row r="1" ht="15.75" customHeight="1" s="198">
      <c r="A1" s="200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</row>
    <row r="2" ht="15.75" customHeight="1" s="198">
      <c r="A2" s="200" t="n"/>
      <c r="B2" s="200" t="n"/>
      <c r="C2" s="200" t="n"/>
      <c r="D2" s="200" t="n"/>
      <c r="E2" s="200" t="n"/>
      <c r="F2" s="200" t="n"/>
      <c r="G2" s="200" t="n"/>
      <c r="H2" s="200" t="n"/>
      <c r="I2" s="200" t="n"/>
      <c r="J2" s="200" t="n"/>
    </row>
    <row r="3" ht="15.75" customHeight="1" s="198">
      <c r="A3" s="200" t="n"/>
      <c r="B3" s="231" t="inlineStr">
        <is>
          <t>Приложение № 2</t>
        </is>
      </c>
    </row>
    <row r="4" ht="15.75" customHeight="1" s="198">
      <c r="A4" s="200" t="n"/>
      <c r="B4" s="232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A5" s="20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8">
      <c r="A6" s="200" t="n"/>
      <c r="B6" s="234">
        <f>'Прил.1 Сравнит табл'!B7</f>
        <v/>
      </c>
    </row>
    <row r="7" ht="15.75" customHeight="1" s="198">
      <c r="A7" s="200" t="n"/>
      <c r="B7" s="230">
        <f>'Прил.1 Сравнит табл'!B9</f>
        <v/>
      </c>
    </row>
    <row r="8" ht="15.75" customHeight="1" s="198">
      <c r="A8" s="200" t="n"/>
      <c r="B8" s="230" t="n"/>
      <c r="C8" s="200" t="n"/>
      <c r="D8" s="200" t="n"/>
      <c r="E8" s="200" t="n"/>
      <c r="F8" s="200" t="n"/>
      <c r="G8" s="200" t="n"/>
      <c r="H8" s="200" t="n"/>
      <c r="I8" s="200" t="n"/>
      <c r="J8" s="200" t="n"/>
    </row>
    <row r="9" ht="15.75" customHeight="1" s="198">
      <c r="A9" s="200" t="n"/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98">
      <c r="A10" s="200" t="n"/>
      <c r="B10" s="268" t="n"/>
      <c r="C10" s="26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2019г., тыс. руб.</t>
        </is>
      </c>
      <c r="G10" s="266" t="n"/>
      <c r="H10" s="266" t="n"/>
      <c r="I10" s="266" t="n"/>
      <c r="J10" s="267" t="n"/>
    </row>
    <row r="11" ht="69.75" customHeight="1" s="198">
      <c r="A11" s="200" t="n"/>
      <c r="B11" s="269" t="n"/>
      <c r="C11" s="269" t="n"/>
      <c r="D11" s="269" t="n"/>
      <c r="E11" s="269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41.25" customHeight="1" s="198">
      <c r="A12" s="200" t="n"/>
      <c r="B12" s="220" t="n">
        <v>1</v>
      </c>
      <c r="C12" s="221" t="inlineStr">
        <is>
          <t>Система АСУТП - 1 комплект</t>
        </is>
      </c>
      <c r="D12" s="222" t="inlineStr">
        <is>
          <t>02-08-02</t>
        </is>
      </c>
      <c r="E12" s="221" t="inlineStr">
        <is>
          <t xml:space="preserve"> ПС 330 кВ. Мурманская. АСУ ТП. </t>
        </is>
      </c>
      <c r="F12" s="223" t="n"/>
      <c r="G12" s="223" t="n">
        <v>22059.71</v>
      </c>
      <c r="H12" s="223" t="n">
        <v>125196.26</v>
      </c>
      <c r="I12" s="223" t="n"/>
      <c r="J12" s="224">
        <f>SUM(F12:I12)</f>
        <v/>
      </c>
    </row>
    <row r="13" ht="15.75" customHeight="1" s="198">
      <c r="A13" s="200" t="n"/>
      <c r="B13" s="233" t="inlineStr">
        <is>
          <t>Всего по объекту:</t>
        </is>
      </c>
      <c r="C13" s="266" t="n"/>
      <c r="D13" s="266" t="n"/>
      <c r="E13" s="267" t="n"/>
      <c r="F13" s="226">
        <f>SUM(F12:F12)</f>
        <v/>
      </c>
      <c r="G13" s="226">
        <f>SUM(G12:G12)</f>
        <v/>
      </c>
      <c r="H13" s="226">
        <f>SUM(H12:H12)</f>
        <v/>
      </c>
      <c r="I13" s="226" t="n"/>
      <c r="J13" s="226">
        <f>SUM(F13:I13)</f>
        <v/>
      </c>
    </row>
    <row r="14" ht="15.75" customHeight="1" s="198">
      <c r="A14" s="200" t="n"/>
      <c r="B14" s="233" t="inlineStr">
        <is>
          <t>Всего по объекту в сопоставимом уровне цен 4 кв. 2019 г. :</t>
        </is>
      </c>
      <c r="C14" s="266" t="n"/>
      <c r="D14" s="266" t="n"/>
      <c r="E14" s="267" t="n"/>
      <c r="F14" s="226">
        <f>F13</f>
        <v/>
      </c>
      <c r="G14" s="226">
        <f>G13</f>
        <v/>
      </c>
      <c r="H14" s="226">
        <f>H13</f>
        <v/>
      </c>
      <c r="I14" s="226">
        <f>'Прил.1 Сравнит табл'!D21</f>
        <v/>
      </c>
      <c r="J14" s="226">
        <f>SUM(F14:I14)</f>
        <v/>
      </c>
    </row>
    <row r="15" ht="15.75" customHeight="1" s="198">
      <c r="A15" s="200" t="n"/>
      <c r="B15" s="230" t="n"/>
      <c r="C15" s="200" t="n"/>
      <c r="D15" s="200" t="n"/>
      <c r="E15" s="200" t="n"/>
      <c r="F15" s="200" t="n"/>
      <c r="G15" s="200" t="n"/>
      <c r="H15" s="200" t="n"/>
      <c r="I15" s="200" t="n"/>
      <c r="J15" s="200" t="n"/>
    </row>
    <row r="16" ht="15.75" customHeight="1" s="198">
      <c r="A16" s="200" t="n"/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</row>
    <row r="17" ht="15.75" customHeight="1" s="198">
      <c r="A17" s="200" t="n"/>
      <c r="B17" s="200" t="n"/>
      <c r="C17" s="200" t="n"/>
      <c r="D17" s="200" t="n"/>
      <c r="E17" s="200" t="n"/>
      <c r="F17" s="200" t="n"/>
      <c r="G17" s="200" t="n"/>
      <c r="H17" s="200" t="n"/>
      <c r="I17" s="200" t="n"/>
      <c r="J17" s="200" t="n"/>
    </row>
    <row r="18" ht="15.75" customHeight="1" s="198">
      <c r="A18" s="200" t="n"/>
      <c r="B18" s="200" t="n"/>
      <c r="C18" s="200" t="n"/>
      <c r="D18" s="200" t="n"/>
      <c r="E18" s="200" t="n"/>
      <c r="F18" s="200" t="n"/>
      <c r="G18" s="200" t="n"/>
      <c r="H18" s="200" t="n"/>
      <c r="I18" s="200" t="n"/>
      <c r="J18" s="200" t="n"/>
    </row>
    <row r="19" ht="15.75" customHeight="1" s="198">
      <c r="A19" s="200" t="n"/>
      <c r="B19" s="200" t="inlineStr">
        <is>
          <t>Составил ______________________        Е.А. Князева</t>
        </is>
      </c>
      <c r="C19" s="200" t="n"/>
      <c r="D19" s="200" t="n"/>
      <c r="E19" s="200" t="n"/>
      <c r="F19" s="200" t="n"/>
      <c r="G19" s="200" t="n"/>
      <c r="H19" s="200" t="n"/>
      <c r="I19" s="200" t="n"/>
      <c r="J19" s="200" t="n"/>
    </row>
    <row r="20" ht="22.5" customHeight="1" s="198">
      <c r="A20" s="200" t="n"/>
      <c r="B20" s="123" t="inlineStr">
        <is>
          <t xml:space="preserve">                         (подпись, инициалы, фамилия)</t>
        </is>
      </c>
      <c r="C20" s="200" t="n"/>
      <c r="D20" s="200" t="n"/>
      <c r="E20" s="200" t="n"/>
      <c r="F20" s="200" t="n"/>
      <c r="G20" s="200" t="n"/>
      <c r="H20" s="200" t="n"/>
      <c r="I20" s="200" t="n"/>
      <c r="J20" s="200" t="n"/>
    </row>
    <row r="21" ht="15.75" customHeight="1" s="198">
      <c r="A21" s="200" t="n"/>
      <c r="B21" s="200" t="n"/>
      <c r="C21" s="200" t="n"/>
      <c r="D21" s="200" t="n"/>
      <c r="E21" s="200" t="n"/>
      <c r="F21" s="200" t="n"/>
      <c r="G21" s="200" t="n"/>
      <c r="H21" s="200" t="n"/>
      <c r="I21" s="200" t="n"/>
      <c r="J21" s="200" t="n"/>
    </row>
    <row r="22" ht="15.75" customHeight="1" s="198">
      <c r="A22" s="200" t="n"/>
      <c r="B22" s="200" t="inlineStr">
        <is>
          <t>Проверил ______________________        А.В. Костянецкая</t>
        </is>
      </c>
      <c r="C22" s="200" t="n"/>
      <c r="D22" s="200" t="n"/>
      <c r="E22" s="200" t="n"/>
      <c r="F22" s="200" t="n"/>
      <c r="G22" s="200" t="n"/>
      <c r="H22" s="200" t="n"/>
      <c r="I22" s="200" t="n"/>
      <c r="J22" s="200" t="n"/>
    </row>
    <row r="23" ht="22.5" customHeight="1" s="198">
      <c r="A23" s="200" t="n"/>
      <c r="B23" s="123" t="inlineStr">
        <is>
          <t xml:space="preserve">                        (подпись, инициалы, фамилия)</t>
        </is>
      </c>
      <c r="C23" s="200" t="n"/>
      <c r="D23" s="200" t="n"/>
      <c r="E23" s="200" t="n"/>
      <c r="F23" s="200" t="n"/>
      <c r="G23" s="200" t="n"/>
      <c r="H23" s="200" t="n"/>
      <c r="I23" s="200" t="n"/>
      <c r="J23" s="20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34" zoomScale="55" zoomScaleSheetLayoutView="55" workbookViewId="0">
      <selection activeCell="C70" sqref="C70"/>
    </sheetView>
  </sheetViews>
  <sheetFormatPr baseColWidth="8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16.140625" customWidth="1" style="200" min="7" max="7"/>
    <col width="16.7109375" customWidth="1" style="200" min="8" max="8"/>
    <col width="9.140625" customWidth="1" style="200" min="9" max="9"/>
    <col width="19.42578125" customWidth="1" style="200" min="10" max="10"/>
    <col width="13" customWidth="1" style="198" min="11" max="11"/>
    <col width="9.140625" customWidth="1" style="198" min="12" max="13"/>
  </cols>
  <sheetData>
    <row r="1">
      <c r="K1" s="200" t="n"/>
    </row>
    <row r="2">
      <c r="A2" s="231" t="inlineStr">
        <is>
          <t xml:space="preserve">Приложение № 3 </t>
        </is>
      </c>
      <c r="K2" s="200" t="n"/>
    </row>
    <row r="3" s="198">
      <c r="A3" s="231" t="n"/>
      <c r="B3" s="231" t="n"/>
      <c r="C3" s="231" t="n"/>
      <c r="D3" s="231" t="n"/>
      <c r="E3" s="231" t="n"/>
      <c r="F3" s="231" t="n"/>
      <c r="G3" s="231" t="n"/>
      <c r="H3" s="231" t="n"/>
      <c r="I3" s="200" t="n"/>
      <c r="J3" s="200" t="n"/>
      <c r="K3" s="200" t="n"/>
    </row>
    <row r="4">
      <c r="A4" s="232" t="inlineStr">
        <is>
          <t>Объектная ресурсная ведомость</t>
        </is>
      </c>
      <c r="K4" s="200" t="n"/>
    </row>
    <row r="5" ht="18.75" customHeight="1" s="198">
      <c r="A5" s="230" t="n"/>
      <c r="K5" s="200" t="n"/>
    </row>
    <row r="6" ht="36.75" customHeight="1" s="198">
      <c r="A6" s="234">
        <f>'Прил.1 Сравнит табл'!B7</f>
        <v/>
      </c>
      <c r="K6" s="200" t="n"/>
    </row>
    <row r="7" ht="36.75" customHeight="1" s="198">
      <c r="A7" s="234" t="n"/>
      <c r="B7" s="234" t="n"/>
      <c r="C7" s="234" t="n"/>
      <c r="D7" s="234" t="n"/>
      <c r="E7" s="234" t="n"/>
      <c r="F7" s="234" t="n"/>
      <c r="G7" s="234" t="n"/>
      <c r="H7" s="234" t="n"/>
      <c r="I7" s="200" t="n"/>
      <c r="J7" s="200" t="n"/>
      <c r="K7" s="200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200" t="n"/>
    </row>
    <row r="9" ht="33" customHeight="1" s="198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67" t="n"/>
      <c r="K9" s="200" t="n"/>
    </row>
    <row r="10" ht="33" customHeight="1" s="198">
      <c r="A10" s="269" t="n"/>
      <c r="B10" s="269" t="n"/>
      <c r="C10" s="269" t="n"/>
      <c r="D10" s="269" t="n"/>
      <c r="E10" s="269" t="n"/>
      <c r="F10" s="269" t="n"/>
      <c r="G10" s="235" t="inlineStr">
        <is>
          <t>на ед.изм.</t>
        </is>
      </c>
      <c r="H10" s="235" t="inlineStr">
        <is>
          <t>общая</t>
        </is>
      </c>
      <c r="K10" s="200" t="n"/>
    </row>
    <row r="11">
      <c r="A11" s="217" t="n">
        <v>1</v>
      </c>
      <c r="B11" s="217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217" t="n">
        <v>6</v>
      </c>
      <c r="H11" s="217" t="n">
        <v>7</v>
      </c>
      <c r="I11" s="270" t="n"/>
      <c r="K11" s="200" t="n"/>
    </row>
    <row r="12">
      <c r="A12" s="236" t="inlineStr">
        <is>
          <t>Затраты труда рабочих</t>
        </is>
      </c>
      <c r="B12" s="266" t="n"/>
      <c r="C12" s="266" t="n"/>
      <c r="D12" s="266" t="n"/>
      <c r="E12" s="267" t="n"/>
      <c r="F12" s="117" t="n">
        <v>7234.028</v>
      </c>
      <c r="G12" s="117" t="n"/>
      <c r="H12" s="117">
        <f>SUM(H13:H16)</f>
        <v/>
      </c>
      <c r="I12" s="118" t="n"/>
      <c r="J12" s="118" t="n"/>
      <c r="K12" s="118" t="n"/>
    </row>
    <row r="13">
      <c r="A13" s="237" t="n">
        <v>1</v>
      </c>
      <c r="B13" s="139" t="n"/>
      <c r="C13" s="195" t="inlineStr">
        <is>
          <t>1-3-6</t>
        </is>
      </c>
      <c r="D13" s="238" t="inlineStr">
        <is>
          <t>Затраты труда рабочих (ср 3,6)</t>
        </is>
      </c>
      <c r="E13" s="237" t="inlineStr">
        <is>
          <t>чел.-ч</t>
        </is>
      </c>
      <c r="F13" s="237" t="n">
        <v>3678.4</v>
      </c>
      <c r="G13" s="121" t="n">
        <v>9.18</v>
      </c>
      <c r="H13" s="121">
        <f>ROUND(F13*G13,2)</f>
        <v/>
      </c>
      <c r="K13" s="200" t="n"/>
    </row>
    <row r="14" ht="15" customHeight="1" s="198">
      <c r="A14" s="237" t="n">
        <v>2</v>
      </c>
      <c r="B14" s="139" t="n"/>
      <c r="C14" s="195" t="inlineStr">
        <is>
          <t>1-3-8</t>
        </is>
      </c>
      <c r="D14" s="238" t="inlineStr">
        <is>
          <t>Затраты труда рабочих (ср 3,8)</t>
        </is>
      </c>
      <c r="E14" s="237" t="inlineStr">
        <is>
          <t>чел.-ч</t>
        </is>
      </c>
      <c r="F14" s="237" t="n">
        <v>3133.74</v>
      </c>
      <c r="G14" s="121" t="n">
        <v>9.4</v>
      </c>
      <c r="H14" s="121">
        <f>ROUND(F14*G14,2)</f>
        <v/>
      </c>
      <c r="K14" s="200" t="n"/>
    </row>
    <row r="15">
      <c r="A15" s="237" t="n">
        <v>3</v>
      </c>
      <c r="B15" s="139" t="n"/>
      <c r="C15" s="195" t="inlineStr">
        <is>
          <t>1-3-3</t>
        </is>
      </c>
      <c r="D15" s="238" t="inlineStr">
        <is>
          <t>Затраты труда рабочих (ср 3,3)</t>
        </is>
      </c>
      <c r="E15" s="237" t="inlineStr">
        <is>
          <t>чел.-ч</t>
        </is>
      </c>
      <c r="F15" s="237" t="n">
        <v>288.4</v>
      </c>
      <c r="G15" s="121" t="n">
        <v>8.859999999999999</v>
      </c>
      <c r="H15" s="121">
        <f>ROUND(F15*G15,2)</f>
        <v/>
      </c>
      <c r="K15" s="200" t="n"/>
    </row>
    <row r="16">
      <c r="A16" s="237" t="n">
        <v>4</v>
      </c>
      <c r="B16" s="139" t="n"/>
      <c r="C16" s="195" t="inlineStr">
        <is>
          <t>1-4-1</t>
        </is>
      </c>
      <c r="D16" s="238" t="inlineStr">
        <is>
          <t>Затраты труда рабочих (ср 4,1)</t>
        </is>
      </c>
      <c r="E16" s="237" t="inlineStr">
        <is>
          <t>чел.-ч</t>
        </is>
      </c>
      <c r="F16" s="237" t="n">
        <v>133.488</v>
      </c>
      <c r="G16" s="121" t="n">
        <v>9.76</v>
      </c>
      <c r="H16" s="121">
        <f>ROUND(F16*G16,2)</f>
        <v/>
      </c>
      <c r="K16" s="200" t="n"/>
    </row>
    <row r="17">
      <c r="A17" s="236" t="inlineStr">
        <is>
          <t>Затраты труда машинистов</t>
        </is>
      </c>
      <c r="B17" s="266" t="n"/>
      <c r="C17" s="266" t="n"/>
      <c r="D17" s="266" t="n"/>
      <c r="E17" s="267" t="n"/>
      <c r="F17" s="236" t="n">
        <v>76.90000000000001</v>
      </c>
      <c r="G17" s="117" t="n"/>
      <c r="H17" s="117">
        <f>H18</f>
        <v/>
      </c>
      <c r="K17" s="200" t="n"/>
    </row>
    <row r="18">
      <c r="A18" s="237" t="n">
        <v>5</v>
      </c>
      <c r="B18" s="220" t="n"/>
      <c r="C18" s="129" t="n">
        <v>2</v>
      </c>
      <c r="D18" s="238" t="inlineStr">
        <is>
          <t>Затраты труда машинистов</t>
        </is>
      </c>
      <c r="E18" s="237" t="inlineStr">
        <is>
          <t>чел.-ч</t>
        </is>
      </c>
      <c r="F18" s="237" t="n">
        <v>76.90000000000001</v>
      </c>
      <c r="G18" s="121" t="n"/>
      <c r="H18" s="121" t="n">
        <v>967.45</v>
      </c>
      <c r="K18" s="200" t="n"/>
    </row>
    <row r="19">
      <c r="A19" s="236" t="inlineStr">
        <is>
          <t>Машины и механизмы</t>
        </is>
      </c>
      <c r="B19" s="266" t="n"/>
      <c r="C19" s="266" t="n"/>
      <c r="D19" s="266" t="n"/>
      <c r="E19" s="267" t="n"/>
      <c r="F19" s="236" t="n"/>
      <c r="G19" s="117" t="n"/>
      <c r="H19" s="117">
        <f>SUM(H20:H25)</f>
        <v/>
      </c>
      <c r="I19" s="118" t="n"/>
      <c r="J19" s="118" t="n"/>
      <c r="K19" s="118" t="n"/>
    </row>
    <row r="20" ht="31.5" customHeight="1" s="198">
      <c r="A20" s="237" t="n">
        <v>6</v>
      </c>
      <c r="B20" s="220" t="n"/>
      <c r="C20" s="238" t="inlineStr">
        <is>
          <t>91.05.05-015</t>
        </is>
      </c>
      <c r="D20" s="238" t="inlineStr">
        <is>
          <t>Краны на автомобильном ходу, грузоподъемность 16 т</t>
        </is>
      </c>
      <c r="E20" s="237" t="inlineStr">
        <is>
          <t>маш.час</t>
        </is>
      </c>
      <c r="F20" s="237" t="n">
        <v>58.06</v>
      </c>
      <c r="G20" s="121" t="n">
        <v>115.4</v>
      </c>
      <c r="H20" s="121">
        <f>ROUND(F20*G20,2)</f>
        <v/>
      </c>
      <c r="K20" s="200" t="n"/>
    </row>
    <row r="21" ht="31.5" customHeight="1" s="198">
      <c r="A21" s="237" t="n">
        <v>7</v>
      </c>
      <c r="B21" s="220" t="n"/>
      <c r="C21" s="238" t="inlineStr">
        <is>
          <t>91.14.02-001</t>
        </is>
      </c>
      <c r="D21" s="238" t="inlineStr">
        <is>
          <t>Автомобили бортовые, грузоподъемность до 5 т</t>
        </is>
      </c>
      <c r="E21" s="237" t="inlineStr">
        <is>
          <t>маш.час</t>
        </is>
      </c>
      <c r="F21" s="237" t="n">
        <v>57.26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8">
      <c r="A22" s="237" t="n">
        <v>8</v>
      </c>
      <c r="B22" s="220" t="n"/>
      <c r="C22" s="238" t="inlineStr">
        <is>
          <t>91.06.03-061</t>
        </is>
      </c>
      <c r="D22" s="238" t="inlineStr">
        <is>
          <t>Лебедки электрические тяговым усилием до 12,26 кН (1,25 т)</t>
        </is>
      </c>
      <c r="E22" s="237" t="inlineStr">
        <is>
          <t>маш.час</t>
        </is>
      </c>
      <c r="F22" s="237" t="n">
        <v>362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8">
      <c r="A23" s="237" t="n">
        <v>9</v>
      </c>
      <c r="B23" s="220" t="n"/>
      <c r="C23" s="238" t="inlineStr">
        <is>
          <t>91.06.01-003</t>
        </is>
      </c>
      <c r="D23" s="238" t="inlineStr">
        <is>
          <t>Домкраты гидравлические, грузоподъемность 63-100 т</t>
        </is>
      </c>
      <c r="E23" s="237" t="inlineStr">
        <is>
          <t>маш.час</t>
        </is>
      </c>
      <c r="F23" s="237" t="n">
        <v>362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7" t="n">
        <v>10</v>
      </c>
      <c r="B24" s="220" t="n"/>
      <c r="C24" s="238" t="inlineStr">
        <is>
          <t>91.21.19-031</t>
        </is>
      </c>
      <c r="D24" s="238" t="inlineStr">
        <is>
          <t>Станки сверлильные</t>
        </is>
      </c>
      <c r="E24" s="237" t="inlineStr">
        <is>
          <t>маш.час</t>
        </is>
      </c>
      <c r="F24" s="237" t="n">
        <v>36.8</v>
      </c>
      <c r="G24" s="121" t="n">
        <v>2.36</v>
      </c>
      <c r="H24" s="121">
        <f>ROUND(F24*G24,2)</f>
        <v/>
      </c>
      <c r="K24" s="200" t="n"/>
    </row>
    <row r="25" ht="31.5" customHeight="1" s="198">
      <c r="A25" s="237" t="n">
        <v>11</v>
      </c>
      <c r="B25" s="220" t="n"/>
      <c r="C25" s="238" t="inlineStr">
        <is>
          <t>91.17.04-233</t>
        </is>
      </c>
      <c r="D25" s="238" t="inlineStr">
        <is>
          <t>Установки для сварки ручной дуговой (постоянного тока)</t>
        </is>
      </c>
      <c r="E25" s="237" t="inlineStr">
        <is>
          <t>маш.час</t>
        </is>
      </c>
      <c r="F25" s="237" t="n">
        <v>8</v>
      </c>
      <c r="G25" s="121" t="n">
        <v>8.1</v>
      </c>
      <c r="H25" s="121">
        <f>ROUND(F25*G25,2)</f>
        <v/>
      </c>
      <c r="K25" s="200" t="n"/>
    </row>
    <row r="26">
      <c r="A26" s="236" t="inlineStr">
        <is>
          <t>Оборудование</t>
        </is>
      </c>
      <c r="B26" s="266" t="n"/>
      <c r="C26" s="266" t="n"/>
      <c r="D26" s="266" t="n"/>
      <c r="E26" s="267" t="n"/>
      <c r="F26" s="236" t="n"/>
      <c r="G26" s="117" t="n"/>
      <c r="H26" s="117">
        <f>SUM(H27:H33)</f>
        <v/>
      </c>
      <c r="J26" s="131" t="n"/>
    </row>
    <row r="27" ht="47.25" customHeight="1" s="198">
      <c r="A27" s="237" t="n">
        <v>12</v>
      </c>
      <c r="B27" s="220" t="n"/>
      <c r="C27" s="238" t="inlineStr">
        <is>
          <t>Прайс из СД ОП</t>
        </is>
      </c>
      <c r="D27" s="238" t="inlineStr">
        <is>
          <t>Шкаф с преобразователями дискретных сигналов (количество контролируемых КА с пофазным приводом – 6)</t>
        </is>
      </c>
      <c r="E27" s="237" t="inlineStr">
        <is>
          <t>шт</t>
        </is>
      </c>
      <c r="F27" s="237" t="n">
        <v>30</v>
      </c>
      <c r="G27" s="121" t="n">
        <v>428434.51</v>
      </c>
      <c r="H27" s="121">
        <f>ROUND(F27*G27,2)</f>
        <v/>
      </c>
    </row>
    <row r="28" ht="31.5" customHeight="1" s="198">
      <c r="A28" s="237" t="n">
        <v>13</v>
      </c>
      <c r="B28" s="220" t="n"/>
      <c r="C28" s="238" t="inlineStr">
        <is>
          <t>Прайс из СД ОП</t>
        </is>
      </c>
      <c r="D28" s="238" t="inlineStr">
        <is>
          <t>Шкаф сетевой коммутации с четырьмя коммутаторами и двумя серверами СОЕВ</t>
        </is>
      </c>
      <c r="E28" s="237" t="inlineStr">
        <is>
          <t>шт</t>
        </is>
      </c>
      <c r="F28" s="237" t="n">
        <v>6</v>
      </c>
      <c r="G28" s="121" t="n">
        <v>1164536.74</v>
      </c>
      <c r="H28" s="121">
        <f>ROUND(F28*G28,2)</f>
        <v/>
      </c>
    </row>
    <row r="29">
      <c r="A29" s="237" t="n">
        <v>14</v>
      </c>
      <c r="B29" s="220" t="n"/>
      <c r="C29" s="238" t="inlineStr">
        <is>
          <t>Прайс из СД ОП</t>
        </is>
      </c>
      <c r="D29" s="238" t="inlineStr">
        <is>
          <t>Шкаф серверного оборудования 2 тип</t>
        </is>
      </c>
      <c r="E29" s="237" t="inlineStr">
        <is>
          <t>шт</t>
        </is>
      </c>
      <c r="F29" s="237" t="n">
        <v>1</v>
      </c>
      <c r="G29" s="121" t="n">
        <v>2482190.66</v>
      </c>
      <c r="H29" s="121">
        <f>ROUND(F29*G29,2)</f>
        <v/>
      </c>
    </row>
    <row r="30">
      <c r="A30" s="237" t="n">
        <v>15</v>
      </c>
      <c r="B30" s="220" t="n"/>
      <c r="C30" s="238" t="inlineStr">
        <is>
          <t>Прайс из СД ОП</t>
        </is>
      </c>
      <c r="D30" s="238" t="inlineStr">
        <is>
          <t>Шкаф серверного оборудования 1 тип</t>
        </is>
      </c>
      <c r="E30" s="237" t="inlineStr">
        <is>
          <t>шт</t>
        </is>
      </c>
      <c r="F30" s="237" t="n">
        <v>1</v>
      </c>
      <c r="G30" s="121" t="n">
        <v>2385145.93</v>
      </c>
      <c r="H30" s="121">
        <f>ROUND(F30*G30,2)</f>
        <v/>
      </c>
    </row>
    <row r="31" ht="31.5" customHeight="1" s="198">
      <c r="A31" s="237" t="n">
        <v>16</v>
      </c>
      <c r="B31" s="220" t="n"/>
      <c r="C31" s="238" t="inlineStr">
        <is>
          <t>Прайс из СД ОП</t>
        </is>
      </c>
      <c r="D31" s="238" t="inlineStr">
        <is>
          <t>Шкаф измерительных преобразователей с кол-вом ИП: 16 шт</t>
        </is>
      </c>
      <c r="E31" s="237" t="inlineStr">
        <is>
          <t>шт</t>
        </is>
      </c>
      <c r="F31" s="237" t="n">
        <v>2</v>
      </c>
      <c r="G31" s="121" t="n">
        <v>718849.84</v>
      </c>
      <c r="H31" s="121">
        <f>ROUND(F31*G31,2)</f>
        <v/>
      </c>
    </row>
    <row r="32">
      <c r="A32" s="237" t="n">
        <v>17</v>
      </c>
      <c r="B32" s="220" t="n"/>
      <c r="C32" s="238" t="inlineStr">
        <is>
          <t>Прайс из СД ОП</t>
        </is>
      </c>
      <c r="D32" s="238" t="inlineStr">
        <is>
          <t>Ноутбук</t>
        </is>
      </c>
      <c r="E32" s="237" t="inlineStr">
        <is>
          <t>шт</t>
        </is>
      </c>
      <c r="F32" s="237" t="n">
        <v>1</v>
      </c>
      <c r="G32" s="121" t="n">
        <v>33004.52</v>
      </c>
      <c r="H32" s="121">
        <f>ROUND(F32*G32,2)</f>
        <v/>
      </c>
    </row>
    <row r="33" ht="31.5" customHeight="1" s="198">
      <c r="A33" s="237" t="n">
        <v>18</v>
      </c>
      <c r="B33" s="220" t="n"/>
      <c r="C33" s="238" t="inlineStr">
        <is>
          <t>61.3.05.02-0001</t>
        </is>
      </c>
      <c r="D33" s="238" t="inlineStr">
        <is>
          <t>Монитор LCD с диагональю экрана 22 дюйма HP LP2275w</t>
        </is>
      </c>
      <c r="E33" s="237" t="inlineStr">
        <is>
          <t>шт</t>
        </is>
      </c>
      <c r="F33" s="237" t="n">
        <v>2</v>
      </c>
      <c r="G33" s="121" t="n">
        <v>6695.11</v>
      </c>
      <c r="H33" s="121">
        <f>ROUND(F33*G33,2)</f>
        <v/>
      </c>
    </row>
    <row r="34">
      <c r="A34" s="236" t="inlineStr">
        <is>
          <t>Материалы</t>
        </is>
      </c>
      <c r="B34" s="266" t="n"/>
      <c r="C34" s="266" t="n"/>
      <c r="D34" s="266" t="n"/>
      <c r="E34" s="267" t="n"/>
      <c r="F34" s="236" t="n"/>
      <c r="G34" s="117" t="n"/>
      <c r="H34" s="117">
        <f>SUM(H35:H67)</f>
        <v/>
      </c>
      <c r="J34" s="131" t="n"/>
    </row>
    <row r="35" ht="31.5" customHeight="1" s="198">
      <c r="A35" s="237" t="n">
        <v>19</v>
      </c>
      <c r="B35" s="141" t="n"/>
      <c r="C35" s="238" t="inlineStr">
        <is>
          <t>21.1.01.01-0001</t>
        </is>
      </c>
      <c r="D35" s="238" t="inlineStr">
        <is>
          <t>Кабель волоконно-оптический самонесущий биэлектрический ДСт-49-6z-6/32</t>
        </is>
      </c>
      <c r="E35" s="237" t="inlineStr">
        <is>
          <t>1000 м</t>
        </is>
      </c>
      <c r="F35" s="237" t="n">
        <v>24.2</v>
      </c>
      <c r="G35" s="121" t="n">
        <v>45920.85</v>
      </c>
      <c r="H35" s="121">
        <f>ROUND(F35*G35,2)</f>
        <v/>
      </c>
    </row>
    <row r="36">
      <c r="A36" s="237" t="n">
        <v>20</v>
      </c>
      <c r="B36" s="141" t="n"/>
      <c r="C36" s="238" t="inlineStr">
        <is>
          <t>21.1.08.03-0597</t>
        </is>
      </c>
      <c r="D36" s="238" t="inlineStr">
        <is>
          <t>Кабель контрольный КВВГЭнг(A)-LS 27х1,5</t>
        </is>
      </c>
      <c r="E36" s="237" t="inlineStr">
        <is>
          <t>1000 м</t>
        </is>
      </c>
      <c r="F36" s="237" t="n">
        <v>6.12</v>
      </c>
      <c r="G36" s="121" t="n">
        <v>108386.87</v>
      </c>
      <c r="H36" s="121">
        <f>ROUND(F36*G36,2)</f>
        <v/>
      </c>
    </row>
    <row r="37">
      <c r="A37" s="237" t="n">
        <v>21</v>
      </c>
      <c r="B37" s="141" t="n"/>
      <c r="C37" s="238" t="inlineStr">
        <is>
          <t>21.1.08.03-0594</t>
        </is>
      </c>
      <c r="D37" s="238" t="inlineStr">
        <is>
          <t>Кабель контрольный КВВГЭнг(A)-LS 19х1,5</t>
        </is>
      </c>
      <c r="E37" s="237" t="inlineStr">
        <is>
          <t>1000 м</t>
        </is>
      </c>
      <c r="F37" s="237" t="n">
        <v>6.12</v>
      </c>
      <c r="G37" s="121" t="n">
        <v>83256.13</v>
      </c>
      <c r="H37" s="121">
        <f>ROUND(F37*G37,2)</f>
        <v/>
      </c>
    </row>
    <row r="38">
      <c r="A38" s="237" t="n">
        <v>22</v>
      </c>
      <c r="B38" s="141" t="n"/>
      <c r="C38" s="238" t="inlineStr">
        <is>
          <t>21.1.08.03-0579</t>
        </is>
      </c>
      <c r="D38" s="238" t="inlineStr">
        <is>
          <t>Кабель контрольный КВВГЭнг(A)-LS 5х2,5</t>
        </is>
      </c>
      <c r="E38" s="237" t="inlineStr">
        <is>
          <t>1000 м</t>
        </is>
      </c>
      <c r="F38" s="237" t="n">
        <v>12.24</v>
      </c>
      <c r="G38" s="121" t="n">
        <v>38348.22</v>
      </c>
      <c r="H38" s="121">
        <f>ROUND(F38*G38,2)</f>
        <v/>
      </c>
    </row>
    <row r="39" ht="15" customHeight="1" s="198">
      <c r="A39" s="237" t="n">
        <v>23</v>
      </c>
      <c r="B39" s="141" t="n"/>
      <c r="C39" s="238" t="inlineStr">
        <is>
          <t>24.3.01.02-0002</t>
        </is>
      </c>
      <c r="D39" s="238" t="inlineStr">
        <is>
          <t>Трубы гибкие гофрированные из самозатухающего ПВХ легкие с протяжкой, диаметр 25 мм</t>
        </is>
      </c>
      <c r="E39" s="237" t="inlineStr">
        <is>
          <t>м</t>
        </is>
      </c>
      <c r="F39" s="237" t="n">
        <v>24684</v>
      </c>
      <c r="G39" s="121" t="n">
        <v>3.43</v>
      </c>
      <c r="H39" s="121">
        <f>ROUND(F39*G39,2)</f>
        <v/>
      </c>
    </row>
    <row r="40" ht="31.5" customHeight="1" s="198">
      <c r="A40" s="237" t="n">
        <v>24</v>
      </c>
      <c r="B40" s="141" t="n"/>
      <c r="C40" s="238" t="inlineStr">
        <is>
          <t>10.3.02.03-0011</t>
        </is>
      </c>
      <c r="D40" s="238" t="inlineStr">
        <is>
          <t>Припои оловянно-свинцовые бессурьмянистые, марка ПОС30</t>
        </is>
      </c>
      <c r="E40" s="237" t="inlineStr">
        <is>
          <t>т</t>
        </is>
      </c>
      <c r="F40" s="237" t="n">
        <v>0.1224</v>
      </c>
      <c r="G40" s="121" t="n">
        <v>68050</v>
      </c>
      <c r="H40" s="121">
        <f>ROUND(F40*G40,2)</f>
        <v/>
      </c>
    </row>
    <row r="41" ht="47.25" customHeight="1" s="198">
      <c r="A41" s="237" t="n">
        <v>25</v>
      </c>
      <c r="B41" s="141" t="n"/>
      <c r="C41" s="238" t="inlineStr">
        <is>
          <t>08.3.06.01-0003</t>
        </is>
      </c>
      <c r="D41" s="23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37" t="inlineStr">
        <is>
          <t>т</t>
        </is>
      </c>
      <c r="F41" s="237" t="n">
        <v>0.5600000000000001</v>
      </c>
      <c r="G41" s="121" t="n">
        <v>6834.81</v>
      </c>
      <c r="H41" s="121">
        <f>ROUND(F41*G41,2)</f>
        <v/>
      </c>
    </row>
    <row r="42" ht="15" customHeight="1" s="198">
      <c r="A42" s="237" t="n">
        <v>26</v>
      </c>
      <c r="B42" s="141" t="n"/>
      <c r="C42" s="238" t="inlineStr">
        <is>
          <t>01.7.15.07-0152</t>
        </is>
      </c>
      <c r="D42" s="238" t="inlineStr">
        <is>
          <t>Дюбели с шурупом, размер 6х35 мм</t>
        </is>
      </c>
      <c r="E42" s="237" t="inlineStr">
        <is>
          <t>100 шт</t>
        </is>
      </c>
      <c r="F42" s="237" t="n">
        <v>423.5</v>
      </c>
      <c r="G42" s="121" t="n">
        <v>8</v>
      </c>
      <c r="H42" s="121">
        <f>ROUND(F42*G42,2)</f>
        <v/>
      </c>
    </row>
    <row r="43">
      <c r="A43" s="237" t="n">
        <v>27</v>
      </c>
      <c r="B43" s="141" t="n"/>
      <c r="C43" s="238" t="inlineStr">
        <is>
          <t>07.2.07.13-0171</t>
        </is>
      </c>
      <c r="D43" s="238" t="inlineStr">
        <is>
          <t>Подкладки металлические</t>
        </is>
      </c>
      <c r="E43" s="237" t="inlineStr">
        <is>
          <t>кг</t>
        </is>
      </c>
      <c r="F43" s="237" t="n">
        <v>240</v>
      </c>
      <c r="G43" s="121" t="n">
        <v>12.6</v>
      </c>
      <c r="H43" s="121">
        <f>ROUND(F43*G43,2)</f>
        <v/>
      </c>
    </row>
    <row r="44" ht="47.25" customHeight="1" s="198">
      <c r="A44" s="237" t="n">
        <v>28</v>
      </c>
      <c r="B44" s="141" t="n"/>
      <c r="C44" s="238" t="inlineStr">
        <is>
          <t>01.7.06.05-0041</t>
        </is>
      </c>
      <c r="D44" s="238" t="inlineStr">
        <is>
          <t>Лента изоляционная прорезиненная односторонняя, ширина 20 мм, толщина 0,25-0,35 мм</t>
        </is>
      </c>
      <c r="E44" s="237" t="inlineStr">
        <is>
          <t>кг</t>
        </is>
      </c>
      <c r="F44" s="237" t="n">
        <v>79.84</v>
      </c>
      <c r="G44" s="121" t="n">
        <v>30.4</v>
      </c>
      <c r="H44" s="121">
        <f>ROUND(F44*G44,2)</f>
        <v/>
      </c>
    </row>
    <row r="45">
      <c r="A45" s="237" t="n">
        <v>29</v>
      </c>
      <c r="B45" s="141" t="n"/>
      <c r="C45" s="238" t="inlineStr">
        <is>
          <t>20.2.01.05-0005</t>
        </is>
      </c>
      <c r="D45" s="238" t="inlineStr">
        <is>
          <t>Гильзы кабельные медные ГМ 16</t>
        </is>
      </c>
      <c r="E45" s="237" t="inlineStr">
        <is>
          <t>100 шт</t>
        </is>
      </c>
      <c r="F45" s="237" t="n">
        <v>12.1</v>
      </c>
      <c r="G45" s="121" t="n">
        <v>143</v>
      </c>
      <c r="H45" s="121">
        <f>ROUND(F45*G45,2)</f>
        <v/>
      </c>
    </row>
    <row r="46">
      <c r="A46" s="237" t="n">
        <v>30</v>
      </c>
      <c r="B46" s="141" t="n"/>
      <c r="C46" s="238" t="inlineStr">
        <is>
          <t>01.7.06.07-0002</t>
        </is>
      </c>
      <c r="D46" s="238" t="inlineStr">
        <is>
          <t>Лента монтажная, тип ЛМ-5</t>
        </is>
      </c>
      <c r="E46" s="237" t="inlineStr">
        <is>
          <t>10 м</t>
        </is>
      </c>
      <c r="F46" s="237" t="n">
        <v>201.8</v>
      </c>
      <c r="G46" s="121" t="n">
        <v>6.9</v>
      </c>
      <c r="H46" s="121">
        <f>ROUND(F46*G46,2)</f>
        <v/>
      </c>
    </row>
    <row r="47" ht="31.5" customHeight="1" s="198">
      <c r="A47" s="237" t="n">
        <v>31</v>
      </c>
      <c r="B47" s="141" t="n"/>
      <c r="C47" s="238" t="inlineStr">
        <is>
          <t>999-9950</t>
        </is>
      </c>
      <c r="D47" s="238" t="inlineStr">
        <is>
          <t>Вспомогательные ненормируемые ресурсы (2% от Оплаты труда рабочих)</t>
        </is>
      </c>
      <c r="E47" s="237" t="inlineStr">
        <is>
          <t>руб</t>
        </is>
      </c>
      <c r="F47" s="237" t="n">
        <v>1341.124</v>
      </c>
      <c r="G47" s="121" t="n">
        <v>1</v>
      </c>
      <c r="H47" s="121">
        <f>ROUND(F47*G47,2)</f>
        <v/>
      </c>
    </row>
    <row r="48">
      <c r="A48" s="237" t="n">
        <v>32</v>
      </c>
      <c r="B48" s="141" t="n"/>
      <c r="C48" s="238" t="inlineStr">
        <is>
          <t>20.2.02.01-0013</t>
        </is>
      </c>
      <c r="D48" s="238" t="inlineStr">
        <is>
          <t>Втулки, диаметр 28 мм</t>
        </is>
      </c>
      <c r="E48" s="237" t="inlineStr">
        <is>
          <t>1000 шт</t>
        </is>
      </c>
      <c r="F48" s="237" t="n">
        <v>2.9524</v>
      </c>
      <c r="G48" s="121" t="n">
        <v>176.21</v>
      </c>
      <c r="H48" s="121">
        <f>ROUND(F48*G48,2)</f>
        <v/>
      </c>
    </row>
    <row r="49">
      <c r="A49" s="237" t="n">
        <v>33</v>
      </c>
      <c r="B49" s="141" t="n"/>
      <c r="C49" s="238" t="inlineStr">
        <is>
          <t>20.1.02.06-0001</t>
        </is>
      </c>
      <c r="D49" s="238" t="inlineStr">
        <is>
          <t>Жир паяльный</t>
        </is>
      </c>
      <c r="E49" s="237" t="inlineStr">
        <is>
          <t>кг</t>
        </is>
      </c>
      <c r="F49" s="237" t="n">
        <v>4.8</v>
      </c>
      <c r="G49" s="121" t="n">
        <v>100.8</v>
      </c>
      <c r="H49" s="121">
        <f>ROUND(F49*G49,2)</f>
        <v/>
      </c>
    </row>
    <row r="50">
      <c r="A50" s="237" t="n">
        <v>34</v>
      </c>
      <c r="B50" s="141" t="n"/>
      <c r="C50" s="238" t="inlineStr">
        <is>
          <t>01.7.07.20-0002</t>
        </is>
      </c>
      <c r="D50" s="238" t="inlineStr">
        <is>
          <t>Тальк молотый, сорт I</t>
        </is>
      </c>
      <c r="E50" s="237" t="inlineStr">
        <is>
          <t>т</t>
        </is>
      </c>
      <c r="F50" s="237" t="n">
        <v>0.2541</v>
      </c>
      <c r="G50" s="121" t="n">
        <v>1820</v>
      </c>
      <c r="H50" s="121">
        <f>ROUND(F50*G50,2)</f>
        <v/>
      </c>
    </row>
    <row r="51">
      <c r="A51" s="237" t="n">
        <v>35</v>
      </c>
      <c r="B51" s="141" t="n"/>
      <c r="C51" s="238" t="inlineStr">
        <is>
          <t>25.2.01.01-0017</t>
        </is>
      </c>
      <c r="D51" s="238" t="inlineStr">
        <is>
          <t>Бирки маркировочные пластмассовые</t>
        </is>
      </c>
      <c r="E51" s="237" t="inlineStr">
        <is>
          <t>100 шт</t>
        </is>
      </c>
      <c r="F51" s="237" t="n">
        <v>14.4</v>
      </c>
      <c r="G51" s="121" t="n">
        <v>30.74</v>
      </c>
      <c r="H51" s="121">
        <f>ROUND(F51*G51,2)</f>
        <v/>
      </c>
    </row>
    <row r="52">
      <c r="A52" s="237" t="n">
        <v>36</v>
      </c>
      <c r="B52" s="141" t="n"/>
      <c r="C52" s="238" t="inlineStr">
        <is>
          <t>14.4.03.03-0002</t>
        </is>
      </c>
      <c r="D52" s="238" t="inlineStr">
        <is>
          <t>Лак битумный БТ-123</t>
        </is>
      </c>
      <c r="E52" s="237" t="inlineStr">
        <is>
          <t>т</t>
        </is>
      </c>
      <c r="F52" s="237" t="n">
        <v>0.0408</v>
      </c>
      <c r="G52" s="121" t="n">
        <v>7826.9</v>
      </c>
      <c r="H52" s="121">
        <f>ROUND(F52*G52,2)</f>
        <v/>
      </c>
    </row>
    <row r="53" ht="31.5" customHeight="1" s="198">
      <c r="A53" s="237" t="n">
        <v>37</v>
      </c>
      <c r="B53" s="141" t="n"/>
      <c r="C53" s="238" t="inlineStr">
        <is>
          <t>01.7.15.03-0034</t>
        </is>
      </c>
      <c r="D53" s="238" t="inlineStr">
        <is>
          <t>Болты с гайками и шайбами оцинкованные, диаметр 12 мм</t>
        </is>
      </c>
      <c r="E53" s="237" t="inlineStr">
        <is>
          <t>кг</t>
        </is>
      </c>
      <c r="F53" s="237" t="n">
        <v>9.512</v>
      </c>
      <c r="G53" s="121" t="n">
        <v>25.76</v>
      </c>
      <c r="H53" s="121">
        <f>ROUND(F53*G53,2)</f>
        <v/>
      </c>
    </row>
    <row r="54">
      <c r="A54" s="237" t="n">
        <v>38</v>
      </c>
      <c r="B54" s="141" t="n"/>
      <c r="C54" s="238" t="inlineStr">
        <is>
          <t>14.4.02.09-0001</t>
        </is>
      </c>
      <c r="D54" s="238" t="inlineStr">
        <is>
          <t>Краска</t>
        </is>
      </c>
      <c r="E54" s="237" t="inlineStr">
        <is>
          <t>кг</t>
        </is>
      </c>
      <c r="F54" s="237" t="n">
        <v>4.84</v>
      </c>
      <c r="G54" s="121" t="n">
        <v>28.6</v>
      </c>
      <c r="H54" s="121">
        <f>ROUND(F54*G54,2)</f>
        <v/>
      </c>
    </row>
    <row r="55" ht="31.5" customHeight="1" s="198">
      <c r="A55" s="237" t="n">
        <v>39</v>
      </c>
      <c r="B55" s="141" t="n"/>
      <c r="C55" s="238" t="inlineStr">
        <is>
          <t>10.3.02.03-0013</t>
        </is>
      </c>
      <c r="D55" s="238" t="inlineStr">
        <is>
          <t>Припои оловянно-свинцовые бессурьмянистые, марка ПОС61</t>
        </is>
      </c>
      <c r="E55" s="237" t="inlineStr">
        <is>
          <t>т</t>
        </is>
      </c>
      <c r="F55" s="237" t="n">
        <v>0.001152</v>
      </c>
      <c r="G55" s="121" t="n">
        <v>114220</v>
      </c>
      <c r="H55" s="121">
        <f>ROUND(F55*G55,2)</f>
        <v/>
      </c>
    </row>
    <row r="56">
      <c r="A56" s="237" t="n">
        <v>40</v>
      </c>
      <c r="B56" s="141" t="n"/>
      <c r="C56" s="238" t="inlineStr">
        <is>
          <t>25.2.02.11-0041</t>
        </is>
      </c>
      <c r="D56" s="238" t="inlineStr">
        <is>
          <t>Рамка для надписей 55х15 мм</t>
        </is>
      </c>
      <c r="E56" s="237" t="inlineStr">
        <is>
          <t>шт</t>
        </is>
      </c>
      <c r="F56" s="237" t="n">
        <v>400</v>
      </c>
      <c r="G56" s="121" t="n">
        <v>0.27</v>
      </c>
      <c r="H56" s="121">
        <f>ROUND(F56*G56,2)</f>
        <v/>
      </c>
      <c r="I56" s="118" t="n"/>
      <c r="J56" s="118" t="n"/>
    </row>
    <row r="57">
      <c r="A57" s="237" t="n">
        <v>41</v>
      </c>
      <c r="B57" s="141" t="n"/>
      <c r="C57" s="238" t="inlineStr">
        <is>
          <t>01.7.11.07-0032</t>
        </is>
      </c>
      <c r="D57" s="238" t="inlineStr">
        <is>
          <t>Электроды сварочные Э42, диаметр 4 мм</t>
        </is>
      </c>
      <c r="E57" s="237" t="inlineStr">
        <is>
          <t>т</t>
        </is>
      </c>
      <c r="F57" s="237" t="n">
        <v>0.009599999999999999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7" t="n">
        <v>42</v>
      </c>
      <c r="B58" s="141" t="n"/>
      <c r="C58" s="238" t="inlineStr">
        <is>
          <t>01.7.15.14-0165</t>
        </is>
      </c>
      <c r="D58" s="238" t="inlineStr">
        <is>
          <t>Шурупы с полукруглой головкой 4х40 мм</t>
        </is>
      </c>
      <c r="E58" s="237" t="inlineStr">
        <is>
          <t>т</t>
        </is>
      </c>
      <c r="F58" s="237" t="n">
        <v>0.0044</v>
      </c>
      <c r="G58" s="121" t="n">
        <v>12430</v>
      </c>
      <c r="H58" s="121">
        <f>ROUND(F58*G58,2)</f>
        <v/>
      </c>
      <c r="I58" s="118" t="n"/>
      <c r="J58" s="118" t="n"/>
    </row>
    <row r="59">
      <c r="A59" s="237" t="n">
        <v>43</v>
      </c>
      <c r="B59" s="141" t="n"/>
      <c r="C59" s="238" t="inlineStr">
        <is>
          <t>14.4.04.09-0017</t>
        </is>
      </c>
      <c r="D59" s="238" t="inlineStr">
        <is>
          <t>Эмаль ХВ-124, защитная, зеленая</t>
        </is>
      </c>
      <c r="E59" s="237" t="inlineStr">
        <is>
          <t>т</t>
        </is>
      </c>
      <c r="F59" s="237" t="n">
        <v>0.0008</v>
      </c>
      <c r="G59" s="121" t="n">
        <v>28300.4</v>
      </c>
      <c r="H59" s="121">
        <f>ROUND(F59*G59,2)</f>
        <v/>
      </c>
      <c r="I59" s="118" t="n"/>
      <c r="J59" s="118" t="n"/>
    </row>
    <row r="60">
      <c r="A60" s="237" t="n">
        <v>44</v>
      </c>
      <c r="B60" s="141" t="n"/>
      <c r="C60" s="238" t="inlineStr">
        <is>
          <t>24.3.01.01-0002</t>
        </is>
      </c>
      <c r="D60" s="238" t="inlineStr">
        <is>
          <t>Трубка полихлорвиниловая</t>
        </is>
      </c>
      <c r="E60" s="237" t="inlineStr">
        <is>
          <t>кг</t>
        </is>
      </c>
      <c r="F60" s="237" t="n">
        <v>0.576</v>
      </c>
      <c r="G60" s="121" t="n">
        <v>35.7</v>
      </c>
      <c r="H60" s="121">
        <f>ROUND(F60*G60,2)</f>
        <v/>
      </c>
      <c r="I60" s="118" t="n"/>
      <c r="J60" s="118" t="n"/>
    </row>
    <row r="61">
      <c r="A61" s="237" t="n">
        <v>45</v>
      </c>
      <c r="B61" s="141" t="n"/>
      <c r="C61" s="238" t="inlineStr">
        <is>
          <t>01.3.01.05-0009</t>
        </is>
      </c>
      <c r="D61" s="238" t="inlineStr">
        <is>
          <t>Парафин нефтяной твердый Т-1</t>
        </is>
      </c>
      <c r="E61" s="237" t="inlineStr">
        <is>
          <t>т</t>
        </is>
      </c>
      <c r="F61" s="237" t="n">
        <v>0.0024</v>
      </c>
      <c r="G61" s="121" t="n">
        <v>8105.71</v>
      </c>
      <c r="H61" s="121">
        <f>ROUND(F61*G61,2)</f>
        <v/>
      </c>
      <c r="I61" s="118" t="n"/>
      <c r="J61" s="118" t="n"/>
    </row>
    <row r="62" ht="31.5" customHeight="1" s="198">
      <c r="A62" s="237" t="n">
        <v>46</v>
      </c>
      <c r="B62" s="141" t="n"/>
      <c r="C62" s="238" t="inlineStr">
        <is>
          <t>01.3.01.07-0009</t>
        </is>
      </c>
      <c r="D62" s="238" t="inlineStr">
        <is>
          <t>Спирт этиловый ректификованный технический, сорт I</t>
        </is>
      </c>
      <c r="E62" s="237" t="inlineStr">
        <is>
          <t>кг</t>
        </is>
      </c>
      <c r="F62" s="237" t="n">
        <v>0.4176</v>
      </c>
      <c r="G62" s="121" t="n">
        <v>38.89</v>
      </c>
      <c r="H62" s="121">
        <f>ROUND(F62*G62,2)</f>
        <v/>
      </c>
      <c r="I62" s="118" t="n"/>
      <c r="J62" s="118" t="n"/>
    </row>
    <row r="63">
      <c r="A63" s="237" t="n">
        <v>47</v>
      </c>
      <c r="B63" s="141" t="n"/>
      <c r="C63" s="238" t="inlineStr">
        <is>
          <t>01.3.05.17-0002</t>
        </is>
      </c>
      <c r="D63" s="238" t="inlineStr">
        <is>
          <t>Канифоль сосновая</t>
        </is>
      </c>
      <c r="E63" s="237" t="inlineStr">
        <is>
          <t>кг</t>
        </is>
      </c>
      <c r="F63" s="237" t="n">
        <v>0.2736</v>
      </c>
      <c r="G63" s="121" t="n">
        <v>27.74</v>
      </c>
      <c r="H63" s="121">
        <f>ROUND(F63*G63,2)</f>
        <v/>
      </c>
      <c r="I63" s="118" t="n"/>
      <c r="J63" s="118" t="n"/>
    </row>
    <row r="64">
      <c r="A64" s="237" t="n">
        <v>48</v>
      </c>
      <c r="B64" s="141" t="n"/>
      <c r="C64" s="238" t="inlineStr">
        <is>
          <t>14.4.01.01-0003</t>
        </is>
      </c>
      <c r="D64" s="238" t="inlineStr">
        <is>
          <t>Грунтовка ГФ-021</t>
        </is>
      </c>
      <c r="E64" s="237" t="inlineStr">
        <is>
          <t>т</t>
        </is>
      </c>
      <c r="F64" s="237" t="n">
        <v>0.0004</v>
      </c>
      <c r="G64" s="121" t="n">
        <v>15620</v>
      </c>
      <c r="H64" s="121">
        <f>ROUND(F64*G64,2)</f>
        <v/>
      </c>
      <c r="I64" s="118" t="n"/>
      <c r="J64" s="118" t="n"/>
    </row>
    <row r="65">
      <c r="A65" s="237" t="n">
        <v>49</v>
      </c>
      <c r="B65" s="141" t="n"/>
      <c r="C65" s="238" t="inlineStr">
        <is>
          <t>14.5.09.07-0030</t>
        </is>
      </c>
      <c r="D65" s="238" t="inlineStr">
        <is>
          <t>Растворитель Р-4</t>
        </is>
      </c>
      <c r="E65" s="237" t="inlineStr">
        <is>
          <t>кг</t>
        </is>
      </c>
      <c r="F65" s="237" t="n">
        <v>0.4</v>
      </c>
      <c r="G65" s="121" t="n">
        <v>9.42</v>
      </c>
      <c r="H65" s="121">
        <f>ROUND(F65*G65,2)</f>
        <v/>
      </c>
      <c r="I65" s="118" t="n"/>
      <c r="J65" s="118" t="n"/>
    </row>
    <row r="66">
      <c r="A66" s="237" t="n">
        <v>50</v>
      </c>
      <c r="B66" s="141" t="n"/>
      <c r="C66" s="238" t="inlineStr">
        <is>
          <t>14.5.09.11-0102</t>
        </is>
      </c>
      <c r="D66" s="238" t="inlineStr">
        <is>
          <t>Уайт-спирит</t>
        </is>
      </c>
      <c r="E66" s="237" t="inlineStr">
        <is>
          <t>кг</t>
        </is>
      </c>
      <c r="F66" s="237" t="n">
        <v>0.4</v>
      </c>
      <c r="G66" s="121" t="n">
        <v>6.67</v>
      </c>
      <c r="H66" s="121">
        <f>ROUND(F66*G66,2)</f>
        <v/>
      </c>
      <c r="I66" s="118" t="n"/>
      <c r="J66" s="118" t="n"/>
    </row>
    <row r="67">
      <c r="A67" s="237" t="n">
        <v>51</v>
      </c>
      <c r="B67" s="141" t="n"/>
      <c r="C67" s="238" t="inlineStr">
        <is>
          <t>01.3.05.11-0001</t>
        </is>
      </c>
      <c r="D67" s="238" t="inlineStr">
        <is>
          <t>Дихлорэтан технический, сорт I</t>
        </is>
      </c>
      <c r="E67" s="237" t="inlineStr">
        <is>
          <t>т</t>
        </is>
      </c>
      <c r="F67" s="237" t="n">
        <v>0.000288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200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200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2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39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8">
      <c r="B7" s="240">
        <f>'Прил.1 Сравнит табл'!B7</f>
        <v/>
      </c>
    </row>
    <row r="8">
      <c r="B8" s="241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8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8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8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8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9255287.9</v>
      </c>
      <c r="D31" s="31" t="n"/>
      <c r="E31" s="33">
        <f>C31/$C$40</f>
        <v/>
      </c>
    </row>
    <row r="32" ht="25.5" customHeight="1" s="19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8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8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zoomScale="55" zoomScaleSheetLayoutView="55" workbookViewId="0">
      <selection activeCell="C88" sqref="C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8" min="15" max="15"/>
  </cols>
  <sheetData>
    <row r="2" ht="15.75" customHeight="1" s="198">
      <c r="I2" s="200" t="n"/>
      <c r="J2" s="75" t="inlineStr">
        <is>
          <t>Приложение №5</t>
        </is>
      </c>
    </row>
    <row r="4" ht="12.75" customFormat="1" customHeight="1" s="184">
      <c r="A4" s="239" t="inlineStr">
        <is>
          <t>Расчет стоимости СМР и оборудования</t>
        </is>
      </c>
      <c r="I4" s="239" t="n"/>
      <c r="J4" s="239" t="n"/>
    </row>
    <row r="5" ht="12.75" customFormat="1" customHeight="1" s="184">
      <c r="A5" s="239" t="n"/>
      <c r="B5" s="239" t="n"/>
      <c r="C5" s="239" t="n"/>
      <c r="D5" s="239" t="n"/>
      <c r="E5" s="239" t="n"/>
      <c r="F5" s="239" t="n"/>
      <c r="G5" s="239" t="n"/>
      <c r="H5" s="239" t="n"/>
      <c r="I5" s="239" t="n"/>
      <c r="J5" s="239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3" t="inlineStr">
        <is>
          <t>Создание/модернизация АСУТП (2 архитектуры) на ПС 330 кВ с количеством присоединений класса напряжения 35 кВ и выше: 21-30</t>
        </is>
      </c>
    </row>
    <row r="7" ht="12.75" customFormat="1" customHeight="1" s="184">
      <c r="A7" s="253">
        <f>'Прил.1 Сравнит табл'!B9</f>
        <v/>
      </c>
      <c r="I7" s="240" t="n"/>
      <c r="J7" s="240" t="n"/>
    </row>
    <row r="8" ht="12.75" customFormat="1" customHeight="1" s="184"/>
    <row r="9" ht="27" customHeight="1" s="198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267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267" t="n"/>
    </row>
    <row r="10" ht="28.5" customHeight="1" s="198">
      <c r="A10" s="269" t="n"/>
      <c r="B10" s="269" t="n"/>
      <c r="C10" s="269" t="n"/>
      <c r="D10" s="269" t="n"/>
      <c r="E10" s="269" t="n"/>
      <c r="F10" s="243" t="inlineStr">
        <is>
          <t>на ед. изм.</t>
        </is>
      </c>
      <c r="G10" s="243" t="inlineStr">
        <is>
          <t>общая</t>
        </is>
      </c>
      <c r="H10" s="269" t="n"/>
      <c r="I10" s="243" t="inlineStr">
        <is>
          <t>на ед. изм.</t>
        </is>
      </c>
      <c r="J10" s="243" t="inlineStr">
        <is>
          <t>общая</t>
        </is>
      </c>
    </row>
    <row r="11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3" t="n">
        <v>9</v>
      </c>
      <c r="J11" s="243" t="n">
        <v>10</v>
      </c>
      <c r="L11" s="69" t="n"/>
    </row>
    <row r="12">
      <c r="A12" s="243" t="n"/>
      <c r="B12" s="254" t="inlineStr">
        <is>
          <t>Затраты труда рабочих-строителей</t>
        </is>
      </c>
      <c r="C12" s="266" t="n"/>
      <c r="D12" s="266" t="n"/>
      <c r="E12" s="266" t="n"/>
      <c r="F12" s="266" t="n"/>
      <c r="G12" s="266" t="n"/>
      <c r="H12" s="267" t="n"/>
      <c r="I12" s="42" t="n"/>
      <c r="J12" s="42" t="n"/>
      <c r="L12" s="272" t="n"/>
    </row>
    <row r="13" ht="25.5" customHeight="1" s="198">
      <c r="A13" s="243" t="n">
        <v>1</v>
      </c>
      <c r="B13" s="92" t="inlineStr">
        <is>
          <t>1-3-7</t>
        </is>
      </c>
      <c r="C13" s="242" t="inlineStr">
        <is>
          <t>Затраты труда рабочих-строителей среднего разряда (3,7)</t>
        </is>
      </c>
      <c r="D13" s="243" t="inlineStr">
        <is>
          <t>чел.-ч.</t>
        </is>
      </c>
      <c r="E13" s="273">
        <f>G13/F13</f>
        <v/>
      </c>
      <c r="F13" s="99" t="n">
        <v>9.289999999999999</v>
      </c>
      <c r="G13" s="99">
        <f>Прил.3!H12</f>
        <v/>
      </c>
      <c r="H13" s="255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3" t="n"/>
      <c r="B14" s="243" t="n"/>
      <c r="C14" s="254" t="inlineStr">
        <is>
          <t>Итого по разделу "Затраты труда рабочих-строителей"</t>
        </is>
      </c>
      <c r="D14" s="243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5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3" t="n"/>
      <c r="B15" s="242" t="inlineStr">
        <is>
          <t>Затраты труда машинистов</t>
        </is>
      </c>
      <c r="C15" s="266" t="n"/>
      <c r="D15" s="266" t="n"/>
      <c r="E15" s="266" t="n"/>
      <c r="F15" s="266" t="n"/>
      <c r="G15" s="266" t="n"/>
      <c r="H15" s="267" t="n"/>
      <c r="I15" s="42" t="n"/>
      <c r="J15" s="42" t="n"/>
      <c r="L15" s="272" t="n"/>
    </row>
    <row r="16" ht="14.25" customFormat="1" customHeight="1" s="79">
      <c r="A16" s="243" t="n">
        <v>2</v>
      </c>
      <c r="B16" s="243" t="n">
        <v>2</v>
      </c>
      <c r="C16" s="242" t="inlineStr">
        <is>
          <t>Затраты труда машинистов</t>
        </is>
      </c>
      <c r="D16" s="243" t="inlineStr">
        <is>
          <t>чел.-ч.</t>
        </is>
      </c>
      <c r="E16" s="273">
        <f>Прил.3!F18</f>
        <v/>
      </c>
      <c r="F16" s="99">
        <f>G16/E16</f>
        <v/>
      </c>
      <c r="G16" s="99">
        <f>Прил.3!H18</f>
        <v/>
      </c>
      <c r="H16" s="255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3" t="n"/>
      <c r="B17" s="254" t="inlineStr">
        <is>
          <t>Машины и механизмы</t>
        </is>
      </c>
      <c r="C17" s="266" t="n"/>
      <c r="D17" s="266" t="n"/>
      <c r="E17" s="266" t="n"/>
      <c r="F17" s="266" t="n"/>
      <c r="G17" s="266" t="n"/>
      <c r="H17" s="267" t="n"/>
      <c r="I17" s="255" t="n"/>
      <c r="J17" s="255" t="n"/>
    </row>
    <row r="18" ht="14.25" customFormat="1" customHeight="1" s="79">
      <c r="A18" s="243" t="n"/>
      <c r="B18" s="242" t="inlineStr">
        <is>
          <t>Основные 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42" t="n"/>
      <c r="J18" s="42" t="n"/>
    </row>
    <row r="19" ht="25.5" customFormat="1" customHeight="1" s="79">
      <c r="A19" s="243" t="n">
        <v>3</v>
      </c>
      <c r="B19" s="92" t="inlineStr">
        <is>
          <t>91.05.05-015</t>
        </is>
      </c>
      <c r="C19" s="242" t="inlineStr">
        <is>
          <t>Краны на автомобильном ходу, грузоподъемность 16 т</t>
        </is>
      </c>
      <c r="D19" s="243" t="inlineStr">
        <is>
          <t>маш.час</t>
        </is>
      </c>
      <c r="E19" s="273" t="n">
        <v>58.06</v>
      </c>
      <c r="F19" s="261" t="n">
        <v>115.4</v>
      </c>
      <c r="G19" s="99">
        <f>ROUND(E19*F19,2)</f>
        <v/>
      </c>
      <c r="H19" s="255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3" t="n">
        <v>4</v>
      </c>
      <c r="B20" s="92" t="inlineStr">
        <is>
          <t>91.14.02-001</t>
        </is>
      </c>
      <c r="C20" s="242" t="inlineStr">
        <is>
          <t>Автомобили бортовые, грузоподъемность до 5 т</t>
        </is>
      </c>
      <c r="D20" s="243" t="inlineStr">
        <is>
          <t>маш.час</t>
        </is>
      </c>
      <c r="E20" s="273" t="n">
        <v>57.26</v>
      </c>
      <c r="F20" s="261" t="n">
        <v>65.70999999999999</v>
      </c>
      <c r="G20" s="99">
        <f>ROUND(E20*F20,2)</f>
        <v/>
      </c>
      <c r="H20" s="255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3" t="n"/>
      <c r="C21" s="242" t="inlineStr">
        <is>
          <t>Итого основные машины и механизмы</t>
        </is>
      </c>
      <c r="D21" s="243" t="n"/>
      <c r="E21" s="274" t="n"/>
      <c r="F21" s="99" t="n"/>
      <c r="G21" s="99">
        <f>SUM(G19:G20)</f>
        <v/>
      </c>
      <c r="H21" s="255">
        <f>G21/G27</f>
        <v/>
      </c>
      <c r="I21" s="99" t="n"/>
      <c r="J21" s="99">
        <f>SUM(J19:J20)</f>
        <v/>
      </c>
      <c r="L21" s="272" t="n"/>
    </row>
    <row r="22" hidden="1" outlineLevel="1" ht="25.5" customFormat="1" customHeight="1" s="79">
      <c r="A22" s="243" t="n">
        <v>5</v>
      </c>
      <c r="B22" s="92" t="inlineStr">
        <is>
          <t>91.06.03-061</t>
        </is>
      </c>
      <c r="C22" s="242" t="inlineStr">
        <is>
          <t>Лебедки электрические тяговым усилием до 12,26 кН (1,25 т)</t>
        </is>
      </c>
      <c r="D22" s="243" t="inlineStr">
        <is>
          <t>маш.час</t>
        </is>
      </c>
      <c r="E22" s="273" t="n">
        <v>362</v>
      </c>
      <c r="F22" s="261" t="n">
        <v>3.28</v>
      </c>
      <c r="G22" s="99">
        <f>ROUND(E22*F22,2)</f>
        <v/>
      </c>
      <c r="H22" s="255">
        <f>G22/$G$27</f>
        <v/>
      </c>
      <c r="I22" s="99">
        <f>ROUND(F22*Прил.10!$D$11,2)</f>
        <v/>
      </c>
      <c r="J22" s="99">
        <f>ROUND(I22*E22,2)</f>
        <v/>
      </c>
      <c r="L22" s="272" t="n"/>
    </row>
    <row r="23" hidden="1" outlineLevel="1" ht="25.5" customFormat="1" customHeight="1" s="79">
      <c r="A23" s="243" t="n">
        <v>6</v>
      </c>
      <c r="B23" s="92" t="inlineStr">
        <is>
          <t>91.06.01-003</t>
        </is>
      </c>
      <c r="C23" s="242" t="inlineStr">
        <is>
          <t>Домкраты гидравлические, грузоподъемность 63-100 т</t>
        </is>
      </c>
      <c r="D23" s="243" t="inlineStr">
        <is>
          <t>маш.час</t>
        </is>
      </c>
      <c r="E23" s="273" t="n">
        <v>362</v>
      </c>
      <c r="F23" s="261" t="n">
        <v>0.9</v>
      </c>
      <c r="G23" s="99">
        <f>ROUND(E23*F23,2)</f>
        <v/>
      </c>
      <c r="H23" s="255">
        <f>G23/$G$27</f>
        <v/>
      </c>
      <c r="I23" s="99">
        <f>ROUND(F23*Прил.10!$D$11,2)</f>
        <v/>
      </c>
      <c r="J23" s="99">
        <f>ROUND(I23*E23,2)</f>
        <v/>
      </c>
      <c r="L23" s="272" t="n"/>
    </row>
    <row r="24" hidden="1" outlineLevel="1" ht="14.25" customFormat="1" customHeight="1" s="79">
      <c r="A24" s="243" t="n">
        <v>7</v>
      </c>
      <c r="B24" s="92" t="inlineStr">
        <is>
          <t>91.21.19-031</t>
        </is>
      </c>
      <c r="C24" s="242" t="inlineStr">
        <is>
          <t>Станки сверлильные</t>
        </is>
      </c>
      <c r="D24" s="243" t="inlineStr">
        <is>
          <t>маш.час</t>
        </is>
      </c>
      <c r="E24" s="273" t="n">
        <v>36.8</v>
      </c>
      <c r="F24" s="261" t="n">
        <v>2.36</v>
      </c>
      <c r="G24" s="99">
        <f>ROUND(E24*F24,2)</f>
        <v/>
      </c>
      <c r="H24" s="255">
        <f>G24/$G$27</f>
        <v/>
      </c>
      <c r="I24" s="99">
        <f>ROUND(F24*Прил.10!$D$11,2)</f>
        <v/>
      </c>
      <c r="J24" s="99">
        <f>ROUND(I24*E24,2)</f>
        <v/>
      </c>
      <c r="L24" s="272" t="n"/>
    </row>
    <row r="25" hidden="1" outlineLevel="1" ht="25.5" customFormat="1" customHeight="1" s="79">
      <c r="A25" s="243" t="n">
        <v>8</v>
      </c>
      <c r="B25" s="92" t="inlineStr">
        <is>
          <t>91.17.04-233</t>
        </is>
      </c>
      <c r="C25" s="242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273" t="n">
        <v>8</v>
      </c>
      <c r="F25" s="261" t="n">
        <v>8.1</v>
      </c>
      <c r="G25" s="99">
        <f>ROUND(E25*F25,2)</f>
        <v/>
      </c>
      <c r="H25" s="255">
        <f>G25/$G$27</f>
        <v/>
      </c>
      <c r="I25" s="99">
        <f>ROUND(F25*Прил.10!$D$11,2)</f>
        <v/>
      </c>
      <c r="J25" s="99">
        <f>ROUND(I25*E25,2)</f>
        <v/>
      </c>
      <c r="L25" s="272" t="n"/>
    </row>
    <row r="26" collapsed="1" ht="14.25" customFormat="1" customHeight="1" s="79">
      <c r="A26" s="243" t="n"/>
      <c r="B26" s="92" t="n"/>
      <c r="C26" s="242" t="inlineStr">
        <is>
          <t>Итого прочие машины и механизмы</t>
        </is>
      </c>
      <c r="D26" s="243" t="n"/>
      <c r="E26" s="273" t="n"/>
      <c r="F26" s="261" t="n"/>
      <c r="G26" s="99">
        <f>SUM(G22:G25)</f>
        <v/>
      </c>
      <c r="H26" s="255">
        <f>G26/G27</f>
        <v/>
      </c>
      <c r="I26" s="99" t="n"/>
      <c r="J26" s="99">
        <f>SUM(J22:J25)</f>
        <v/>
      </c>
      <c r="K26" s="275" t="n"/>
      <c r="L26" s="272" t="n"/>
    </row>
    <row r="27" ht="25.5" customFormat="1" customHeight="1" s="79">
      <c r="A27" s="243" t="n"/>
      <c r="B27" s="256" t="n"/>
      <c r="C27" s="247" t="inlineStr">
        <is>
          <t>Итого по разделу «Машины и механизмы»</t>
        </is>
      </c>
      <c r="D27" s="256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8">
      <c r="A28" s="96" t="n"/>
      <c r="B28" s="247" t="inlineStr">
        <is>
          <t xml:space="preserve">Оборудование </t>
        </is>
      </c>
      <c r="C28" s="276" t="n"/>
      <c r="D28" s="276" t="n"/>
      <c r="E28" s="276" t="n"/>
      <c r="F28" s="276" t="n"/>
      <c r="G28" s="276" t="n"/>
      <c r="H28" s="276" t="n"/>
      <c r="I28" s="276" t="n"/>
      <c r="J28" s="277" t="n"/>
      <c r="K28" s="79" t="n"/>
      <c r="L28" s="79" t="n"/>
      <c r="M28" s="79" t="n"/>
      <c r="N28" s="79" t="n"/>
    </row>
    <row r="29" ht="15" customHeight="1" s="198">
      <c r="A29" s="243" t="n"/>
      <c r="B29" s="242" t="inlineStr">
        <is>
          <t>Основное оборудование</t>
        </is>
      </c>
      <c r="C29" s="266" t="n"/>
      <c r="D29" s="266" t="n"/>
      <c r="E29" s="266" t="n"/>
      <c r="F29" s="266" t="n"/>
      <c r="G29" s="266" t="n"/>
      <c r="H29" s="266" t="n"/>
      <c r="I29" s="266" t="n"/>
      <c r="J29" s="267" t="n"/>
      <c r="K29" s="79" t="n"/>
      <c r="L29" s="79" t="n"/>
      <c r="M29" s="79" t="n"/>
      <c r="N29" s="79" t="n"/>
    </row>
    <row r="30" ht="38.25" customHeight="1" s="198">
      <c r="A30" s="243" t="n">
        <v>9</v>
      </c>
      <c r="B30" s="92" t="inlineStr">
        <is>
          <t>БЦ.34.22</t>
        </is>
      </c>
      <c r="C30" s="242" t="inlineStr">
        <is>
          <t>Шкаф с преобразователями дискретных сигналов (количество контролируемых КА с пофазным приводом – 6)</t>
        </is>
      </c>
      <c r="D30" s="243" t="inlineStr">
        <is>
          <t>шт</t>
        </is>
      </c>
      <c r="E30" s="273" t="n">
        <v>30</v>
      </c>
      <c r="F30" s="245">
        <f>ROUND(I30/Прил.10!$D$13,2)</f>
        <v/>
      </c>
      <c r="G30" s="99">
        <f>ROUND(E30*F30,2)</f>
        <v/>
      </c>
      <c r="H30" s="255">
        <f>G30/$G$39</f>
        <v/>
      </c>
      <c r="I30" s="99" t="n">
        <v>2980000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198">
      <c r="A31" s="243" t="n">
        <v>10</v>
      </c>
      <c r="B31" s="92" t="inlineStr">
        <is>
          <t>БЦ.33.13</t>
        </is>
      </c>
      <c r="C31" s="242" t="inlineStr">
        <is>
          <t>Шкаф сетевой коммутации с четырьмя коммутаторами и двумя серверами СОЕВ</t>
        </is>
      </c>
      <c r="D31" s="243" t="inlineStr">
        <is>
          <t>шт</t>
        </is>
      </c>
      <c r="E31" s="273" t="n">
        <v>6</v>
      </c>
      <c r="F31" s="245">
        <f>ROUND(I31/Прил.10!$D$13,2)</f>
        <v/>
      </c>
      <c r="G31" s="99">
        <f>ROUND(E31*F31,2)</f>
        <v/>
      </c>
      <c r="H31" s="255">
        <f>G31/$G$39</f>
        <v/>
      </c>
      <c r="I31" s="99" t="n">
        <v>8100000</v>
      </c>
      <c r="J31" s="99">
        <f>ROUND(I31*E31,2)</f>
        <v/>
      </c>
      <c r="K31" s="79" t="n"/>
      <c r="L31" s="79" t="n"/>
      <c r="M31" s="79" t="n"/>
      <c r="N31" s="79" t="n"/>
    </row>
    <row r="32" s="198">
      <c r="A32" s="243" t="n">
        <v>11</v>
      </c>
      <c r="B32" s="92" t="inlineStr">
        <is>
          <t>БЦ.33.12</t>
        </is>
      </c>
      <c r="C32" s="242" t="inlineStr">
        <is>
          <t>Шкаф серверного оборудования 2 тип</t>
        </is>
      </c>
      <c r="D32" s="243" t="inlineStr">
        <is>
          <t>шт</t>
        </is>
      </c>
      <c r="E32" s="273" t="n">
        <v>1</v>
      </c>
      <c r="F32" s="245">
        <f>ROUND(I32/Прил.10!$D$13,2)</f>
        <v/>
      </c>
      <c r="G32" s="99">
        <f>ROUND(E32*F32,2)</f>
        <v/>
      </c>
      <c r="H32" s="255">
        <f>G32/$G$39</f>
        <v/>
      </c>
      <c r="I32" s="99" t="n">
        <v>17265015</v>
      </c>
      <c r="J32" s="99">
        <f>ROUND(I32*E32,2)</f>
        <v/>
      </c>
      <c r="K32" s="79" t="n"/>
      <c r="L32" s="79" t="n"/>
      <c r="M32" s="79" t="n"/>
      <c r="N32" s="79" t="n"/>
    </row>
    <row r="33" s="198">
      <c r="A33" s="243" t="n">
        <v>12</v>
      </c>
      <c r="B33" s="92" t="inlineStr">
        <is>
          <t>БЦ.33.11</t>
        </is>
      </c>
      <c r="C33" s="242" t="inlineStr">
        <is>
          <t>Шкаф серверного оборудования 1 тип</t>
        </is>
      </c>
      <c r="D33" s="243" t="inlineStr">
        <is>
          <t>шт</t>
        </is>
      </c>
      <c r="E33" s="273" t="n">
        <v>1</v>
      </c>
      <c r="F33" s="245">
        <f>ROUND(I33/Прил.10!$D$13,2)</f>
        <v/>
      </c>
      <c r="G33" s="99">
        <f>ROUND(E33*F33,2)</f>
        <v/>
      </c>
      <c r="H33" s="255">
        <f>G33/$G$39</f>
        <v/>
      </c>
      <c r="I33" s="99" t="n">
        <v>16590015</v>
      </c>
      <c r="J33" s="99">
        <f>ROUND(I33*E33,2)</f>
        <v/>
      </c>
      <c r="K33" s="79" t="n"/>
      <c r="L33" s="79" t="n"/>
      <c r="M33" s="79" t="n"/>
      <c r="N33" s="79" t="n"/>
    </row>
    <row r="34" s="198">
      <c r="A34" s="100" t="n"/>
      <c r="B34" s="243" t="n"/>
      <c r="C34" s="242" t="inlineStr">
        <is>
          <t>Итого основное оборудование</t>
        </is>
      </c>
      <c r="D34" s="243" t="n"/>
      <c r="E34" s="273" t="n"/>
      <c r="F34" s="245" t="n"/>
      <c r="G34" s="99">
        <f>SUM(G30:G33)</f>
        <v/>
      </c>
      <c r="H34" s="255">
        <f>G34/$G$39</f>
        <v/>
      </c>
      <c r="I34" s="99" t="n"/>
      <c r="J34" s="99">
        <f>SUM(J30:J33)</f>
        <v/>
      </c>
      <c r="K34" s="275" t="n"/>
      <c r="L34" s="79" t="n"/>
      <c r="M34" s="79" t="n"/>
      <c r="N34" s="79" t="n"/>
    </row>
    <row r="35" hidden="1" outlineLevel="1" ht="25.5" customHeight="1" s="198">
      <c r="A35" s="243" t="n">
        <v>13</v>
      </c>
      <c r="B35" s="243" t="inlineStr">
        <is>
          <t>БЦ.33.20</t>
        </is>
      </c>
      <c r="C35" s="242" t="inlineStr">
        <is>
          <t>Шкаф измерительных преобразователей с кол-вом ИП: 16 шт</t>
        </is>
      </c>
      <c r="D35" s="243" t="inlineStr">
        <is>
          <t>шт</t>
        </is>
      </c>
      <c r="E35" s="273" t="n">
        <v>2</v>
      </c>
      <c r="F35" s="245">
        <f>ROUND(I35/Прил.10!$D$13,2)</f>
        <v/>
      </c>
      <c r="G35" s="99">
        <f>ROUND(E35*F35,2)</f>
        <v/>
      </c>
      <c r="H35" s="255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8">
      <c r="A36" s="243" t="n">
        <v>14</v>
      </c>
      <c r="B36" s="243" t="inlineStr">
        <is>
          <t>БЦ.33.26</t>
        </is>
      </c>
      <c r="C36" s="242" t="inlineStr">
        <is>
          <t>Ноутбук</t>
        </is>
      </c>
      <c r="D36" s="243" t="inlineStr">
        <is>
          <t>шт</t>
        </is>
      </c>
      <c r="E36" s="273" t="n">
        <v>1</v>
      </c>
      <c r="F36" s="245">
        <f>ROUND(I36/Прил.10!$D$13,2)</f>
        <v/>
      </c>
      <c r="G36" s="99">
        <f>ROUND(E36*F36,2)</f>
        <v/>
      </c>
      <c r="H36" s="255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8">
      <c r="A37" s="243" t="n">
        <v>15</v>
      </c>
      <c r="B37" s="243" t="inlineStr">
        <is>
          <t>61.3.05.02-0001</t>
        </is>
      </c>
      <c r="C37" s="242" t="inlineStr">
        <is>
          <t>Монитор LCD с диагональю экрана 22 дюйма HP LP2275w</t>
        </is>
      </c>
      <c r="D37" s="243" t="inlineStr">
        <is>
          <t>шт</t>
        </is>
      </c>
      <c r="E37" s="273" t="n">
        <v>2</v>
      </c>
      <c r="F37" s="245" t="n">
        <v>6695.11</v>
      </c>
      <c r="G37" s="99">
        <f>ROUND(E37*F37,2)</f>
        <v/>
      </c>
      <c r="H37" s="255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8">
      <c r="A38" s="100" t="n"/>
      <c r="B38" s="243" t="n"/>
      <c r="C38" s="242" t="inlineStr">
        <is>
          <t>Итого прочее оборудование</t>
        </is>
      </c>
      <c r="D38" s="243" t="n"/>
      <c r="E38" s="244" t="n"/>
      <c r="F38" s="245" t="n"/>
      <c r="G38" s="99">
        <f>SUM(G35:G37)</f>
        <v/>
      </c>
      <c r="H38" s="255">
        <f>G38/$G$39</f>
        <v/>
      </c>
      <c r="I38" s="99" t="n"/>
      <c r="J38" s="99">
        <f>SUM(J35:J37)</f>
        <v/>
      </c>
      <c r="K38" s="275" t="n"/>
      <c r="L38" s="278" t="n"/>
      <c r="M38" s="79" t="n"/>
      <c r="N38" s="79" t="n"/>
    </row>
    <row r="39" s="198">
      <c r="A39" s="243" t="n"/>
      <c r="B39" s="243" t="n"/>
      <c r="C39" s="254" t="inlineStr">
        <is>
          <t>Итого по разделу «Оборудование»</t>
        </is>
      </c>
      <c r="D39" s="243" t="n"/>
      <c r="E39" s="244" t="n"/>
      <c r="F39" s="245" t="n"/>
      <c r="G39" s="99">
        <f>G34+G38</f>
        <v/>
      </c>
      <c r="H39" s="255">
        <f>(G34+G38)/G39</f>
        <v/>
      </c>
      <c r="I39" s="99" t="n"/>
      <c r="J39" s="99">
        <f>J38+J34</f>
        <v/>
      </c>
      <c r="K39" s="275" t="n"/>
      <c r="L39" s="79" t="n"/>
      <c r="M39" s="79" t="n"/>
      <c r="N39" s="79" t="n"/>
    </row>
    <row r="40" ht="25.5" customHeight="1" s="198">
      <c r="A40" s="243" t="n"/>
      <c r="B40" s="243" t="n"/>
      <c r="C40" s="242" t="inlineStr">
        <is>
          <t>в том числе технологическое оборудование</t>
        </is>
      </c>
      <c r="D40" s="243" t="n"/>
      <c r="E40" s="244" t="n"/>
      <c r="F40" s="245" t="n"/>
      <c r="G40" s="99">
        <f>'Прил.6 Расчет ОБ'!G21</f>
        <v/>
      </c>
      <c r="H40" s="255">
        <f>G40/$G$39</f>
        <v/>
      </c>
      <c r="I40" s="99" t="n"/>
      <c r="J40" s="99">
        <f>ROUND(G40*Прил.10!$D$13,2)</f>
        <v/>
      </c>
      <c r="K40" s="275" t="n"/>
      <c r="L40" s="79" t="n"/>
      <c r="M40" s="79" t="n"/>
      <c r="N40" s="79" t="n"/>
    </row>
    <row r="41" ht="14.25" customFormat="1" customHeight="1" s="79">
      <c r="A41" s="257" t="n"/>
      <c r="B41" s="279" t="inlineStr">
        <is>
          <t>Материалы</t>
        </is>
      </c>
      <c r="J41" s="280" t="n"/>
      <c r="K41" s="275" t="n"/>
    </row>
    <row r="42" ht="14.25" customFormat="1" customHeight="1" s="79">
      <c r="A42" s="243" t="n"/>
      <c r="B42" s="242" t="inlineStr">
        <is>
          <t>Основные материалы</t>
        </is>
      </c>
      <c r="C42" s="266" t="n"/>
      <c r="D42" s="266" t="n"/>
      <c r="E42" s="266" t="n"/>
      <c r="F42" s="266" t="n"/>
      <c r="G42" s="266" t="n"/>
      <c r="H42" s="267" t="n"/>
      <c r="I42" s="255" t="n"/>
      <c r="J42" s="255" t="n"/>
    </row>
    <row r="43" ht="25.5" customFormat="1" customHeight="1" s="79">
      <c r="A43" s="243" t="n">
        <v>16</v>
      </c>
      <c r="B43" s="92">
        <f>B44</f>
        <v/>
      </c>
      <c r="C43" s="242">
        <f>C44</f>
        <v/>
      </c>
      <c r="D43" s="243" t="inlineStr">
        <is>
          <t>1000 м</t>
        </is>
      </c>
      <c r="E43" s="273">
        <f>G43/F43</f>
        <v/>
      </c>
      <c r="F43" s="261">
        <f>F44</f>
        <v/>
      </c>
      <c r="G43" s="99">
        <f>G44+G45+G46</f>
        <v/>
      </c>
      <c r="H43" s="255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1" t="n">
        <v>6.12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2" t="n">
        <v>6.12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1" t="n">
        <v>12.24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3" t="n">
        <v>17</v>
      </c>
      <c r="B47" s="92" t="inlineStr">
        <is>
          <t>21.1.01.01-0001</t>
        </is>
      </c>
      <c r="C47" s="242" t="inlineStr">
        <is>
          <t>Кабель волоконно-оптический самонесущий биэлектрический ДСт-49-6z-6/32</t>
        </is>
      </c>
      <c r="D47" s="243" t="inlineStr">
        <is>
          <t>1000 м</t>
        </is>
      </c>
      <c r="E47" s="273" t="n">
        <v>24.2</v>
      </c>
      <c r="F47" s="261" t="n">
        <v>45920.85</v>
      </c>
      <c r="G47" s="99">
        <f>ROUND(F47*E47,2)</f>
        <v/>
      </c>
      <c r="H47" s="255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3" t="n"/>
      <c r="C48" s="242" t="inlineStr">
        <is>
          <t>Итого основные материалы</t>
        </is>
      </c>
      <c r="D48" s="243" t="n"/>
      <c r="E48" s="273" t="n"/>
      <c r="F48" s="245" t="n"/>
      <c r="G48" s="99">
        <f>G43+G47</f>
        <v/>
      </c>
      <c r="H48" s="255">
        <f>G48/$G$79</f>
        <v/>
      </c>
      <c r="I48" s="99" t="n"/>
      <c r="J48" s="99">
        <f>SUM(J43:J47)</f>
        <v/>
      </c>
      <c r="K48" s="275" t="n"/>
    </row>
    <row r="49" hidden="1" outlineLevel="1" ht="38.25" customFormat="1" customHeight="1" s="79">
      <c r="A49" s="257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57" t="inlineStr">
        <is>
          <t>м</t>
        </is>
      </c>
      <c r="E49" s="283" t="n">
        <v>24684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79">
      <c r="A50" s="243" t="n">
        <v>19</v>
      </c>
      <c r="B50" s="92" t="inlineStr">
        <is>
          <t>10.3.02.03-0011</t>
        </is>
      </c>
      <c r="C50" s="242" t="inlineStr">
        <is>
          <t>Припои оловянно-свинцовые бессурьмянистые, марка ПОС30</t>
        </is>
      </c>
      <c r="D50" s="243" t="inlineStr">
        <is>
          <t>т</t>
        </is>
      </c>
      <c r="E50" s="273" t="n">
        <v>0.1224</v>
      </c>
      <c r="F50" s="261" t="n">
        <v>68050</v>
      </c>
      <c r="G50" s="99">
        <f>ROUND(F50*E50,2)</f>
        <v/>
      </c>
      <c r="H50" s="255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57" t="n">
        <v>20</v>
      </c>
      <c r="B51" s="92" t="inlineStr">
        <is>
          <t>08.3.06.01-0003</t>
        </is>
      </c>
      <c r="C51" s="24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3" t="inlineStr">
        <is>
          <t>т</t>
        </is>
      </c>
      <c r="E51" s="273" t="n">
        <v>0.5600000000000001</v>
      </c>
      <c r="F51" s="261" t="n">
        <v>6834.81</v>
      </c>
      <c r="G51" s="99">
        <f>ROUND(F51*E51,2)</f>
        <v/>
      </c>
      <c r="H51" s="255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3" t="n">
        <v>21</v>
      </c>
      <c r="B52" s="92" t="inlineStr">
        <is>
          <t>01.7.15.07-0152</t>
        </is>
      </c>
      <c r="C52" s="242" t="inlineStr">
        <is>
          <t>Дюбели с шурупом, размер 6х35 мм</t>
        </is>
      </c>
      <c r="D52" s="243" t="inlineStr">
        <is>
          <t>100 шт</t>
        </is>
      </c>
      <c r="E52" s="273" t="n">
        <v>423.5</v>
      </c>
      <c r="F52" s="261" t="n">
        <v>8</v>
      </c>
      <c r="G52" s="99">
        <f>ROUND(F52*E52,2)</f>
        <v/>
      </c>
      <c r="H52" s="255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57" t="n">
        <v>22</v>
      </c>
      <c r="B53" s="92" t="inlineStr">
        <is>
          <t>07.2.07.13-0171</t>
        </is>
      </c>
      <c r="C53" s="242" t="inlineStr">
        <is>
          <t>Подкладки металлические</t>
        </is>
      </c>
      <c r="D53" s="243" t="inlineStr">
        <is>
          <t>кг</t>
        </is>
      </c>
      <c r="E53" s="273" t="n">
        <v>240</v>
      </c>
      <c r="F53" s="261" t="n">
        <v>12.6</v>
      </c>
      <c r="G53" s="99">
        <f>ROUND(F53*E53,2)</f>
        <v/>
      </c>
      <c r="H53" s="255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3" t="n">
        <v>23</v>
      </c>
      <c r="B54" s="92" t="inlineStr">
        <is>
          <t>01.7.06.05-0041</t>
        </is>
      </c>
      <c r="C54" s="242" t="inlineStr">
        <is>
          <t>Лента изоляционная прорезиненная односторонняя, ширина 20 мм, толщина 0,25-0,35 мм</t>
        </is>
      </c>
      <c r="D54" s="243" t="inlineStr">
        <is>
          <t>кг</t>
        </is>
      </c>
      <c r="E54" s="273" t="n">
        <v>79.84</v>
      </c>
      <c r="F54" s="261" t="n">
        <v>30.4</v>
      </c>
      <c r="G54" s="99">
        <f>ROUND(F54*E54,2)</f>
        <v/>
      </c>
      <c r="H54" s="255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57" t="n">
        <v>24</v>
      </c>
      <c r="B55" s="92" t="inlineStr">
        <is>
          <t>20.2.01.05-0005</t>
        </is>
      </c>
      <c r="C55" s="242" t="inlineStr">
        <is>
          <t>Гильзы кабельные медные ГМ 16</t>
        </is>
      </c>
      <c r="D55" s="243" t="inlineStr">
        <is>
          <t>100 шт</t>
        </is>
      </c>
      <c r="E55" s="273" t="n">
        <v>12.1</v>
      </c>
      <c r="F55" s="261" t="n">
        <v>143</v>
      </c>
      <c r="G55" s="99">
        <f>ROUND(F55*E55,2)</f>
        <v/>
      </c>
      <c r="H55" s="255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3" t="n">
        <v>25</v>
      </c>
      <c r="B56" s="92" t="inlineStr">
        <is>
          <t>01.7.06.07-0002</t>
        </is>
      </c>
      <c r="C56" s="242" t="inlineStr">
        <is>
          <t>Лента монтажная, тип ЛМ-5</t>
        </is>
      </c>
      <c r="D56" s="243" t="inlineStr">
        <is>
          <t>10 м</t>
        </is>
      </c>
      <c r="E56" s="273" t="n">
        <v>201.8</v>
      </c>
      <c r="F56" s="261" t="n">
        <v>6.9</v>
      </c>
      <c r="G56" s="99">
        <f>ROUND(F56*E56,2)</f>
        <v/>
      </c>
      <c r="H56" s="255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57" t="n">
        <v>26</v>
      </c>
      <c r="B57" s="92" t="inlineStr">
        <is>
          <t>999-9950</t>
        </is>
      </c>
      <c r="C57" s="242" t="inlineStr">
        <is>
          <t>Вспомогательные ненормируемые ресурсы (2% от Оплаты труда рабочих)</t>
        </is>
      </c>
      <c r="D57" s="243" t="inlineStr">
        <is>
          <t>руб</t>
        </is>
      </c>
      <c r="E57" s="273" t="n">
        <v>1341.124</v>
      </c>
      <c r="F57" s="261" t="n">
        <v>1</v>
      </c>
      <c r="G57" s="99">
        <f>ROUND(F57*E57,2)</f>
        <v/>
      </c>
      <c r="H57" s="255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3" t="n">
        <v>27</v>
      </c>
      <c r="B58" s="92" t="inlineStr">
        <is>
          <t>20.2.02.01-0013</t>
        </is>
      </c>
      <c r="C58" s="242" t="inlineStr">
        <is>
          <t>Втулки, диаметр 28 мм</t>
        </is>
      </c>
      <c r="D58" s="243" t="inlineStr">
        <is>
          <t>1000 шт</t>
        </is>
      </c>
      <c r="E58" s="273" t="n">
        <v>2.9524</v>
      </c>
      <c r="F58" s="261" t="n">
        <v>176.21</v>
      </c>
      <c r="G58" s="99">
        <f>ROUND(F58*E58,2)</f>
        <v/>
      </c>
      <c r="H58" s="255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57" t="n">
        <v>28</v>
      </c>
      <c r="B59" s="92" t="inlineStr">
        <is>
          <t>20.1.02.06-0001</t>
        </is>
      </c>
      <c r="C59" s="242" t="inlineStr">
        <is>
          <t>Жир паяльный</t>
        </is>
      </c>
      <c r="D59" s="243" t="inlineStr">
        <is>
          <t>кг</t>
        </is>
      </c>
      <c r="E59" s="273" t="n">
        <v>4.8</v>
      </c>
      <c r="F59" s="261" t="n">
        <v>100.8</v>
      </c>
      <c r="G59" s="99">
        <f>ROUND(F59*E59,2)</f>
        <v/>
      </c>
      <c r="H59" s="255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3" t="n">
        <v>29</v>
      </c>
      <c r="B60" s="92" t="inlineStr">
        <is>
          <t>01.7.07.20-0002</t>
        </is>
      </c>
      <c r="C60" s="242" t="inlineStr">
        <is>
          <t>Тальк молотый, сорт I</t>
        </is>
      </c>
      <c r="D60" s="243" t="inlineStr">
        <is>
          <t>т</t>
        </is>
      </c>
      <c r="E60" s="273" t="n">
        <v>0.2541</v>
      </c>
      <c r="F60" s="261" t="n">
        <v>1820</v>
      </c>
      <c r="G60" s="99">
        <f>ROUND(F60*E60,2)</f>
        <v/>
      </c>
      <c r="H60" s="255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57" t="n">
        <v>30</v>
      </c>
      <c r="B61" s="92" t="inlineStr">
        <is>
          <t>25.2.01.01-0017</t>
        </is>
      </c>
      <c r="C61" s="242" t="inlineStr">
        <is>
          <t>Бирки маркировочные пластмассовые</t>
        </is>
      </c>
      <c r="D61" s="243" t="inlineStr">
        <is>
          <t>100 шт</t>
        </is>
      </c>
      <c r="E61" s="273" t="n">
        <v>14.4</v>
      </c>
      <c r="F61" s="261" t="n">
        <v>30.74</v>
      </c>
      <c r="G61" s="99">
        <f>ROUND(F61*E61,2)</f>
        <v/>
      </c>
      <c r="H61" s="255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3" t="n">
        <v>31</v>
      </c>
      <c r="B62" s="92" t="inlineStr">
        <is>
          <t>14.4.03.03-0002</t>
        </is>
      </c>
      <c r="C62" s="242" t="inlineStr">
        <is>
          <t>Лак битумный БТ-123</t>
        </is>
      </c>
      <c r="D62" s="243" t="inlineStr">
        <is>
          <t>т</t>
        </is>
      </c>
      <c r="E62" s="273" t="n">
        <v>0.0408</v>
      </c>
      <c r="F62" s="261" t="n">
        <v>7826.9</v>
      </c>
      <c r="G62" s="99">
        <f>ROUND(F62*E62,2)</f>
        <v/>
      </c>
      <c r="H62" s="255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57" t="n">
        <v>32</v>
      </c>
      <c r="B63" s="92" t="inlineStr">
        <is>
          <t>01.7.15.03-0034</t>
        </is>
      </c>
      <c r="C63" s="242" t="inlineStr">
        <is>
          <t>Болты с гайками и шайбами оцинкованные, диаметр 12 мм</t>
        </is>
      </c>
      <c r="D63" s="243" t="inlineStr">
        <is>
          <t>кг</t>
        </is>
      </c>
      <c r="E63" s="273" t="n">
        <v>9.512</v>
      </c>
      <c r="F63" s="261" t="n">
        <v>25.76</v>
      </c>
      <c r="G63" s="99">
        <f>ROUND(F63*E63,2)</f>
        <v/>
      </c>
      <c r="H63" s="255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3" t="n">
        <v>33</v>
      </c>
      <c r="B64" s="92" t="inlineStr">
        <is>
          <t>14.4.02.09-0001</t>
        </is>
      </c>
      <c r="C64" s="242" t="inlineStr">
        <is>
          <t>Краска</t>
        </is>
      </c>
      <c r="D64" s="243" t="inlineStr">
        <is>
          <t>кг</t>
        </is>
      </c>
      <c r="E64" s="273" t="n">
        <v>4.84</v>
      </c>
      <c r="F64" s="261" t="n">
        <v>28.6</v>
      </c>
      <c r="G64" s="99">
        <f>ROUND(F64*E64,2)</f>
        <v/>
      </c>
      <c r="H64" s="255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57" t="n">
        <v>34</v>
      </c>
      <c r="B65" s="92" t="inlineStr">
        <is>
          <t>10.3.02.03-0013</t>
        </is>
      </c>
      <c r="C65" s="242" t="inlineStr">
        <is>
          <t>Припои оловянно-свинцовые бессурьмянистые, марка ПОС61</t>
        </is>
      </c>
      <c r="D65" s="243" t="inlineStr">
        <is>
          <t>т</t>
        </is>
      </c>
      <c r="E65" s="273" t="n">
        <v>0.001152</v>
      </c>
      <c r="F65" s="261" t="n">
        <v>114220</v>
      </c>
      <c r="G65" s="99">
        <f>ROUND(F65*E65,2)</f>
        <v/>
      </c>
      <c r="H65" s="255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3" t="n">
        <v>35</v>
      </c>
      <c r="B66" s="92" t="inlineStr">
        <is>
          <t>25.2.02.11-0041</t>
        </is>
      </c>
      <c r="C66" s="242" t="inlineStr">
        <is>
          <t>Рамка для надписей 55х15 мм</t>
        </is>
      </c>
      <c r="D66" s="243" t="inlineStr">
        <is>
          <t>шт</t>
        </is>
      </c>
      <c r="E66" s="273" t="n">
        <v>400</v>
      </c>
      <c r="F66" s="261" t="n">
        <v>0.27</v>
      </c>
      <c r="G66" s="99">
        <f>ROUND(F66*E66,2)</f>
        <v/>
      </c>
      <c r="H66" s="255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57" t="n">
        <v>36</v>
      </c>
      <c r="B67" s="92" t="inlineStr">
        <is>
          <t>01.7.11.07-0032</t>
        </is>
      </c>
      <c r="C67" s="242" t="inlineStr">
        <is>
          <t>Электроды сварочные Э42, диаметр 4 мм</t>
        </is>
      </c>
      <c r="D67" s="243" t="inlineStr">
        <is>
          <t>т</t>
        </is>
      </c>
      <c r="E67" s="273" t="n">
        <v>0.009599999999999999</v>
      </c>
      <c r="F67" s="261" t="n">
        <v>10315.01</v>
      </c>
      <c r="G67" s="99">
        <f>ROUND(F67*E67,2)</f>
        <v/>
      </c>
      <c r="H67" s="255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3" t="n">
        <v>37</v>
      </c>
      <c r="B68" s="92" t="inlineStr">
        <is>
          <t>01.7.15.14-0165</t>
        </is>
      </c>
      <c r="C68" s="242" t="inlineStr">
        <is>
          <t>Шурупы с полукруглой головкой 4х40 мм</t>
        </is>
      </c>
      <c r="D68" s="243" t="inlineStr">
        <is>
          <t>т</t>
        </is>
      </c>
      <c r="E68" s="273" t="n">
        <v>0.0044</v>
      </c>
      <c r="F68" s="261" t="n">
        <v>12430</v>
      </c>
      <c r="G68" s="99">
        <f>ROUND(F68*E68,2)</f>
        <v/>
      </c>
      <c r="H68" s="255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57" t="n">
        <v>38</v>
      </c>
      <c r="B69" s="92" t="inlineStr">
        <is>
          <t>14.4.04.09-0017</t>
        </is>
      </c>
      <c r="C69" s="242" t="inlineStr">
        <is>
          <t>Эмаль ХВ-124, защитная, зеленая</t>
        </is>
      </c>
      <c r="D69" s="243" t="inlineStr">
        <is>
          <t>т</t>
        </is>
      </c>
      <c r="E69" s="273" t="n">
        <v>0.0008</v>
      </c>
      <c r="F69" s="261" t="n">
        <v>28300.4</v>
      </c>
      <c r="G69" s="99">
        <f>ROUND(F69*E69,2)</f>
        <v/>
      </c>
      <c r="H69" s="255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3" t="n">
        <v>39</v>
      </c>
      <c r="B70" s="92" t="inlineStr">
        <is>
          <t>24.3.01.01-0002</t>
        </is>
      </c>
      <c r="C70" s="242" t="inlineStr">
        <is>
          <t>Трубка полихлорвиниловая</t>
        </is>
      </c>
      <c r="D70" s="243" t="inlineStr">
        <is>
          <t>кг</t>
        </is>
      </c>
      <c r="E70" s="273" t="n">
        <v>0.576</v>
      </c>
      <c r="F70" s="261" t="n">
        <v>35.7</v>
      </c>
      <c r="G70" s="99">
        <f>ROUND(F70*E70,2)</f>
        <v/>
      </c>
      <c r="H70" s="255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57" t="n">
        <v>40</v>
      </c>
      <c r="B71" s="92" t="inlineStr">
        <is>
          <t>01.3.01.05-0009</t>
        </is>
      </c>
      <c r="C71" s="242" t="inlineStr">
        <is>
          <t>Парафин нефтяной твердый Т-1</t>
        </is>
      </c>
      <c r="D71" s="243" t="inlineStr">
        <is>
          <t>т</t>
        </is>
      </c>
      <c r="E71" s="273" t="n">
        <v>0.0024</v>
      </c>
      <c r="F71" s="261" t="n">
        <v>8105.71</v>
      </c>
      <c r="G71" s="99">
        <f>ROUND(F71*E71,2)</f>
        <v/>
      </c>
      <c r="H71" s="255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3" t="n">
        <v>41</v>
      </c>
      <c r="B72" s="92" t="inlineStr">
        <is>
          <t>01.3.01.07-0009</t>
        </is>
      </c>
      <c r="C72" s="242" t="inlineStr">
        <is>
          <t>Спирт этиловый ректификованный технический, сорт I</t>
        </is>
      </c>
      <c r="D72" s="243" t="inlineStr">
        <is>
          <t>кг</t>
        </is>
      </c>
      <c r="E72" s="273" t="n">
        <v>0.4176</v>
      </c>
      <c r="F72" s="261" t="n">
        <v>38.89</v>
      </c>
      <c r="G72" s="99">
        <f>ROUND(F72*E72,2)</f>
        <v/>
      </c>
      <c r="H72" s="255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57" t="n">
        <v>42</v>
      </c>
      <c r="B73" s="92" t="inlineStr">
        <is>
          <t>01.3.05.17-0002</t>
        </is>
      </c>
      <c r="C73" s="242" t="inlineStr">
        <is>
          <t>Канифоль сосновая</t>
        </is>
      </c>
      <c r="D73" s="243" t="inlineStr">
        <is>
          <t>кг</t>
        </is>
      </c>
      <c r="E73" s="273" t="n">
        <v>0.2736</v>
      </c>
      <c r="F73" s="261" t="n">
        <v>27.74</v>
      </c>
      <c r="G73" s="99">
        <f>ROUND(F73*E73,2)</f>
        <v/>
      </c>
      <c r="H73" s="255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3" t="n">
        <v>43</v>
      </c>
      <c r="B74" s="92" t="inlineStr">
        <is>
          <t>14.4.01.01-0003</t>
        </is>
      </c>
      <c r="C74" s="242" t="inlineStr">
        <is>
          <t>Грунтовка ГФ-021</t>
        </is>
      </c>
      <c r="D74" s="243" t="inlineStr">
        <is>
          <t>т</t>
        </is>
      </c>
      <c r="E74" s="273" t="n">
        <v>0.0004</v>
      </c>
      <c r="F74" s="261" t="n">
        <v>15620</v>
      </c>
      <c r="G74" s="99">
        <f>ROUND(F74*E74,2)</f>
        <v/>
      </c>
      <c r="H74" s="255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57" t="n">
        <v>44</v>
      </c>
      <c r="B75" s="92" t="inlineStr">
        <is>
          <t>14.5.09.07-0030</t>
        </is>
      </c>
      <c r="C75" s="242" t="inlineStr">
        <is>
          <t>Растворитель Р-4</t>
        </is>
      </c>
      <c r="D75" s="243" t="inlineStr">
        <is>
          <t>кг</t>
        </is>
      </c>
      <c r="E75" s="273" t="n">
        <v>0.4</v>
      </c>
      <c r="F75" s="261" t="n">
        <v>9.42</v>
      </c>
      <c r="G75" s="99">
        <f>ROUND(F75*E75,2)</f>
        <v/>
      </c>
      <c r="H75" s="255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3" t="n">
        <v>45</v>
      </c>
      <c r="B76" s="92" t="inlineStr">
        <is>
          <t>14.5.09.11-0102</t>
        </is>
      </c>
      <c r="C76" s="242" t="inlineStr">
        <is>
          <t>Уайт-спирит</t>
        </is>
      </c>
      <c r="D76" s="243" t="inlineStr">
        <is>
          <t>кг</t>
        </is>
      </c>
      <c r="E76" s="273" t="n">
        <v>0.4</v>
      </c>
      <c r="F76" s="261" t="n">
        <v>6.67</v>
      </c>
      <c r="G76" s="99">
        <f>ROUND(F76*E76,2)</f>
        <v/>
      </c>
      <c r="H76" s="255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57" t="n">
        <v>46</v>
      </c>
      <c r="B77" s="92" t="inlineStr">
        <is>
          <t>01.3.05.11-0001</t>
        </is>
      </c>
      <c r="C77" s="242" t="inlineStr">
        <is>
          <t>Дихлорэтан технический, сорт I</t>
        </is>
      </c>
      <c r="D77" s="243" t="inlineStr">
        <is>
          <t>т</t>
        </is>
      </c>
      <c r="E77" s="273" t="n">
        <v>0.000288</v>
      </c>
      <c r="F77" s="261" t="n">
        <v>4934.48</v>
      </c>
      <c r="G77" s="99">
        <f>ROUND(F77*E77,2)</f>
        <v/>
      </c>
      <c r="H77" s="255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3" t="n"/>
      <c r="B78" s="243" t="n"/>
      <c r="C78" s="242" t="inlineStr">
        <is>
          <t>Итого прочие материалы</t>
        </is>
      </c>
      <c r="D78" s="243" t="n"/>
      <c r="E78" s="244" t="n"/>
      <c r="F78" s="245" t="n"/>
      <c r="G78" s="99">
        <f>SUM(G49:G77)</f>
        <v/>
      </c>
      <c r="H78" s="255">
        <f>G78/G79</f>
        <v/>
      </c>
      <c r="I78" s="99" t="n"/>
      <c r="J78" s="99">
        <f>SUM(J49:J77)</f>
        <v/>
      </c>
      <c r="L78" s="278" t="n"/>
    </row>
    <row r="79" ht="14.25" customFormat="1" customHeight="1" s="79">
      <c r="A79" s="243" t="n"/>
      <c r="B79" s="243" t="n"/>
      <c r="C79" s="254" t="inlineStr">
        <is>
          <t>Итого по разделу «Материалы»</t>
        </is>
      </c>
      <c r="D79" s="243" t="n"/>
      <c r="E79" s="244" t="n"/>
      <c r="F79" s="245" t="n"/>
      <c r="G79" s="99">
        <f>G48+G78</f>
        <v/>
      </c>
      <c r="H79" s="255" t="n">
        <v>1</v>
      </c>
      <c r="I79" s="245" t="n"/>
      <c r="J79" s="99">
        <f>J48+J78</f>
        <v/>
      </c>
      <c r="K79" s="275" t="n"/>
    </row>
    <row r="80" ht="14.25" customFormat="1" customHeight="1" s="79">
      <c r="A80" s="243" t="n"/>
      <c r="B80" s="243" t="n"/>
      <c r="C80" s="242" t="inlineStr">
        <is>
          <t>ИТОГО ПО РМ</t>
        </is>
      </c>
      <c r="D80" s="243" t="n"/>
      <c r="E80" s="244" t="n"/>
      <c r="F80" s="245" t="n"/>
      <c r="G80" s="99">
        <f>G14+G27+G79</f>
        <v/>
      </c>
      <c r="H80" s="255" t="n"/>
      <c r="I80" s="245" t="n"/>
      <c r="J80" s="99">
        <f>J14+J27+J79</f>
        <v/>
      </c>
    </row>
    <row r="81" ht="14.25" customFormat="1" customHeight="1" s="79">
      <c r="A81" s="243" t="n"/>
      <c r="B81" s="243" t="n"/>
      <c r="C81" s="242" t="inlineStr">
        <is>
          <t>Накладные расходы</t>
        </is>
      </c>
      <c r="D81" s="243" t="inlineStr">
        <is>
          <t>%</t>
        </is>
      </c>
      <c r="E81" s="67">
        <f>ROUND(G81/(G14+G16),2)</f>
        <v/>
      </c>
      <c r="F81" s="245" t="n"/>
      <c r="G81" s="99" t="n">
        <v>66202.21000000001</v>
      </c>
      <c r="H81" s="255" t="n"/>
      <c r="I81" s="245" t="n"/>
      <c r="J81" s="99">
        <f>ROUND(E81*(J14+J16),2)</f>
        <v/>
      </c>
      <c r="K81" s="68" t="n"/>
    </row>
    <row r="82" ht="14.25" customFormat="1" customHeight="1" s="79">
      <c r="A82" s="243" t="n"/>
      <c r="B82" s="243" t="n"/>
      <c r="C82" s="242" t="inlineStr">
        <is>
          <t>Сметная прибыль</t>
        </is>
      </c>
      <c r="D82" s="243" t="inlineStr">
        <is>
          <t>%</t>
        </is>
      </c>
      <c r="E82" s="67">
        <f>ROUND(G82/(G14+G16),2)</f>
        <v/>
      </c>
      <c r="F82" s="245" t="n"/>
      <c r="G82" s="99" t="n">
        <v>34755.41</v>
      </c>
      <c r="H82" s="255" t="n"/>
      <c r="I82" s="245" t="n"/>
      <c r="J82" s="99">
        <f>ROUND(E82*(J14+J16),2)</f>
        <v/>
      </c>
      <c r="K82" s="68" t="n"/>
    </row>
    <row r="83" ht="14.25" customFormat="1" customHeight="1" s="79">
      <c r="A83" s="243" t="n"/>
      <c r="B83" s="243" t="n"/>
      <c r="C83" s="242" t="inlineStr">
        <is>
          <t>Итого СМР (с НР и СП)</t>
        </is>
      </c>
      <c r="D83" s="243" t="n"/>
      <c r="E83" s="244" t="n"/>
      <c r="F83" s="245" t="n"/>
      <c r="G83" s="99">
        <f>G14+G27+G79+G81+G82</f>
        <v/>
      </c>
      <c r="H83" s="255" t="n"/>
      <c r="I83" s="245" t="n"/>
      <c r="J83" s="99">
        <f>J14+J27+J79+J81+J82</f>
        <v/>
      </c>
      <c r="L83" s="69" t="n"/>
    </row>
    <row r="84" ht="14.25" customFormat="1" customHeight="1" s="79">
      <c r="A84" s="243" t="n"/>
      <c r="B84" s="243" t="n"/>
      <c r="C84" s="242" t="inlineStr">
        <is>
          <t>ВСЕГО СМР + ОБОРУДОВАНИЕ</t>
        </is>
      </c>
      <c r="D84" s="243" t="n"/>
      <c r="E84" s="244" t="n"/>
      <c r="F84" s="245" t="n"/>
      <c r="G84" s="99">
        <f>G83+G39</f>
        <v/>
      </c>
      <c r="H84" s="255" t="n"/>
      <c r="I84" s="245" t="n"/>
      <c r="J84" s="99">
        <f>J83+J39</f>
        <v/>
      </c>
      <c r="L84" s="68" t="n"/>
    </row>
    <row r="85" ht="14.25" customFormat="1" customHeight="1" s="79">
      <c r="A85" s="243" t="n"/>
      <c r="B85" s="243" t="n"/>
      <c r="C85" s="242" t="inlineStr">
        <is>
          <t>ИТОГО ПОКАЗАТЕЛЬ НА ЕД. ИЗМ.</t>
        </is>
      </c>
      <c r="D85" s="243" t="inlineStr">
        <is>
          <t>ед.</t>
        </is>
      </c>
      <c r="E85" s="133" t="n">
        <v>1</v>
      </c>
      <c r="F85" s="245" t="n"/>
      <c r="G85" s="99">
        <f>G84/E85</f>
        <v/>
      </c>
      <c r="H85" s="255" t="n"/>
      <c r="I85" s="245" t="n"/>
      <c r="J85" s="99">
        <f>J84/E85</f>
        <v/>
      </c>
      <c r="L85" s="272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B24" sqref="B24"/>
    </sheetView>
  </sheetViews>
  <sheetFormatPr baseColWidth="8" defaultRowHeight="15"/>
  <cols>
    <col width="5.7109375" customWidth="1" style="198" min="1" max="1"/>
    <col width="14.85546875" customWidth="1" style="198" min="2" max="2"/>
    <col width="39.140625" customWidth="1" style="198" min="3" max="3"/>
    <col width="8.28515625" customWidth="1" style="198" min="4" max="4"/>
    <col width="13.5703125" customWidth="1" style="198" min="5" max="5"/>
    <col width="12.42578125" customWidth="1" style="198" min="6" max="6"/>
    <col width="14.140625" customWidth="1" style="198" min="7" max="7"/>
  </cols>
  <sheetData>
    <row r="1">
      <c r="A1" s="262" t="inlineStr">
        <is>
          <t>Приложение №6</t>
        </is>
      </c>
    </row>
    <row r="2" s="198">
      <c r="A2" s="262" t="n"/>
      <c r="B2" s="262" t="n"/>
      <c r="C2" s="262" t="n"/>
      <c r="D2" s="262" t="n"/>
      <c r="E2" s="262" t="n"/>
      <c r="F2" s="262" t="n"/>
      <c r="G2" s="262" t="n"/>
    </row>
    <row r="3" s="198">
      <c r="A3" s="262" t="n"/>
      <c r="B3" s="262" t="n"/>
      <c r="C3" s="262" t="n"/>
      <c r="D3" s="262" t="n"/>
      <c r="E3" s="262" t="n"/>
      <c r="F3" s="262" t="n"/>
      <c r="G3" s="262" t="n"/>
    </row>
    <row r="4">
      <c r="A4" s="262" t="n"/>
      <c r="B4" s="262" t="n"/>
      <c r="C4" s="262" t="n"/>
      <c r="D4" s="262" t="n"/>
      <c r="E4" s="262" t="n"/>
      <c r="F4" s="262" t="n"/>
      <c r="G4" s="262" t="n"/>
    </row>
    <row r="5">
      <c r="A5" s="239" t="inlineStr">
        <is>
          <t>Расчет стоимости оборудования</t>
        </is>
      </c>
    </row>
    <row r="6" ht="64.5" customHeight="1" s="198">
      <c r="A6" s="264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8">
      <c r="A8" s="263" t="inlineStr">
        <is>
          <t>№ пп.</t>
        </is>
      </c>
      <c r="B8" s="263" t="inlineStr">
        <is>
          <t>Код ресурса</t>
        </is>
      </c>
      <c r="C8" s="263" t="inlineStr">
        <is>
          <t>Наименование</t>
        </is>
      </c>
      <c r="D8" s="263" t="inlineStr">
        <is>
          <t>Ед. изм.</t>
        </is>
      </c>
      <c r="E8" s="243" t="inlineStr">
        <is>
          <t>Кол-во единиц по проектным данным</t>
        </is>
      </c>
      <c r="F8" s="263" t="inlineStr">
        <is>
          <t>Сметная стоимость в ценах на 01.01.2000 (руб.)</t>
        </is>
      </c>
      <c r="G8" s="267" t="n"/>
    </row>
    <row r="9">
      <c r="A9" s="269" t="n"/>
      <c r="B9" s="269" t="n"/>
      <c r="C9" s="269" t="n"/>
      <c r="D9" s="269" t="n"/>
      <c r="E9" s="269" t="n"/>
      <c r="F9" s="243" t="inlineStr">
        <is>
          <t>на ед. изм.</t>
        </is>
      </c>
      <c r="G9" s="243" t="inlineStr">
        <is>
          <t>общая</t>
        </is>
      </c>
    </row>
    <row r="10">
      <c r="A10" s="243" t="n">
        <v>1</v>
      </c>
      <c r="B10" s="243" t="n">
        <v>2</v>
      </c>
      <c r="C10" s="243" t="n">
        <v>3</v>
      </c>
      <c r="D10" s="243" t="n">
        <v>4</v>
      </c>
      <c r="E10" s="243" t="n">
        <v>5</v>
      </c>
      <c r="F10" s="243" t="n">
        <v>6</v>
      </c>
      <c r="G10" s="243" t="n">
        <v>7</v>
      </c>
    </row>
    <row r="11" ht="15" customHeight="1" s="198">
      <c r="A11" s="31" t="n"/>
      <c r="B11" s="242" t="inlineStr">
        <is>
          <t>ИНЖЕНЕРНОЕ ОБОРУДОВАНИЕ</t>
        </is>
      </c>
      <c r="C11" s="266" t="n"/>
      <c r="D11" s="266" t="n"/>
      <c r="E11" s="266" t="n"/>
      <c r="F11" s="266" t="n"/>
      <c r="G11" s="267" t="n"/>
    </row>
    <row r="12" ht="27" customHeight="1" s="198">
      <c r="A12" s="243" t="n"/>
      <c r="B12" s="254" t="n"/>
      <c r="C12" s="242" t="inlineStr">
        <is>
          <t>ИТОГО ИНЖЕНЕРНОЕ ОБОРУДОВАНИЕ</t>
        </is>
      </c>
      <c r="D12" s="254" t="n"/>
      <c r="E12" s="9" t="n"/>
      <c r="F12" s="245" t="n"/>
      <c r="G12" s="245" t="n">
        <v>0</v>
      </c>
    </row>
    <row r="13">
      <c r="A13" s="243" t="n"/>
      <c r="B13" s="242" t="inlineStr">
        <is>
          <t>ТЕХНОЛОГИЧЕСКОЕ ОБОРУДОВАНИЕ</t>
        </is>
      </c>
      <c r="C13" s="266" t="n"/>
      <c r="D13" s="266" t="n"/>
      <c r="E13" s="266" t="n"/>
      <c r="F13" s="266" t="n"/>
      <c r="G13" s="267" t="n"/>
    </row>
    <row r="14" ht="38.25" customHeight="1" s="198">
      <c r="A14" s="243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96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198">
      <c r="A15" s="243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96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8">
      <c r="A16" s="243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96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s="198">
      <c r="A17" s="243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96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8">
      <c r="A18" s="243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96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8">
      <c r="A19" s="243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96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8">
      <c r="A20" s="243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96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8">
      <c r="A21" s="243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45" t="n"/>
      <c r="G21" s="99">
        <f>SUM(G14:G20)</f>
        <v/>
      </c>
    </row>
    <row r="22" ht="19.5" customHeight="1" s="198">
      <c r="A22" s="243" t="n"/>
      <c r="B22" s="242" t="n"/>
      <c r="C22" s="242" t="inlineStr">
        <is>
          <t>Всего по разделу «Оборудование»</t>
        </is>
      </c>
      <c r="D22" s="242" t="n"/>
      <c r="E22" s="261" t="n"/>
      <c r="F22" s="245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8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8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8">
      <c r="A26" s="184" t="n"/>
      <c r="B26" s="79" t="n"/>
      <c r="C26" s="79" t="n"/>
      <c r="D26" s="192" t="n"/>
      <c r="E26" s="192" t="n"/>
      <c r="F26" s="192" t="n"/>
      <c r="G26" s="192" t="n"/>
    </row>
    <row r="27" s="198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8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8" min="1" max="1"/>
    <col width="29.7109375" customWidth="1" style="198" min="2" max="2"/>
    <col width="35" customWidth="1" style="198" min="3" max="3"/>
    <col width="27.5703125" customWidth="1" style="198" min="4" max="4"/>
    <col width="24.85546875" customWidth="1" style="198" min="5" max="5"/>
    <col width="8.85546875" customWidth="1" style="198" min="6" max="6"/>
  </cols>
  <sheetData>
    <row r="1">
      <c r="B1" s="184" t="n"/>
      <c r="C1" s="184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198">
      <c r="A3" s="239" t="inlineStr">
        <is>
          <t>Расчет показателя УНЦ</t>
        </is>
      </c>
    </row>
    <row r="4" ht="24.75" customHeight="1" s="198">
      <c r="A4" s="239" t="n"/>
      <c r="B4" s="239" t="n"/>
      <c r="C4" s="239" t="n"/>
      <c r="D4" s="239" t="n"/>
    </row>
    <row r="5" ht="76.5" customHeight="1" s="198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</f>
        <v/>
      </c>
    </row>
    <row r="6" ht="19.9" customHeight="1" s="198">
      <c r="A6" s="253">
        <f>'Прил.1 Сравнит табл'!B9</f>
        <v/>
      </c>
      <c r="D6" s="253" t="n"/>
    </row>
    <row r="7">
      <c r="A7" s="184" t="n"/>
      <c r="B7" s="184" t="n"/>
      <c r="C7" s="184" t="n"/>
      <c r="D7" s="184" t="n"/>
    </row>
    <row r="8" ht="14.45" customHeight="1" s="19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98">
      <c r="A9" s="269" t="n"/>
      <c r="B9" s="269" t="n"/>
      <c r="C9" s="269" t="n"/>
      <c r="D9" s="269" t="n"/>
    </row>
    <row r="10">
      <c r="A10" s="243" t="n">
        <v>1</v>
      </c>
      <c r="B10" s="243" t="n">
        <v>2</v>
      </c>
      <c r="C10" s="243" t="n">
        <v>3</v>
      </c>
      <c r="D10" s="243" t="n">
        <v>4</v>
      </c>
    </row>
    <row r="11" ht="51" customHeight="1" s="198">
      <c r="A11" s="243" t="inlineStr">
        <is>
          <t>А3-06-4</t>
        </is>
      </c>
      <c r="B11" s="243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31" t="inlineStr">
        <is>
          <t>Приложение № 10</t>
        </is>
      </c>
    </row>
    <row r="5" ht="18.75" customHeight="1" s="198">
      <c r="B5" s="22" t="n"/>
    </row>
    <row r="6" ht="15.75" customHeight="1" s="198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 ht="47.25" customHeight="1" s="198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98">
      <c r="B9" s="235" t="n">
        <v>1</v>
      </c>
      <c r="C9" s="235" t="n">
        <v>2</v>
      </c>
      <c r="D9" s="235" t="n">
        <v>3</v>
      </c>
    </row>
    <row r="10" ht="31.5" customHeight="1" s="198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98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98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98">
      <c r="B13" s="23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98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8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8">
      <c r="B16" s="235" t="n"/>
      <c r="C16" s="235" t="n"/>
      <c r="D16" s="29" t="n"/>
    </row>
    <row r="17" ht="31.5" customHeight="1" s="198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8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98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98">
      <c r="B20" s="23" t="n"/>
    </row>
    <row r="21" ht="18.75" customHeight="1" s="198">
      <c r="B21" s="23" t="n"/>
    </row>
    <row r="22" ht="18.75" customHeight="1" s="198">
      <c r="B22" s="23" t="n"/>
    </row>
    <row r="23" ht="18.75" customHeight="1" s="198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9" sqref="F29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00" t="n"/>
    </row>
    <row r="6" ht="15.75" customHeight="1" s="198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5" t="n"/>
      <c r="D10" s="235" t="n"/>
      <c r="E10" s="284" t="n">
        <v>3.7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5" t="n">
        <v>1.293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02" t="inlineStr">
        <is>
          <t>1.6</t>
        </is>
      </c>
      <c r="B12" s="22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6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2025-01-24T11:52:26Z</dcterms:modified>
  <cp:lastModifiedBy>Виктор Плотников</cp:lastModifiedBy>
  <cp:lastPrinted>2023-11-25T09:37:58Z</cp:lastPrinted>
</cp:coreProperties>
</file>