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50" min="1" max="2"/>
    <col width="36.85546875" customWidth="1" style="150" min="3" max="3"/>
    <col width="36.5703125" customWidth="1" style="150" min="4" max="4"/>
    <col hidden="1" width="36.5703125" customWidth="1" style="150" min="5" max="6"/>
    <col width="14.28515625" customWidth="1" style="152" min="7" max="7"/>
    <col width="12.140625" customWidth="1" style="152" min="8" max="8"/>
    <col width="12.28515625" customWidth="1" style="152" min="9" max="9"/>
    <col width="15" customWidth="1" style="152" min="10" max="10"/>
    <col width="9.140625" customWidth="1" style="152" min="11" max="11"/>
  </cols>
  <sheetData>
    <row r="1">
      <c r="G1" s="150" t="n"/>
      <c r="H1" s="150" t="n"/>
      <c r="I1" s="150" t="n"/>
      <c r="J1" s="150" t="n"/>
      <c r="K1" s="150" t="n"/>
    </row>
    <row r="2">
      <c r="G2" s="150" t="n"/>
      <c r="H2" s="150" t="n"/>
      <c r="I2" s="150" t="n"/>
      <c r="J2" s="150" t="n"/>
      <c r="K2" s="150" t="n"/>
    </row>
    <row r="3">
      <c r="B3" s="165" t="inlineStr">
        <is>
          <t>Приложение № 1</t>
        </is>
      </c>
      <c r="G3" s="150" t="n"/>
      <c r="H3" s="150" t="n"/>
      <c r="I3" s="150" t="n"/>
      <c r="J3" s="150" t="n"/>
      <c r="K3" s="150" t="n"/>
    </row>
    <row r="4">
      <c r="B4" s="166" t="inlineStr">
        <is>
          <t>Сравнительная таблица отбора объекта-представителя</t>
        </is>
      </c>
      <c r="G4" s="150" t="n"/>
      <c r="H4" s="150" t="n"/>
      <c r="I4" s="150" t="n"/>
      <c r="J4" s="150" t="n"/>
      <c r="K4" s="150" t="n"/>
    </row>
    <row r="5">
      <c r="B5" s="57" t="n"/>
      <c r="C5" s="57" t="n"/>
      <c r="D5" s="57" t="n"/>
      <c r="E5" s="57" t="n"/>
      <c r="F5" s="57" t="n"/>
      <c r="G5" s="150" t="n"/>
      <c r="H5" s="150" t="n"/>
      <c r="I5" s="150" t="n"/>
      <c r="J5" s="150" t="n"/>
      <c r="K5" s="150" t="n"/>
    </row>
    <row r="6">
      <c r="B6" s="57" t="n"/>
      <c r="C6" s="57" t="n"/>
      <c r="D6" s="57" t="n"/>
      <c r="E6" s="57" t="n"/>
      <c r="F6" s="57" t="n"/>
      <c r="G6" s="150" t="n"/>
      <c r="H6" s="150" t="n"/>
      <c r="I6" s="150" t="n"/>
      <c r="J6" s="150" t="n"/>
      <c r="K6" s="150" t="n"/>
    </row>
    <row r="7" ht="59.25" customHeight="1" s="152">
      <c r="B7" s="164">
        <f>CONCATENATE(TEXT('Прил.5 Расчет СМР и ОБ'!A6,0)," - ",TEXT('Прил.5 Расчет СМР и ОБ'!D6,0))</f>
        <v/>
      </c>
      <c r="G7" s="58" t="n"/>
      <c r="H7" s="150" t="n"/>
      <c r="I7" s="150" t="n"/>
      <c r="J7" s="150" t="n"/>
      <c r="K7" s="150" t="n"/>
    </row>
    <row r="8" ht="15.75" customHeight="1" s="152">
      <c r="B8" s="56" t="inlineStr">
        <is>
          <t xml:space="preserve">Сопоставимый уровень цен: </t>
        </is>
      </c>
      <c r="C8" s="56" t="n"/>
      <c r="D8" s="142">
        <f>D22</f>
        <v/>
      </c>
      <c r="E8" s="56" t="n"/>
      <c r="F8" s="56" t="n"/>
      <c r="G8" s="150" t="n"/>
      <c r="H8" s="150" t="n"/>
      <c r="I8" s="150" t="n"/>
      <c r="J8" s="150" t="n"/>
      <c r="K8" s="150" t="n"/>
    </row>
    <row r="9" ht="15.75" customHeight="1" s="152">
      <c r="B9" s="164" t="inlineStr">
        <is>
          <t>Единица измерения  — 1 ед</t>
        </is>
      </c>
      <c r="G9" s="58" t="n"/>
      <c r="H9" s="150" t="n"/>
      <c r="I9" s="150" t="n"/>
      <c r="J9" s="150" t="n"/>
      <c r="K9" s="150" t="n"/>
    </row>
    <row r="10">
      <c r="B10" s="164" t="n"/>
      <c r="G10" s="150" t="n"/>
      <c r="H10" s="150" t="n"/>
      <c r="I10" s="150" t="n"/>
      <c r="J10" s="150" t="n"/>
      <c r="K10" s="150" t="n"/>
    </row>
    <row r="11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>Объект-представитель 1</t>
        </is>
      </c>
      <c r="E11" s="169" t="inlineStr">
        <is>
          <t>Объект-представитель 2</t>
        </is>
      </c>
      <c r="F11" s="169" t="inlineStr">
        <is>
          <t>Объект-представитель 3</t>
        </is>
      </c>
      <c r="G11" s="58" t="n"/>
      <c r="H11" s="150" t="n"/>
      <c r="I11" s="150" t="n"/>
      <c r="J11" s="150" t="n"/>
      <c r="K11" s="150" t="n"/>
    </row>
    <row r="12" ht="189" customHeight="1" s="152">
      <c r="B12" s="169" t="n">
        <v>1</v>
      </c>
      <c r="C12" s="156" t="inlineStr">
        <is>
          <t>Наименование объекта-представителя</t>
        </is>
      </c>
      <c r="D12" s="16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9" t="n"/>
      <c r="F12" s="169" t="n"/>
      <c r="G12" s="150" t="n"/>
      <c r="H12" s="150" t="n"/>
      <c r="I12" s="150" t="n"/>
      <c r="J12" s="150" t="n"/>
      <c r="K12" s="150" t="n"/>
    </row>
    <row r="13" ht="31.5" customHeight="1" s="152">
      <c r="B13" s="169" t="n">
        <v>2</v>
      </c>
      <c r="C13" s="156" t="inlineStr">
        <is>
          <t>Наименование субъекта Российской Федерации</t>
        </is>
      </c>
      <c r="D13" s="169" t="inlineStr">
        <is>
          <t>Республика Бурятия</t>
        </is>
      </c>
      <c r="E13" s="169" t="n"/>
      <c r="F13" s="169" t="n"/>
      <c r="G13" s="150" t="n"/>
      <c r="H13" s="150" t="n"/>
      <c r="I13" s="150" t="n"/>
      <c r="J13" s="150" t="n"/>
      <c r="K13" s="150" t="n"/>
    </row>
    <row r="14">
      <c r="B14" s="169" t="n">
        <v>3</v>
      </c>
      <c r="C14" s="156" t="inlineStr">
        <is>
          <t>Климатический район и подрайон</t>
        </is>
      </c>
      <c r="D14" s="169" t="inlineStr">
        <is>
          <t>IД</t>
        </is>
      </c>
      <c r="E14" s="169" t="n"/>
      <c r="F14" s="169" t="n"/>
      <c r="G14" s="150" t="n"/>
      <c r="H14" s="150" t="n"/>
      <c r="I14" s="150" t="n"/>
      <c r="J14" s="150" t="n"/>
      <c r="K14" s="150" t="n"/>
    </row>
    <row r="15">
      <c r="B15" s="169" t="n">
        <v>4</v>
      </c>
      <c r="C15" s="156" t="inlineStr">
        <is>
          <t>Мощность объекта</t>
        </is>
      </c>
      <c r="D15" s="169" t="n">
        <v>1</v>
      </c>
      <c r="E15" s="169" t="n">
        <v>4</v>
      </c>
      <c r="F15" s="169" t="n">
        <v>3</v>
      </c>
      <c r="G15" s="150" t="n"/>
      <c r="H15" s="150" t="n"/>
      <c r="I15" s="150" t="n"/>
      <c r="J15" s="150" t="n"/>
      <c r="K15" s="150" t="n"/>
    </row>
    <row r="16" ht="94.5" customHeight="1" s="152">
      <c r="B16" s="16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ТМ/ССПИ - 1 комплект</t>
        </is>
      </c>
      <c r="E16" s="169" t="n"/>
      <c r="F16" s="169" t="n"/>
      <c r="G16" s="150" t="n"/>
      <c r="H16" s="150" t="n"/>
      <c r="I16" s="150" t="n"/>
      <c r="J16" s="150" t="n"/>
      <c r="K16" s="150" t="n"/>
    </row>
    <row r="17" ht="78.75" customHeight="1" s="152">
      <c r="B17" s="16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D18+D19+D20+D21</f>
        <v/>
      </c>
      <c r="E17" s="200" t="n"/>
      <c r="F17" s="200" t="n"/>
      <c r="G17" s="60" t="n"/>
      <c r="H17" s="150" t="n"/>
      <c r="I17" s="150" t="n"/>
      <c r="J17" s="150" t="n"/>
      <c r="K17" s="150" t="n"/>
    </row>
    <row r="18">
      <c r="B18" s="61" t="inlineStr">
        <is>
          <t>6.1</t>
        </is>
      </c>
      <c r="C18" s="156" t="inlineStr">
        <is>
          <t>строительно-монтажные работы</t>
        </is>
      </c>
      <c r="D18" s="147">
        <f>'Прил.2 Расч стоим'!F14+'Прил.2 Расч стоим'!G14</f>
        <v/>
      </c>
      <c r="E18" s="200" t="n"/>
      <c r="F18" s="200" t="n"/>
      <c r="G18" s="150" t="n"/>
      <c r="H18" s="150" t="n"/>
      <c r="I18" s="150" t="n"/>
      <c r="J18" s="150" t="n"/>
      <c r="K18" s="150" t="n"/>
    </row>
    <row r="19">
      <c r="B19" s="61" t="inlineStr">
        <is>
          <t>6.2</t>
        </is>
      </c>
      <c r="C19" s="156" t="inlineStr">
        <is>
          <t>оборудование и инвентарь</t>
        </is>
      </c>
      <c r="D19" s="147">
        <f>'Прил.2 Расч стоим'!H14</f>
        <v/>
      </c>
      <c r="E19" s="200" t="n"/>
      <c r="F19" s="200" t="n"/>
      <c r="G19" s="150" t="n"/>
      <c r="H19" s="150" t="n"/>
      <c r="I19" s="150" t="n"/>
      <c r="J19" s="150" t="n"/>
      <c r="K19" s="150" t="n"/>
    </row>
    <row r="20">
      <c r="B20" s="61" t="inlineStr">
        <is>
          <t>6.3</t>
        </is>
      </c>
      <c r="C20" s="156" t="inlineStr">
        <is>
          <t>пусконаладочные работы</t>
        </is>
      </c>
      <c r="D20" s="169" t="n">
        <v>0</v>
      </c>
      <c r="E20" s="200" t="n"/>
      <c r="F20" s="200" t="n"/>
      <c r="G20" s="150" t="n"/>
      <c r="H20" s="150" t="n"/>
      <c r="I20" s="150" t="n"/>
      <c r="J20" s="150" t="n"/>
      <c r="K20" s="150" t="n"/>
    </row>
    <row r="21" ht="31.5" customHeight="1" s="152">
      <c r="B21" s="61" t="inlineStr">
        <is>
          <t>6.4</t>
        </is>
      </c>
      <c r="C21" s="62" t="inlineStr">
        <is>
          <t>прочие и лимитированные затраты</t>
        </is>
      </c>
      <c r="D21" s="147">
        <f>D18*0.039+(D18*0.039+D18)*0.021</f>
        <v/>
      </c>
      <c r="E21" s="200" t="n"/>
      <c r="F21" s="200" t="n"/>
      <c r="G21" s="150" t="n"/>
      <c r="H21" s="150" t="n"/>
      <c r="I21" s="150" t="n"/>
      <c r="J21" s="150" t="n"/>
      <c r="K21" s="150" t="n"/>
    </row>
    <row r="22">
      <c r="B22" s="169" t="n">
        <v>7</v>
      </c>
      <c r="C22" s="62" t="inlineStr">
        <is>
          <t>Сопоставимый уровень цен</t>
        </is>
      </c>
      <c r="D22" s="149" t="inlineStr">
        <is>
          <t>4 кв. 2021 г.</t>
        </is>
      </c>
      <c r="E22" s="169" t="n"/>
      <c r="F22" s="169" t="n"/>
      <c r="G22" s="60" t="n"/>
      <c r="H22" s="150" t="n"/>
      <c r="I22" s="150" t="n"/>
      <c r="J22" s="150" t="n"/>
      <c r="K22" s="150" t="n"/>
    </row>
    <row r="23" ht="110.25" customHeight="1" s="152">
      <c r="B23" s="169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  <c r="E23" s="200" t="n"/>
      <c r="F23" s="200" t="n"/>
      <c r="G23" s="150" t="n"/>
      <c r="H23" s="150" t="n"/>
      <c r="I23" s="150" t="n"/>
      <c r="J23" s="150" t="n"/>
      <c r="K23" s="150" t="n"/>
    </row>
    <row r="24" ht="47.25" customHeight="1" s="152">
      <c r="B24" s="16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7">
        <f>D23</f>
        <v/>
      </c>
      <c r="E24" s="200" t="n"/>
      <c r="F24" s="200" t="n"/>
      <c r="G24" s="60" t="n"/>
      <c r="H24" s="150" t="n"/>
      <c r="I24" s="150" t="n"/>
      <c r="J24" s="150" t="n"/>
      <c r="K24" s="150" t="n"/>
    </row>
    <row r="25" hidden="1" ht="47.25" customHeight="1" s="152">
      <c r="B25" s="169" t="n">
        <v>10</v>
      </c>
      <c r="C25" s="156" t="inlineStr">
        <is>
          <t>Примечание</t>
        </is>
      </c>
      <c r="D25" s="156" t="n"/>
      <c r="E25" s="73" t="n"/>
      <c r="F25" s="156" t="inlineStr">
        <is>
          <t xml:space="preserve">Выбран объектом-представителем с учетом минимальной удельной стоимости </t>
        </is>
      </c>
      <c r="G25" s="150" t="n"/>
      <c r="H25" s="150" t="n"/>
      <c r="I25" s="150" t="n"/>
      <c r="J25" s="150" t="n"/>
      <c r="K25" s="150" t="n"/>
    </row>
    <row r="26">
      <c r="B26" s="198" t="n"/>
      <c r="C26" s="64" t="n"/>
      <c r="D26" s="64" t="n"/>
      <c r="E26" s="64" t="n"/>
      <c r="F26" s="64" t="n"/>
      <c r="G26" s="150" t="n"/>
      <c r="H26" s="150" t="n"/>
      <c r="I26" s="150" t="n"/>
      <c r="J26" s="150" t="n"/>
      <c r="K26" s="150" t="n"/>
    </row>
    <row r="27">
      <c r="B27" s="56" t="n"/>
      <c r="G27" s="150" t="n"/>
      <c r="H27" s="150" t="n"/>
      <c r="I27" s="150" t="n"/>
      <c r="J27" s="150" t="n"/>
      <c r="K27" s="150" t="n"/>
    </row>
    <row r="28">
      <c r="B28" s="150" t="inlineStr">
        <is>
          <t>Составил ______________________        Е.А. Князева</t>
        </is>
      </c>
      <c r="G28" s="150" t="n"/>
      <c r="H28" s="150" t="n"/>
      <c r="I28" s="150" t="n"/>
      <c r="J28" s="150" t="n"/>
      <c r="K28" s="150" t="n"/>
    </row>
    <row r="29" ht="22.5" customHeight="1" s="152">
      <c r="B29" s="74" t="inlineStr">
        <is>
          <t xml:space="preserve">                         (подпись, инициалы, фамилия)</t>
        </is>
      </c>
      <c r="G29" s="150" t="n"/>
      <c r="H29" s="150" t="n"/>
      <c r="I29" s="150" t="n"/>
      <c r="J29" s="150" t="n"/>
      <c r="K29" s="150" t="n"/>
    </row>
    <row r="30">
      <c r="G30" s="150" t="n"/>
      <c r="H30" s="150" t="n"/>
      <c r="I30" s="150" t="n"/>
      <c r="J30" s="150" t="n"/>
      <c r="K30" s="150" t="n"/>
    </row>
    <row r="31">
      <c r="B31" s="150" t="inlineStr">
        <is>
          <t>Проверил ______________________        А.В. Костянецкая</t>
        </is>
      </c>
      <c r="G31" s="150" t="n"/>
      <c r="H31" s="150" t="n"/>
      <c r="I31" s="150" t="n"/>
      <c r="J31" s="150" t="n"/>
      <c r="K31" s="150" t="n"/>
    </row>
    <row r="32" ht="22.5" customHeight="1" s="152">
      <c r="B32" s="74" t="inlineStr">
        <is>
          <t xml:space="preserve">                        (подпись, инициалы, фамилия)</t>
        </is>
      </c>
      <c r="G32" s="150" t="n"/>
      <c r="H32" s="150" t="n"/>
      <c r="I32" s="150" t="n"/>
      <c r="J32" s="150" t="n"/>
      <c r="K32" s="150" t="n"/>
    </row>
    <row r="33">
      <c r="G33" s="150" t="n"/>
      <c r="H33" s="150" t="n"/>
      <c r="I33" s="150" t="n"/>
      <c r="J33" s="150" t="n"/>
      <c r="K33" s="150" t="n"/>
    </row>
    <row r="34">
      <c r="G34" s="150" t="n"/>
      <c r="H34" s="150" t="n"/>
      <c r="I34" s="150" t="n"/>
      <c r="J34" s="150" t="n"/>
      <c r="K34" s="150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52" min="1" max="1"/>
    <col width="9.140625" customWidth="1" style="152" min="2" max="2"/>
    <col width="35.28515625" customWidth="1" style="152" min="3" max="3"/>
    <col width="13.85546875" customWidth="1" style="152" min="4" max="4"/>
    <col width="24.85546875" customWidth="1" style="152" min="5" max="5"/>
    <col width="12.7109375" customWidth="1" style="152" min="6" max="6"/>
    <col width="14.85546875" customWidth="1" style="152" min="7" max="7"/>
    <col width="16.7109375" customWidth="1" style="152" min="8" max="8"/>
    <col width="13" customWidth="1" style="152" min="9" max="10"/>
    <col width="9.140625" customWidth="1" style="152" min="11" max="11"/>
  </cols>
  <sheetData>
    <row r="1" ht="15.75" customHeight="1" s="152">
      <c r="A1" s="150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0" t="n"/>
    </row>
    <row r="2" ht="15.75" customHeight="1" s="152">
      <c r="A2" s="150" t="n"/>
      <c r="B2" s="150" t="n"/>
      <c r="C2" s="150" t="n"/>
      <c r="D2" s="150" t="n"/>
      <c r="E2" s="150" t="n"/>
      <c r="F2" s="150" t="n"/>
      <c r="G2" s="150" t="n"/>
      <c r="H2" s="150" t="n"/>
      <c r="I2" s="150" t="n"/>
      <c r="J2" s="150" t="n"/>
    </row>
    <row r="3" ht="15.75" customHeight="1" s="152">
      <c r="A3" s="150" t="n"/>
      <c r="B3" s="165" t="inlineStr">
        <is>
          <t>Приложение № 2</t>
        </is>
      </c>
    </row>
    <row r="4" ht="15.75" customHeight="1" s="152">
      <c r="A4" s="150" t="n"/>
      <c r="B4" s="166" t="inlineStr">
        <is>
          <t>Расчет стоимости основных видов работ для выбора объекта-представителя</t>
        </is>
      </c>
    </row>
    <row r="5" ht="15.75" customHeight="1" s="152">
      <c r="A5" s="150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52">
      <c r="A6" s="150" t="n"/>
      <c r="B6" s="168">
        <f>'Прил.1 Сравнит табл'!B7</f>
        <v/>
      </c>
    </row>
    <row r="7" ht="15.75" customHeight="1" s="152">
      <c r="A7" s="150" t="n"/>
      <c r="B7" s="164">
        <f>'Прил.1 Сравнит табл'!B9</f>
        <v/>
      </c>
    </row>
    <row r="8" ht="15.75" customHeight="1" s="152">
      <c r="A8" s="150" t="n"/>
      <c r="B8" s="164" t="n"/>
      <c r="C8" s="150" t="n"/>
      <c r="D8" s="150" t="n"/>
      <c r="E8" s="150" t="n"/>
      <c r="F8" s="150" t="n"/>
      <c r="G8" s="150" t="n"/>
      <c r="H8" s="150" t="n"/>
      <c r="I8" s="150" t="n"/>
      <c r="J8" s="150" t="n"/>
    </row>
    <row r="9" ht="15.75" customHeight="1" s="152">
      <c r="A9" s="150" t="n"/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201" t="n"/>
      <c r="F9" s="201" t="n"/>
      <c r="G9" s="201" t="n"/>
      <c r="H9" s="201" t="n"/>
      <c r="I9" s="201" t="n"/>
      <c r="J9" s="202" t="n"/>
      <c r="K9" s="150" t="n"/>
      <c r="L9" s="150" t="n"/>
    </row>
    <row r="10" ht="15.75" customHeight="1" s="152">
      <c r="A10" s="150" t="n"/>
      <c r="B10" s="203" t="n"/>
      <c r="C10" s="203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4 кв. 2021 г., тыс. руб.</t>
        </is>
      </c>
      <c r="G10" s="201" t="n"/>
      <c r="H10" s="201" t="n"/>
      <c r="I10" s="201" t="n"/>
      <c r="J10" s="202" t="n"/>
      <c r="K10" s="150" t="n"/>
      <c r="L10" s="150" t="n"/>
    </row>
    <row r="11" ht="31.5" customHeight="1" s="152">
      <c r="A11" s="150" t="n"/>
      <c r="B11" s="204" t="n"/>
      <c r="C11" s="204" t="n"/>
      <c r="D11" s="204" t="n"/>
      <c r="E11" s="204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  <c r="K11" s="150" t="n"/>
      <c r="L11" s="150" t="n"/>
    </row>
    <row r="12" ht="31.5" customHeight="1" s="152">
      <c r="A12" s="150" t="n"/>
      <c r="B12" s="153" t="n">
        <v>1</v>
      </c>
      <c r="C12" s="154" t="inlineStr">
        <is>
          <t>Система ТМ/ССПИ - 1 комплект</t>
        </is>
      </c>
      <c r="D12" s="155" t="inlineStr">
        <is>
          <t>1.02-04-02 изм.3</t>
        </is>
      </c>
      <c r="E12" s="156" t="inlineStr">
        <is>
          <t>АСУ ТП.</t>
        </is>
      </c>
      <c r="F12" s="157" t="n"/>
      <c r="G12" s="157" t="n">
        <v>10350.2114706</v>
      </c>
      <c r="H12" s="157" t="n">
        <v>26598.318574</v>
      </c>
      <c r="I12" s="157" t="n"/>
      <c r="J12" s="158">
        <f>SUM(F12:I12)</f>
        <v/>
      </c>
      <c r="K12" s="150" t="n"/>
      <c r="L12" s="150" t="n"/>
    </row>
    <row r="13" ht="15" customHeight="1" s="152">
      <c r="A13" s="150" t="n"/>
      <c r="B13" s="167" t="inlineStr">
        <is>
          <t>Всего по объекту:</t>
        </is>
      </c>
      <c r="C13" s="201" t="n"/>
      <c r="D13" s="201" t="n"/>
      <c r="E13" s="202" t="n"/>
      <c r="F13" s="160">
        <f>SUM(F12:F12)</f>
        <v/>
      </c>
      <c r="G13" s="160">
        <f>SUM(G12:G12)</f>
        <v/>
      </c>
      <c r="H13" s="160">
        <f>SUM(H12:H12)</f>
        <v/>
      </c>
      <c r="I13" s="160" t="n"/>
      <c r="J13" s="160">
        <f>SUM(F13:I13)</f>
        <v/>
      </c>
      <c r="K13" s="161" t="n"/>
      <c r="L13" s="150" t="n"/>
    </row>
    <row r="14" ht="15.75" customHeight="1" s="152">
      <c r="A14" s="150" t="n"/>
      <c r="B14" s="167" t="inlineStr">
        <is>
          <t>Всего по объекту в сопоставимом уровне цен 4 кв. 2021 г. :</t>
        </is>
      </c>
      <c r="C14" s="201" t="n"/>
      <c r="D14" s="201" t="n"/>
      <c r="E14" s="202" t="n"/>
      <c r="F14" s="160">
        <f>F13</f>
        <v/>
      </c>
      <c r="G14" s="160">
        <f>G13</f>
        <v/>
      </c>
      <c r="H14" s="160">
        <f>H13</f>
        <v/>
      </c>
      <c r="I14" s="160">
        <f>'Прил.1 Сравнит табл'!D21</f>
        <v/>
      </c>
      <c r="J14" s="160">
        <f>SUM(F14:I14)</f>
        <v/>
      </c>
      <c r="K14" s="150" t="n"/>
      <c r="L14" s="150" t="n"/>
    </row>
    <row r="15" ht="15.75" customHeight="1" s="152">
      <c r="A15" s="150" t="n"/>
      <c r="B15" s="164" t="n"/>
      <c r="C15" s="150" t="n"/>
      <c r="D15" s="150" t="n"/>
      <c r="E15" s="150" t="n"/>
      <c r="F15" s="150" t="n"/>
      <c r="G15" s="150" t="n"/>
      <c r="H15" s="150" t="n"/>
      <c r="I15" s="150" t="n"/>
      <c r="J15" s="150" t="n"/>
    </row>
    <row r="16" ht="15.75" customHeight="1" s="152">
      <c r="A16" s="150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</row>
    <row r="17" ht="15.75" customHeight="1" s="152">
      <c r="A17" s="150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</row>
    <row r="18" ht="15.75" customHeight="1" s="152">
      <c r="A18" s="150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</row>
    <row r="19" ht="15.75" customHeight="1" s="152">
      <c r="A19" s="150" t="n"/>
      <c r="B19" s="150" t="inlineStr">
        <is>
          <t>Составил ______________________        Е.А. Князева</t>
        </is>
      </c>
      <c r="C19" s="150" t="n"/>
      <c r="D19" s="150" t="n"/>
      <c r="E19" s="150" t="n"/>
      <c r="F19" s="150" t="n"/>
      <c r="G19" s="150" t="n"/>
      <c r="H19" s="150" t="n"/>
      <c r="I19" s="150" t="n"/>
      <c r="J19" s="150" t="n"/>
    </row>
    <row r="20" ht="22.5" customHeight="1" s="152">
      <c r="A20" s="150" t="n"/>
      <c r="B20" s="74" t="inlineStr">
        <is>
          <t xml:space="preserve">                         (подпись, инициалы, фамилия)</t>
        </is>
      </c>
      <c r="C20" s="150" t="n"/>
      <c r="D20" s="150" t="n"/>
      <c r="E20" s="150" t="n"/>
      <c r="F20" s="150" t="n"/>
      <c r="G20" s="150" t="n"/>
      <c r="H20" s="150" t="n"/>
      <c r="I20" s="150" t="n"/>
      <c r="J20" s="150" t="n"/>
    </row>
    <row r="21" ht="15.75" customHeight="1" s="152">
      <c r="A21" s="150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</row>
    <row r="22" ht="15.75" customHeight="1" s="152">
      <c r="A22" s="150" t="n"/>
      <c r="B22" s="150" t="inlineStr">
        <is>
          <t>Проверил ______________________        А.В. Костянецкая</t>
        </is>
      </c>
      <c r="C22" s="150" t="n"/>
      <c r="D22" s="150" t="n"/>
      <c r="E22" s="150" t="n"/>
      <c r="F22" s="150" t="n"/>
      <c r="G22" s="150" t="n"/>
      <c r="H22" s="150" t="n"/>
      <c r="I22" s="150" t="n"/>
      <c r="J22" s="150" t="n"/>
    </row>
    <row r="23" ht="22.5" customHeight="1" s="152">
      <c r="A23" s="150" t="n"/>
      <c r="B23" s="74" t="inlineStr">
        <is>
          <t xml:space="preserve">                        (подпись, инициалы, фамилия)</t>
        </is>
      </c>
      <c r="C23" s="150" t="n"/>
      <c r="D23" s="150" t="n"/>
      <c r="E23" s="150" t="n"/>
      <c r="F23" s="150" t="n"/>
      <c r="G23" s="150" t="n"/>
      <c r="H23" s="150" t="n"/>
      <c r="I23" s="150" t="n"/>
      <c r="J23" s="15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0"/>
  <sheetViews>
    <sheetView view="pageBreakPreview" topLeftCell="A67" zoomScale="55" zoomScaleSheetLayoutView="55" workbookViewId="0">
      <selection activeCell="C86" sqref="C86"/>
    </sheetView>
  </sheetViews>
  <sheetFormatPr baseColWidth="8" defaultRowHeight="15.75"/>
  <cols>
    <col width="9.140625" customWidth="1" style="150" min="1" max="1"/>
    <col width="12.5703125" customWidth="1" style="150" min="2" max="2"/>
    <col width="22.42578125" customWidth="1" style="150" min="3" max="3"/>
    <col width="49.7109375" customWidth="1" style="150" min="4" max="4"/>
    <col width="10.140625" customWidth="1" style="150" min="5" max="5"/>
    <col width="20.7109375" customWidth="1" style="150" min="6" max="6"/>
    <col width="16.140625" customWidth="1" style="150" min="7" max="7"/>
    <col width="16.7109375" customWidth="1" style="150" min="8" max="8"/>
    <col width="9.140625" customWidth="1" style="150" min="9" max="9"/>
    <col width="19.42578125" customWidth="1" style="150" min="10" max="10"/>
    <col width="13" customWidth="1" style="152" min="11" max="11"/>
    <col width="9.140625" customWidth="1" style="152" min="12" max="13"/>
  </cols>
  <sheetData>
    <row r="1">
      <c r="K1" s="150" t="n"/>
    </row>
    <row r="2">
      <c r="A2" s="165" t="inlineStr">
        <is>
          <t xml:space="preserve">Приложение № 3 </t>
        </is>
      </c>
      <c r="K2" s="150" t="n"/>
    </row>
    <row r="3" s="152">
      <c r="A3" s="165" t="n"/>
      <c r="B3" s="165" t="n"/>
      <c r="C3" s="165" t="n"/>
      <c r="D3" s="165" t="n"/>
      <c r="E3" s="165" t="n"/>
      <c r="F3" s="165" t="n"/>
      <c r="G3" s="165" t="n"/>
      <c r="H3" s="165" t="n"/>
      <c r="I3" s="150" t="n"/>
      <c r="J3" s="150" t="n"/>
      <c r="K3" s="150" t="n"/>
    </row>
    <row r="4">
      <c r="A4" s="166" t="inlineStr">
        <is>
          <t>Объектная ресурсная ведомость</t>
        </is>
      </c>
      <c r="K4" s="150" t="n"/>
    </row>
    <row r="5" ht="18.75" customHeight="1" s="152">
      <c r="A5" s="164" t="n"/>
      <c r="K5" s="150" t="n"/>
    </row>
    <row r="6" ht="36.75" customHeight="1" s="152">
      <c r="A6" s="168">
        <f>'Прил.1 Сравнит табл'!B7</f>
        <v/>
      </c>
      <c r="K6" s="150" t="n"/>
    </row>
    <row r="7" ht="36.75" customHeight="1" s="152">
      <c r="A7" s="168" t="n"/>
      <c r="B7" s="168" t="n"/>
      <c r="C7" s="168" t="n"/>
      <c r="D7" s="168" t="n"/>
      <c r="E7" s="168" t="n"/>
      <c r="F7" s="168" t="n"/>
      <c r="G7" s="168" t="n"/>
      <c r="H7" s="168" t="n"/>
      <c r="I7" s="150" t="n"/>
      <c r="J7" s="150" t="n"/>
      <c r="K7" s="150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50" t="n"/>
    </row>
    <row r="9" ht="33" customHeight="1" s="152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202" t="n"/>
      <c r="K9" s="150" t="n"/>
    </row>
    <row r="10" ht="33" customHeight="1" s="152">
      <c r="A10" s="204" t="n"/>
      <c r="B10" s="204" t="n"/>
      <c r="C10" s="204" t="n"/>
      <c r="D10" s="204" t="n"/>
      <c r="E10" s="204" t="n"/>
      <c r="F10" s="204" t="n"/>
      <c r="G10" s="169" t="inlineStr">
        <is>
          <t>на ед.изм.</t>
        </is>
      </c>
      <c r="H10" s="169" t="inlineStr">
        <is>
          <t>общая</t>
        </is>
      </c>
      <c r="K10" s="150" t="n"/>
    </row>
    <row r="11">
      <c r="A11" s="154" t="n">
        <v>1</v>
      </c>
      <c r="B11" s="154" t="n"/>
      <c r="C11" s="154" t="n">
        <v>2</v>
      </c>
      <c r="D11" s="154" t="inlineStr">
        <is>
          <t>З</t>
        </is>
      </c>
      <c r="E11" s="154" t="n">
        <v>4</v>
      </c>
      <c r="F11" s="154" t="n">
        <v>5</v>
      </c>
      <c r="G11" s="154" t="n">
        <v>6</v>
      </c>
      <c r="H11" s="154" t="n">
        <v>7</v>
      </c>
      <c r="I11" s="205" t="n"/>
      <c r="K11" s="150" t="n"/>
    </row>
    <row r="12">
      <c r="A12" s="170" t="inlineStr">
        <is>
          <t>Затраты труда рабочих</t>
        </is>
      </c>
      <c r="B12" s="201" t="n"/>
      <c r="C12" s="201" t="n"/>
      <c r="D12" s="201" t="n"/>
      <c r="E12" s="202" t="n"/>
      <c r="F12" s="67" t="n">
        <v>1920.882</v>
      </c>
      <c r="G12" s="67" t="n"/>
      <c r="H12" s="67">
        <f>SUM(H13:H20)</f>
        <v/>
      </c>
      <c r="I12" s="68" t="n"/>
      <c r="J12" s="68" t="n"/>
      <c r="K12" s="68" t="n"/>
    </row>
    <row r="13">
      <c r="A13" s="171" t="n">
        <v>1</v>
      </c>
      <c r="B13" s="83" t="n"/>
      <c r="C13" s="111" t="inlineStr">
        <is>
          <t>1-3-8</t>
        </is>
      </c>
      <c r="D13" s="172" t="inlineStr">
        <is>
          <t>Затраты труда рабочих (ср 3,8)</t>
        </is>
      </c>
      <c r="E13" s="171" t="inlineStr">
        <is>
          <t>чел.-ч</t>
        </is>
      </c>
      <c r="F13" s="171" t="n">
        <v>1671.47</v>
      </c>
      <c r="G13" s="71" t="n">
        <v>9.4</v>
      </c>
      <c r="H13" s="71">
        <f>ROUND(F13*G13,2)</f>
        <v/>
      </c>
      <c r="K13" s="150" t="n"/>
    </row>
    <row r="14" ht="15" customHeight="1" s="152">
      <c r="A14" s="171" t="n">
        <v>2</v>
      </c>
      <c r="B14" s="83" t="n"/>
      <c r="C14" s="111" t="inlineStr">
        <is>
          <t>1-3-6</t>
        </is>
      </c>
      <c r="D14" s="172" t="inlineStr">
        <is>
          <t>Затраты труда рабочих (ср 3,6)</t>
        </is>
      </c>
      <c r="E14" s="171" t="inlineStr">
        <is>
          <t>чел.-ч</t>
        </is>
      </c>
      <c r="F14" s="171" t="n">
        <v>106.4</v>
      </c>
      <c r="G14" s="71" t="n">
        <v>9.18</v>
      </c>
      <c r="H14" s="71">
        <f>ROUND(F14*G14,2)</f>
        <v/>
      </c>
      <c r="K14" s="150" t="n"/>
    </row>
    <row r="15" ht="15" customHeight="1" s="152">
      <c r="A15" s="171" t="n">
        <v>3</v>
      </c>
      <c r="B15" s="83" t="n"/>
      <c r="C15" s="111" t="inlineStr">
        <is>
          <t>1-4-1</t>
        </is>
      </c>
      <c r="D15" s="172" t="inlineStr">
        <is>
          <t>Затраты труда рабочих (ср 4,1)</t>
        </is>
      </c>
      <c r="E15" s="171" t="inlineStr">
        <is>
          <t>чел.-ч</t>
        </is>
      </c>
      <c r="F15" s="171" t="n">
        <v>61.182</v>
      </c>
      <c r="G15" s="71" t="n">
        <v>9.76</v>
      </c>
      <c r="H15" s="71">
        <f>ROUND(F15*G15,2)</f>
        <v/>
      </c>
      <c r="K15" s="150" t="n"/>
    </row>
    <row r="16" ht="15" customHeight="1" s="152">
      <c r="A16" s="171" t="n">
        <v>4</v>
      </c>
      <c r="B16" s="83" t="n"/>
      <c r="C16" s="111" t="inlineStr">
        <is>
          <t>1-3-3</t>
        </is>
      </c>
      <c r="D16" s="172" t="inlineStr">
        <is>
          <t>Затраты труда рабочих (ср 3,3)</t>
        </is>
      </c>
      <c r="E16" s="171" t="inlineStr">
        <is>
          <t>чел.-ч</t>
        </is>
      </c>
      <c r="F16" s="171" t="n">
        <v>50.47</v>
      </c>
      <c r="G16" s="71" t="n">
        <v>8.859999999999999</v>
      </c>
      <c r="H16" s="71">
        <f>ROUND(F16*G16,2)</f>
        <v/>
      </c>
      <c r="K16" s="150" t="n"/>
    </row>
    <row r="17" ht="15" customHeight="1" s="152">
      <c r="A17" s="171" t="n">
        <v>5</v>
      </c>
      <c r="B17" s="83" t="n"/>
      <c r="C17" s="111" t="inlineStr">
        <is>
          <t>1-5-0</t>
        </is>
      </c>
      <c r="D17" s="172" t="inlineStr">
        <is>
          <t>Затраты труда рабочих (ср 5)</t>
        </is>
      </c>
      <c r="E17" s="171" t="inlineStr">
        <is>
          <t>чел.-ч</t>
        </is>
      </c>
      <c r="F17" s="171" t="n">
        <v>9.300000000000001</v>
      </c>
      <c r="G17" s="71" t="n">
        <v>11.09</v>
      </c>
      <c r="H17" s="71">
        <f>ROUND(F17*G17,2)</f>
        <v/>
      </c>
      <c r="K17" s="150" t="n"/>
    </row>
    <row r="18" ht="15" customHeight="1" s="152">
      <c r="A18" s="171" t="n">
        <v>6</v>
      </c>
      <c r="B18" s="83" t="n"/>
      <c r="C18" s="111" t="inlineStr">
        <is>
          <t>1-3-0</t>
        </is>
      </c>
      <c r="D18" s="172" t="inlineStr">
        <is>
          <t>Затраты труда рабочих (ср 3)</t>
        </is>
      </c>
      <c r="E18" s="171" t="inlineStr">
        <is>
          <t>чел.-ч</t>
        </is>
      </c>
      <c r="F18" s="171" t="n">
        <v>2.06</v>
      </c>
      <c r="G18" s="71" t="n">
        <v>8.529999999999999</v>
      </c>
      <c r="H18" s="71">
        <f>ROUND(F18*G18,2)</f>
        <v/>
      </c>
      <c r="K18" s="150" t="n"/>
    </row>
    <row r="19">
      <c r="A19" s="171" t="n">
        <v>7</v>
      </c>
      <c r="B19" s="83" t="n"/>
      <c r="C19" s="111" t="inlineStr">
        <is>
          <t>10-3-1</t>
        </is>
      </c>
      <c r="D19" s="172" t="inlineStr">
        <is>
          <t>Инженер I категории</t>
        </is>
      </c>
      <c r="E19" s="171" t="inlineStr">
        <is>
          <t>чел.-ч</t>
        </is>
      </c>
      <c r="F19" s="171" t="n">
        <v>10</v>
      </c>
      <c r="G19" s="71" t="n">
        <v>15.49</v>
      </c>
      <c r="H19" s="71">
        <f>ROUND(F19*G19,2)</f>
        <v/>
      </c>
      <c r="K19" s="150" t="n"/>
    </row>
    <row r="20">
      <c r="A20" s="171" t="n">
        <v>8</v>
      </c>
      <c r="B20" s="83" t="n"/>
      <c r="C20" s="111" t="inlineStr">
        <is>
          <t>10-3-2</t>
        </is>
      </c>
      <c r="D20" s="172" t="inlineStr">
        <is>
          <t>Инженер II категории</t>
        </is>
      </c>
      <c r="E20" s="171" t="inlineStr">
        <is>
          <t>чел.-ч</t>
        </is>
      </c>
      <c r="F20" s="171" t="n">
        <v>10</v>
      </c>
      <c r="G20" s="71" t="n">
        <v>14.09</v>
      </c>
      <c r="H20" s="71">
        <f>ROUND(F20*G20,2)</f>
        <v/>
      </c>
      <c r="K20" s="150" t="n"/>
    </row>
    <row r="21">
      <c r="A21" s="170" t="inlineStr">
        <is>
          <t>Затраты труда машинистов</t>
        </is>
      </c>
      <c r="B21" s="201" t="n"/>
      <c r="C21" s="201" t="n"/>
      <c r="D21" s="201" t="n"/>
      <c r="E21" s="202" t="n"/>
      <c r="F21" s="170" t="n">
        <v>97.98</v>
      </c>
      <c r="G21" s="67" t="n"/>
      <c r="H21" s="67">
        <f>H22</f>
        <v/>
      </c>
      <c r="K21" s="150" t="n"/>
    </row>
    <row r="22">
      <c r="A22" s="171" t="n">
        <v>9</v>
      </c>
      <c r="B22" s="153" t="n"/>
      <c r="C22" s="78" t="n">
        <v>2</v>
      </c>
      <c r="D22" s="172" t="inlineStr">
        <is>
          <t>Затраты труда машинистов</t>
        </is>
      </c>
      <c r="E22" s="171" t="inlineStr">
        <is>
          <t>чел.-ч</t>
        </is>
      </c>
      <c r="F22" s="171" t="n">
        <v>97.98</v>
      </c>
      <c r="G22" s="71" t="n"/>
      <c r="H22" s="71" t="n">
        <v>1227.56</v>
      </c>
      <c r="K22" s="150" t="n"/>
    </row>
    <row r="23">
      <c r="A23" s="170" t="inlineStr">
        <is>
          <t>Машины и механизмы</t>
        </is>
      </c>
      <c r="B23" s="201" t="n"/>
      <c r="C23" s="201" t="n"/>
      <c r="D23" s="201" t="n"/>
      <c r="E23" s="202" t="n"/>
      <c r="F23" s="170" t="n"/>
      <c r="G23" s="67" t="n"/>
      <c r="H23" s="67">
        <f>SUM(H24:H30)</f>
        <v/>
      </c>
      <c r="I23" s="68" t="n"/>
      <c r="J23" s="80" t="n"/>
      <c r="K23" s="68" t="n"/>
    </row>
    <row r="24" ht="31.5" customHeight="1" s="152">
      <c r="A24" s="171" t="n">
        <v>10</v>
      </c>
      <c r="B24" s="153" t="n"/>
      <c r="C24" s="172" t="inlineStr">
        <is>
          <t>91.05.05-015</t>
        </is>
      </c>
      <c r="D24" s="172" t="inlineStr">
        <is>
          <t>Краны на автомобильном ходу, грузоподъемность 16 т</t>
        </is>
      </c>
      <c r="E24" s="171" t="inlineStr">
        <is>
          <t>маш.час</t>
        </is>
      </c>
      <c r="F24" s="171" t="n">
        <v>48.7</v>
      </c>
      <c r="G24" s="71" t="n">
        <v>115.4</v>
      </c>
      <c r="H24" s="71">
        <f>ROUND(F24*G24,2)</f>
        <v/>
      </c>
      <c r="J24" s="113" t="n"/>
      <c r="K24" s="150" t="n"/>
    </row>
    <row r="25">
      <c r="A25" s="171" t="n">
        <v>11</v>
      </c>
      <c r="B25" s="153" t="n"/>
      <c r="C25" s="172" t="inlineStr">
        <is>
          <t>91.14.02-001</t>
        </is>
      </c>
      <c r="D25" s="172" t="inlineStr">
        <is>
          <t>Автомобили бортовые, грузоподъемность до 5 т</t>
        </is>
      </c>
      <c r="E25" s="171" t="inlineStr">
        <is>
          <t>маш.час</t>
        </is>
      </c>
      <c r="F25" s="171" t="n">
        <v>48.88</v>
      </c>
      <c r="G25" s="71" t="n">
        <v>65.70999999999999</v>
      </c>
      <c r="H25" s="71">
        <f>ROUND(F25*G25,2)</f>
        <v/>
      </c>
      <c r="I25" s="68" t="n"/>
      <c r="J25" s="68" t="n"/>
      <c r="K25" s="68" t="n"/>
    </row>
    <row r="26" ht="31.5" customHeight="1" s="152">
      <c r="A26" s="171" t="n">
        <v>12</v>
      </c>
      <c r="B26" s="153" t="n"/>
      <c r="C26" s="172" t="inlineStr">
        <is>
          <t>91.06.03-061</t>
        </is>
      </c>
      <c r="D26" s="172" t="inlineStr">
        <is>
          <t>Лебедки электрические тяговым усилием до 12,26 кН (1,25 т)</t>
        </is>
      </c>
      <c r="E26" s="171" t="inlineStr">
        <is>
          <t>маш.час</t>
        </is>
      </c>
      <c r="F26" s="171" t="n">
        <v>362</v>
      </c>
      <c r="G26" s="71" t="n">
        <v>3.28</v>
      </c>
      <c r="H26" s="71">
        <f>ROUND(F26*G26,2)</f>
        <v/>
      </c>
      <c r="I26" s="68" t="n"/>
      <c r="J26" s="68" t="n"/>
      <c r="K26" s="68" t="n"/>
    </row>
    <row r="27" ht="31.5" customHeight="1" s="152">
      <c r="A27" s="171" t="n">
        <v>13</v>
      </c>
      <c r="B27" s="153" t="n"/>
      <c r="C27" s="172" t="inlineStr">
        <is>
          <t>91.06.01-003</t>
        </is>
      </c>
      <c r="D27" s="172" t="inlineStr">
        <is>
          <t>Домкраты гидравлические, грузоподъемность 63-100 т</t>
        </is>
      </c>
      <c r="E27" s="171" t="inlineStr">
        <is>
          <t>маш.час</t>
        </is>
      </c>
      <c r="F27" s="171" t="n">
        <v>362</v>
      </c>
      <c r="G27" s="71" t="n">
        <v>0.9</v>
      </c>
      <c r="H27" s="71">
        <f>ROUND(F27*G27,2)</f>
        <v/>
      </c>
      <c r="I27" s="68" t="n"/>
      <c r="J27" s="68" t="n"/>
      <c r="K27" s="68" t="n"/>
    </row>
    <row r="28">
      <c r="A28" s="171" t="n">
        <v>14</v>
      </c>
      <c r="B28" s="153" t="n"/>
      <c r="C28" s="172" t="inlineStr">
        <is>
          <t>91.06.05-011</t>
        </is>
      </c>
      <c r="D28" s="172" t="inlineStr">
        <is>
          <t>Погрузчики, грузоподъемность 5 т</t>
        </is>
      </c>
      <c r="E28" s="171" t="inlineStr">
        <is>
          <t>маш.час</t>
        </is>
      </c>
      <c r="F28" s="171" t="n">
        <v>0.4</v>
      </c>
      <c r="G28" s="71" t="n">
        <v>89.98999999999999</v>
      </c>
      <c r="H28" s="71">
        <f>ROUND(F28*G28,2)</f>
        <v/>
      </c>
      <c r="I28" s="68" t="n"/>
      <c r="J28" s="68" t="n"/>
      <c r="K28" s="68" t="n"/>
    </row>
    <row r="29">
      <c r="A29" s="171" t="n">
        <v>15</v>
      </c>
      <c r="B29" s="153" t="n"/>
      <c r="C29" s="172" t="inlineStr">
        <is>
          <t>91.21.19-031</t>
        </is>
      </c>
      <c r="D29" s="172" t="inlineStr">
        <is>
          <t>Станки сверлильные</t>
        </is>
      </c>
      <c r="E29" s="171" t="inlineStr">
        <is>
          <t>маш.час</t>
        </is>
      </c>
      <c r="F29" s="171" t="n">
        <v>6.44</v>
      </c>
      <c r="G29" s="71" t="n">
        <v>2.36</v>
      </c>
      <c r="H29" s="71">
        <f>ROUND(F29*G29,2)</f>
        <v/>
      </c>
      <c r="K29" s="150" t="n"/>
    </row>
    <row r="30" ht="31.5" customHeight="1" s="152">
      <c r="A30" s="171" t="n">
        <v>16</v>
      </c>
      <c r="B30" s="153" t="n"/>
      <c r="C30" s="172" t="inlineStr">
        <is>
          <t>91.17.04-233</t>
        </is>
      </c>
      <c r="D30" s="172" t="inlineStr">
        <is>
          <t>Установки для сварки ручной дуговой (постоянного тока)</t>
        </is>
      </c>
      <c r="E30" s="171" t="inlineStr">
        <is>
          <t>маш.час</t>
        </is>
      </c>
      <c r="F30" s="171" t="n">
        <v>1.4</v>
      </c>
      <c r="G30" s="71" t="n">
        <v>8.1</v>
      </c>
      <c r="H30" s="71">
        <f>ROUND(F30*G30,2)</f>
        <v/>
      </c>
      <c r="K30" s="150" t="n"/>
    </row>
    <row r="31">
      <c r="A31" s="170" t="inlineStr">
        <is>
          <t>Оборудование</t>
        </is>
      </c>
      <c r="B31" s="201" t="n"/>
      <c r="C31" s="201" t="n"/>
      <c r="D31" s="201" t="n"/>
      <c r="E31" s="202" t="n"/>
      <c r="F31" s="170" t="n"/>
      <c r="G31" s="67" t="n"/>
      <c r="H31" s="67">
        <f>SUM(H32:H37)</f>
        <v/>
      </c>
      <c r="J31" s="80" t="n"/>
    </row>
    <row r="32" ht="31.5" customHeight="1" s="152">
      <c r="A32" s="171" t="n">
        <v>17</v>
      </c>
      <c r="B32" s="153" t="n"/>
      <c r="C32" s="172" t="inlineStr">
        <is>
          <t>Прайс из СД ОП</t>
        </is>
      </c>
      <c r="D32" s="172" t="inlineStr">
        <is>
          <t>Шкаф измерительных преобразователей с кол-вом ИП: 16 шт</t>
        </is>
      </c>
      <c r="E32" s="171" t="inlineStr">
        <is>
          <t>шт</t>
        </is>
      </c>
      <c r="F32" s="171" t="n">
        <v>2</v>
      </c>
      <c r="G32" s="71" t="n">
        <v>718849.84</v>
      </c>
      <c r="H32" s="71">
        <f>ROUND(F32*G32,2)</f>
        <v/>
      </c>
      <c r="J32" s="113" t="n"/>
    </row>
    <row r="33" ht="31.5" customHeight="1" s="152">
      <c r="A33" s="171" t="n">
        <v>18</v>
      </c>
      <c r="B33" s="153" t="n"/>
      <c r="C33" s="172" t="inlineStr">
        <is>
          <t>Прайс из СД ОП</t>
        </is>
      </c>
      <c r="D33" s="172" t="inlineStr">
        <is>
          <t>Шкаф гарантированного питания АСУТП и ТМ на 6 кВт</t>
        </is>
      </c>
      <c r="E33" s="171" t="inlineStr">
        <is>
          <t>шт</t>
        </is>
      </c>
      <c r="F33" s="171" t="n">
        <v>1</v>
      </c>
      <c r="G33" s="71" t="n">
        <v>1078274.76</v>
      </c>
      <c r="H33" s="71">
        <f>ROUND(F33*G33,2)</f>
        <v/>
      </c>
    </row>
    <row r="34" ht="47.25" customHeight="1" s="152">
      <c r="A34" s="171" t="n">
        <v>19</v>
      </c>
      <c r="B34" s="153" t="n"/>
      <c r="C34" s="172" t="inlineStr">
        <is>
          <t>Прайс из СД ОП</t>
        </is>
      </c>
      <c r="D34" s="172" t="inlineStr">
        <is>
          <t>Шкаф на 222 дискретных входов и 64 дискретных выхода для подключения устройств РЗА</t>
        </is>
      </c>
      <c r="E34" s="171" t="inlineStr">
        <is>
          <t>шт</t>
        </is>
      </c>
      <c r="F34" s="171" t="n">
        <v>3</v>
      </c>
      <c r="G34" s="71" t="n">
        <v>301916.93</v>
      </c>
      <c r="H34" s="71">
        <f>ROUND(F34*G34,2)</f>
        <v/>
      </c>
    </row>
    <row r="35" ht="31.5" customHeight="1" s="152">
      <c r="A35" s="171" t="n">
        <v>20</v>
      </c>
      <c r="B35" s="153" t="n"/>
      <c r="C35" s="172" t="inlineStr">
        <is>
          <t>Прайс из СД ОП</t>
        </is>
      </c>
      <c r="D35" s="172" t="inlineStr">
        <is>
          <t>Шкаф сетевой коммутации с четырьмя коммутаторами и двумя серверами СОЕВ</t>
        </is>
      </c>
      <c r="E35" s="171" t="inlineStr">
        <is>
          <t>шт</t>
        </is>
      </c>
      <c r="F35" s="171" t="n">
        <v>1</v>
      </c>
      <c r="G35" s="71" t="n">
        <v>1164536.74</v>
      </c>
      <c r="H35" s="71">
        <f>ROUND(F35*G35,2)</f>
        <v/>
      </c>
    </row>
    <row r="36">
      <c r="A36" s="171" t="n">
        <v>21</v>
      </c>
      <c r="B36" s="153" t="n"/>
      <c r="C36" s="172" t="inlineStr">
        <is>
          <t>Прайс из СД ОП</t>
        </is>
      </c>
      <c r="D36" s="172" t="inlineStr">
        <is>
          <t>Ноутбук</t>
        </is>
      </c>
      <c r="E36" s="171" t="inlineStr">
        <is>
          <t>шт</t>
        </is>
      </c>
      <c r="F36" s="171" t="n">
        <v>1</v>
      </c>
      <c r="G36" s="71" t="n">
        <v>33004.52</v>
      </c>
      <c r="H36" s="71">
        <f>ROUND(F36*G36,2)</f>
        <v/>
      </c>
    </row>
    <row r="37">
      <c r="A37" s="171" t="n">
        <v>22</v>
      </c>
      <c r="B37" s="153" t="n"/>
      <c r="C37" s="172" t="inlineStr">
        <is>
          <t>Прайс из СД ОП</t>
        </is>
      </c>
      <c r="D37" s="172" t="inlineStr">
        <is>
          <t>АРМ оперативного персонала (стационарное)</t>
        </is>
      </c>
      <c r="E37" s="171" t="inlineStr">
        <is>
          <t>шт</t>
        </is>
      </c>
      <c r="F37" s="171" t="n">
        <v>1</v>
      </c>
      <c r="G37" s="71" t="n">
        <v>38932.91</v>
      </c>
      <c r="H37" s="71">
        <f>ROUND(F37*G37,2)</f>
        <v/>
      </c>
    </row>
    <row r="38">
      <c r="A38" s="170" t="inlineStr">
        <is>
          <t>Материалы</t>
        </is>
      </c>
      <c r="B38" s="201" t="n"/>
      <c r="C38" s="201" t="n"/>
      <c r="D38" s="201" t="n"/>
      <c r="E38" s="202" t="n"/>
      <c r="F38" s="170" t="n"/>
      <c r="G38" s="67" t="n"/>
      <c r="H38" s="67">
        <f>SUM(H39:H83)</f>
        <v/>
      </c>
      <c r="J38" s="80" t="n"/>
    </row>
    <row r="39">
      <c r="A39" s="171" t="n">
        <v>23</v>
      </c>
      <c r="B39" s="85" t="n"/>
      <c r="C39" s="172" t="inlineStr">
        <is>
          <t>21.1.08.03-0579</t>
        </is>
      </c>
      <c r="D39" s="172" t="inlineStr">
        <is>
          <t>Кабель контрольный КВВГЭнг(A)-LS 5х2,5</t>
        </is>
      </c>
      <c r="E39" s="171" t="inlineStr">
        <is>
          <t>1000 м</t>
        </is>
      </c>
      <c r="F39" s="171" t="n">
        <v>12.24</v>
      </c>
      <c r="G39" s="71" t="n">
        <v>38348.22</v>
      </c>
      <c r="H39" s="71">
        <f>ROUND(F39*G39,2)</f>
        <v/>
      </c>
      <c r="J39" s="113" t="n"/>
    </row>
    <row r="40">
      <c r="A40" s="171" t="n">
        <v>24</v>
      </c>
      <c r="B40" s="85" t="n"/>
      <c r="C40" s="172" t="inlineStr">
        <is>
          <t>21.1.08.03-0591</t>
        </is>
      </c>
      <c r="D40" s="172" t="inlineStr">
        <is>
          <t>Кабель контрольный КВВГЭнг(A)-LS 14х1,5</t>
        </is>
      </c>
      <c r="E40" s="171" t="inlineStr">
        <is>
          <t>1000 м</t>
        </is>
      </c>
      <c r="F40" s="171" t="n">
        <v>6.12</v>
      </c>
      <c r="G40" s="71" t="n">
        <v>63775.02</v>
      </c>
      <c r="H40" s="71">
        <f>ROUND(F40*G40,2)</f>
        <v/>
      </c>
    </row>
    <row r="41">
      <c r="A41" s="171" t="n">
        <v>25</v>
      </c>
      <c r="B41" s="85" t="n"/>
      <c r="C41" s="172" t="inlineStr">
        <is>
          <t>21.1.08.03-0573</t>
        </is>
      </c>
      <c r="D41" s="172" t="inlineStr">
        <is>
          <t>Кабель контрольный КВВГЭнг(A)-LS 4х1,5</t>
        </is>
      </c>
      <c r="E41" s="171" t="inlineStr">
        <is>
          <t>1000 м</t>
        </is>
      </c>
      <c r="F41" s="171" t="n">
        <v>6.12</v>
      </c>
      <c r="G41" s="71" t="n">
        <v>25034.13</v>
      </c>
      <c r="H41" s="71">
        <f>ROUND(F41*G41,2)</f>
        <v/>
      </c>
    </row>
    <row r="42" ht="31.5" customHeight="1" s="152">
      <c r="A42" s="171" t="n">
        <v>26</v>
      </c>
      <c r="B42" s="85" t="n"/>
      <c r="C42" s="172" t="inlineStr">
        <is>
          <t>21.1.01.01-0001</t>
        </is>
      </c>
      <c r="D42" s="172" t="inlineStr">
        <is>
          <t>Кабель волоконно-оптический самонесущий биэлектрический ДСт-49-6z-6/32</t>
        </is>
      </c>
      <c r="E42" s="171" t="inlineStr">
        <is>
          <t>1000 м</t>
        </is>
      </c>
      <c r="F42" s="171" t="n">
        <v>0.7</v>
      </c>
      <c r="G42" s="71" t="n">
        <v>45920.85</v>
      </c>
      <c r="H42" s="71">
        <f>ROUND(F42*G42,2)</f>
        <v/>
      </c>
    </row>
    <row r="43" ht="15" customHeight="1" s="152">
      <c r="A43" s="171" t="n">
        <v>27</v>
      </c>
      <c r="B43" s="85" t="n"/>
      <c r="C43" s="172" t="inlineStr">
        <is>
          <t>10.3.02.03-0011</t>
        </is>
      </c>
      <c r="D43" s="172" t="inlineStr">
        <is>
          <t>Припои оловянно-свинцовые бессурьмянистые, марка ПОС30</t>
        </is>
      </c>
      <c r="E43" s="171" t="inlineStr">
        <is>
          <t>т</t>
        </is>
      </c>
      <c r="F43" s="171" t="n">
        <v>0.1224</v>
      </c>
      <c r="G43" s="71" t="n">
        <v>68050</v>
      </c>
      <c r="H43" s="71">
        <f>ROUND(F43*G43,2)</f>
        <v/>
      </c>
    </row>
    <row r="44" ht="47.25" customHeight="1" s="152">
      <c r="A44" s="171" t="n">
        <v>28</v>
      </c>
      <c r="B44" s="85" t="n"/>
      <c r="C44" s="172" t="inlineStr">
        <is>
          <t>24.3.01.02-0002</t>
        </is>
      </c>
      <c r="D44" s="172" t="inlineStr">
        <is>
          <t>Трубы гибкие гофрированные из самозатухающего ПВХ легкие с протяжкой, диаметр 25 мм</t>
        </is>
      </c>
      <c r="E44" s="171" t="inlineStr">
        <is>
          <t>м</t>
        </is>
      </c>
      <c r="F44" s="171" t="n">
        <v>714</v>
      </c>
      <c r="G44" s="71" t="n">
        <v>3.43</v>
      </c>
      <c r="H44" s="71">
        <f>ROUND(F44*G44,2)</f>
        <v/>
      </c>
    </row>
    <row r="45">
      <c r="A45" s="171" t="n">
        <v>29</v>
      </c>
      <c r="B45" s="85" t="n"/>
      <c r="C45" s="172" t="inlineStr">
        <is>
          <t>01.7.06.07-0002</t>
        </is>
      </c>
      <c r="D45" s="172" t="inlineStr">
        <is>
          <t>Лента монтажная, тип ЛМ-5</t>
        </is>
      </c>
      <c r="E45" s="171" t="inlineStr">
        <is>
          <t>10 м</t>
        </is>
      </c>
      <c r="F45" s="171" t="n">
        <v>201.8</v>
      </c>
      <c r="G45" s="71" t="n">
        <v>6.9</v>
      </c>
      <c r="H45" s="71">
        <f>ROUND(F45*G45,2)</f>
        <v/>
      </c>
    </row>
    <row r="46" ht="15" customHeight="1" s="152">
      <c r="A46" s="171" t="n">
        <v>30</v>
      </c>
      <c r="B46" s="85" t="n"/>
      <c r="C46" s="172" t="inlineStr">
        <is>
          <t>08.3.06.01-0003</t>
        </is>
      </c>
      <c r="D46" s="17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6" s="171" t="inlineStr">
        <is>
          <t>т</t>
        </is>
      </c>
      <c r="F46" s="171" t="n">
        <v>0.098</v>
      </c>
      <c r="G46" s="71" t="n">
        <v>6834.81</v>
      </c>
      <c r="H46" s="71">
        <f>ROUND(F46*G46,2)</f>
        <v/>
      </c>
    </row>
    <row r="47" ht="47.25" customHeight="1" s="152">
      <c r="A47" s="171" t="n">
        <v>31</v>
      </c>
      <c r="B47" s="85" t="n"/>
      <c r="C47" s="172" t="inlineStr">
        <is>
          <t>21.2.01.02-0141</t>
        </is>
      </c>
      <c r="D47" s="172" t="inlineStr">
        <is>
          <t>Провод неизолированный для воздушных линий электропередачи медные, марка М, сечение 4 мм2</t>
        </is>
      </c>
      <c r="E47" s="171" t="inlineStr">
        <is>
          <t>т</t>
        </is>
      </c>
      <c r="F47" s="171" t="n">
        <v>0.0066</v>
      </c>
      <c r="G47" s="71" t="n">
        <v>96440</v>
      </c>
      <c r="H47" s="71">
        <f>ROUND(F47*G47,2)</f>
        <v/>
      </c>
    </row>
    <row r="48">
      <c r="A48" s="171" t="n">
        <v>32</v>
      </c>
      <c r="B48" s="85" t="n"/>
      <c r="C48" s="172" t="inlineStr">
        <is>
          <t>07.2.07.13-0171</t>
        </is>
      </c>
      <c r="D48" s="172" t="inlineStr">
        <is>
          <t>Подкладки металлические</t>
        </is>
      </c>
      <c r="E48" s="171" t="inlineStr">
        <is>
          <t>кг</t>
        </is>
      </c>
      <c r="F48" s="171" t="n">
        <v>42</v>
      </c>
      <c r="G48" s="71" t="n">
        <v>12.6</v>
      </c>
      <c r="H48" s="71">
        <f>ROUND(F48*G48,2)</f>
        <v/>
      </c>
    </row>
    <row r="49">
      <c r="A49" s="171" t="n">
        <v>33</v>
      </c>
      <c r="B49" s="85" t="n"/>
      <c r="C49" s="172" t="inlineStr">
        <is>
          <t>20.1.02.06-0001</t>
        </is>
      </c>
      <c r="D49" s="172" t="inlineStr">
        <is>
          <t>Жир паяльный</t>
        </is>
      </c>
      <c r="E49" s="171" t="inlineStr">
        <is>
          <t>кг</t>
        </is>
      </c>
      <c r="F49" s="171" t="n">
        <v>4.8</v>
      </c>
      <c r="G49" s="71" t="n">
        <v>100.8</v>
      </c>
      <c r="H49" s="71">
        <f>ROUND(F49*G49,2)</f>
        <v/>
      </c>
    </row>
    <row r="50" ht="31.5" customHeight="1" s="152">
      <c r="A50" s="171" t="n">
        <v>34</v>
      </c>
      <c r="B50" s="85" t="n"/>
      <c r="C50" s="172" t="inlineStr">
        <is>
          <t>999-9950</t>
        </is>
      </c>
      <c r="D50" s="172" t="inlineStr">
        <is>
          <t>Вспомогательные ненормируемые ресурсы (2% от Оплаты труда рабочих)</t>
        </is>
      </c>
      <c r="E50" s="171" t="inlineStr">
        <is>
          <t>руб</t>
        </is>
      </c>
      <c r="F50" s="171" t="n">
        <v>362.716</v>
      </c>
      <c r="G50" s="71" t="n">
        <v>1</v>
      </c>
      <c r="H50" s="71">
        <f>ROUND(F50*G50,2)</f>
        <v/>
      </c>
    </row>
    <row r="51">
      <c r="A51" s="171" t="n">
        <v>35</v>
      </c>
      <c r="B51" s="85" t="n"/>
      <c r="C51" s="172" t="inlineStr">
        <is>
          <t>14.4.03.03-0002</t>
        </is>
      </c>
      <c r="D51" s="172" t="inlineStr">
        <is>
          <t>Лак битумный БТ-123</t>
        </is>
      </c>
      <c r="E51" s="171" t="inlineStr">
        <is>
          <t>т</t>
        </is>
      </c>
      <c r="F51" s="171" t="n">
        <v>0.0408</v>
      </c>
      <c r="G51" s="71" t="n">
        <v>7826.9</v>
      </c>
      <c r="H51" s="71">
        <f>ROUND(F51*G51,2)</f>
        <v/>
      </c>
    </row>
    <row r="52">
      <c r="A52" s="171" t="n">
        <v>36</v>
      </c>
      <c r="B52" s="85" t="n"/>
      <c r="C52" s="172" t="inlineStr">
        <is>
          <t>25.2.01.01-0017</t>
        </is>
      </c>
      <c r="D52" s="172" t="inlineStr">
        <is>
          <t>Бирки маркировочные пластмассовые</t>
        </is>
      </c>
      <c r="E52" s="171" t="inlineStr">
        <is>
          <t>100 шт</t>
        </is>
      </c>
      <c r="F52" s="171" t="n">
        <v>6.6</v>
      </c>
      <c r="G52" s="71" t="n">
        <v>30.74</v>
      </c>
      <c r="H52" s="71">
        <f>ROUND(F52*G52,2)</f>
        <v/>
      </c>
    </row>
    <row r="53" ht="47.25" customHeight="1" s="152">
      <c r="A53" s="171" t="n">
        <v>37</v>
      </c>
      <c r="B53" s="85" t="n"/>
      <c r="C53" s="172" t="inlineStr">
        <is>
          <t>01.7.06.05-0041</t>
        </is>
      </c>
      <c r="D53" s="172" t="inlineStr">
        <is>
          <t>Лента изоляционная прорезиненная односторонняя, ширина 20 мм, толщина 0,25-0,35 мм</t>
        </is>
      </c>
      <c r="E53" s="171" t="inlineStr">
        <is>
          <t>кг</t>
        </is>
      </c>
      <c r="F53" s="171" t="n">
        <v>5.24</v>
      </c>
      <c r="G53" s="71" t="n">
        <v>30.4</v>
      </c>
      <c r="H53" s="71">
        <f>ROUND(F53*G53,2)</f>
        <v/>
      </c>
    </row>
    <row r="54">
      <c r="A54" s="171" t="n">
        <v>38</v>
      </c>
      <c r="B54" s="85" t="n"/>
      <c r="C54" s="172" t="inlineStr">
        <is>
          <t>01.7.15.07-0152</t>
        </is>
      </c>
      <c r="D54" s="172" t="inlineStr">
        <is>
          <t>Дюбели с шурупом, размер 6х35 мм</t>
        </is>
      </c>
      <c r="E54" s="171" t="inlineStr">
        <is>
          <t>100 шт</t>
        </is>
      </c>
      <c r="F54" s="171" t="n">
        <v>12.25</v>
      </c>
      <c r="G54" s="71" t="n">
        <v>8</v>
      </c>
      <c r="H54" s="71">
        <f>ROUND(F54*G54,2)</f>
        <v/>
      </c>
    </row>
    <row r="55" ht="31.5" customHeight="1" s="152">
      <c r="A55" s="171" t="n">
        <v>39</v>
      </c>
      <c r="B55" s="85" t="n"/>
      <c r="C55" s="172" t="inlineStr">
        <is>
          <t>10.3.02.03-0013</t>
        </is>
      </c>
      <c r="D55" s="172" t="inlineStr">
        <is>
          <t>Припои оловянно-свинцовые бессурьмянистые, марка ПОС61</t>
        </is>
      </c>
      <c r="E55" s="171" t="inlineStr">
        <is>
          <t>т</t>
        </is>
      </c>
      <c r="F55" s="171" t="n">
        <v>0.000528</v>
      </c>
      <c r="G55" s="71" t="n">
        <v>114220</v>
      </c>
      <c r="H55" s="71">
        <f>ROUND(F55*G55,2)</f>
        <v/>
      </c>
    </row>
    <row r="56">
      <c r="A56" s="171" t="n">
        <v>40</v>
      </c>
      <c r="B56" s="85" t="n"/>
      <c r="C56" s="172" t="inlineStr">
        <is>
          <t>01.7.15.14-0165</t>
        </is>
      </c>
      <c r="D56" s="172" t="inlineStr">
        <is>
          <t>Шурупы с полукруглой головкой 4х40 мм</t>
        </is>
      </c>
      <c r="E56" s="171" t="inlineStr">
        <is>
          <t>т</t>
        </is>
      </c>
      <c r="F56" s="171" t="n">
        <v>0.0044</v>
      </c>
      <c r="G56" s="71" t="n">
        <v>12430</v>
      </c>
      <c r="H56" s="71">
        <f>ROUND(F56*G56,2)</f>
        <v/>
      </c>
    </row>
    <row r="57">
      <c r="A57" s="171" t="n">
        <v>41</v>
      </c>
      <c r="B57" s="85" t="n"/>
      <c r="C57" s="172" t="inlineStr">
        <is>
          <t>20.2.01.05-0005</t>
        </is>
      </c>
      <c r="D57" s="172" t="inlineStr">
        <is>
          <t>Гильзы кабельные медные ГМ 16</t>
        </is>
      </c>
      <c r="E57" s="171" t="inlineStr">
        <is>
          <t>100 шт</t>
        </is>
      </c>
      <c r="F57" s="171" t="n">
        <v>0.35</v>
      </c>
      <c r="G57" s="71" t="n">
        <v>143</v>
      </c>
      <c r="H57" s="71">
        <f>ROUND(F57*G57,2)</f>
        <v/>
      </c>
    </row>
    <row r="58" ht="31.5" customHeight="1" s="152">
      <c r="A58" s="171" t="n">
        <v>42</v>
      </c>
      <c r="B58" s="85" t="n"/>
      <c r="C58" s="172" t="inlineStr">
        <is>
          <t>01.7.15.03-0034</t>
        </is>
      </c>
      <c r="D58" s="172" t="inlineStr">
        <is>
          <t>Болты с гайками и шайбами оцинкованные, диаметр 12 мм</t>
        </is>
      </c>
      <c r="E58" s="171" t="inlineStr">
        <is>
          <t>кг</t>
        </is>
      </c>
      <c r="F58" s="171" t="n">
        <v>1.6646</v>
      </c>
      <c r="G58" s="71" t="n">
        <v>25.76</v>
      </c>
      <c r="H58" s="71">
        <f>ROUND(F58*G58,2)</f>
        <v/>
      </c>
    </row>
    <row r="59">
      <c r="A59" s="171" t="n">
        <v>43</v>
      </c>
      <c r="B59" s="85" t="n"/>
      <c r="C59" s="172" t="inlineStr">
        <is>
          <t>20.2.10.03-0020</t>
        </is>
      </c>
      <c r="D59" s="172" t="inlineStr">
        <is>
          <t>Наконечники кабельные П2.5-4Д-МУ3</t>
        </is>
      </c>
      <c r="E59" s="171" t="inlineStr">
        <is>
          <t>100 шт</t>
        </is>
      </c>
      <c r="F59" s="171" t="n">
        <v>0.1</v>
      </c>
      <c r="G59" s="71" t="n">
        <v>203</v>
      </c>
      <c r="H59" s="71">
        <f>ROUND(F59*G59,2)</f>
        <v/>
      </c>
    </row>
    <row r="60">
      <c r="A60" s="171" t="n">
        <v>44</v>
      </c>
      <c r="B60" s="85" t="n"/>
      <c r="C60" s="172" t="inlineStr">
        <is>
          <t>01.3.01.05-0009</t>
        </is>
      </c>
      <c r="D60" s="172" t="inlineStr">
        <is>
          <t>Парафин нефтяной твердый Т-1</t>
        </is>
      </c>
      <c r="E60" s="171" t="inlineStr">
        <is>
          <t>т</t>
        </is>
      </c>
      <c r="F60" s="171" t="n">
        <v>0.0024</v>
      </c>
      <c r="G60" s="71" t="n">
        <v>8105.71</v>
      </c>
      <c r="H60" s="71">
        <f>ROUND(F60*G60,2)</f>
        <v/>
      </c>
    </row>
    <row r="61">
      <c r="A61" s="171" t="n">
        <v>45</v>
      </c>
      <c r="B61" s="85" t="n"/>
      <c r="C61" s="172" t="inlineStr">
        <is>
          <t>25.2.02.11-0041</t>
        </is>
      </c>
      <c r="D61" s="172" t="inlineStr">
        <is>
          <t>Рамка для надписей 55х15 мм</t>
        </is>
      </c>
      <c r="E61" s="171" t="inlineStr">
        <is>
          <t>шт</t>
        </is>
      </c>
      <c r="F61" s="171" t="n">
        <v>70</v>
      </c>
      <c r="G61" s="71" t="n">
        <v>0.27</v>
      </c>
      <c r="H61" s="71">
        <f>ROUND(F61*G61,2)</f>
        <v/>
      </c>
    </row>
    <row r="62">
      <c r="A62" s="171" t="n">
        <v>46</v>
      </c>
      <c r="B62" s="85" t="n"/>
      <c r="C62" s="172" t="inlineStr">
        <is>
          <t>01.7.11.07-0032</t>
        </is>
      </c>
      <c r="D62" s="172" t="inlineStr">
        <is>
          <t>Электроды сварочные Э42, диаметр 4 мм</t>
        </is>
      </c>
      <c r="E62" s="171" t="inlineStr">
        <is>
          <t>т</t>
        </is>
      </c>
      <c r="F62" s="171" t="n">
        <v>0.00168</v>
      </c>
      <c r="G62" s="71" t="n">
        <v>10315.01</v>
      </c>
      <c r="H62" s="71">
        <f>ROUND(F62*G62,2)</f>
        <v/>
      </c>
    </row>
    <row r="63">
      <c r="A63" s="171" t="n">
        <v>47</v>
      </c>
      <c r="B63" s="85" t="n"/>
      <c r="C63" s="172" t="inlineStr">
        <is>
          <t>20.2.02.01-0013</t>
        </is>
      </c>
      <c r="D63" s="172" t="inlineStr">
        <is>
          <t>Втулки, диаметр 28 мм</t>
        </is>
      </c>
      <c r="E63" s="171" t="inlineStr">
        <is>
          <t>1000 шт</t>
        </is>
      </c>
      <c r="F63" s="171" t="n">
        <v>0.0854</v>
      </c>
      <c r="G63" s="71" t="n">
        <v>176.21</v>
      </c>
      <c r="H63" s="71">
        <f>ROUND(F63*G63,2)</f>
        <v/>
      </c>
    </row>
    <row r="64">
      <c r="A64" s="171" t="n">
        <v>48</v>
      </c>
      <c r="B64" s="85" t="n"/>
      <c r="C64" s="172" t="inlineStr">
        <is>
          <t>01.7.07.20-0002</t>
        </is>
      </c>
      <c r="D64" s="172" t="inlineStr">
        <is>
          <t>Тальк молотый, сорт I</t>
        </is>
      </c>
      <c r="E64" s="171" t="inlineStr">
        <is>
          <t>т</t>
        </is>
      </c>
      <c r="F64" s="171" t="n">
        <v>0.00735</v>
      </c>
      <c r="G64" s="71" t="n">
        <v>1820</v>
      </c>
      <c r="H64" s="71">
        <f>ROUND(F64*G64,2)</f>
        <v/>
      </c>
    </row>
    <row r="65">
      <c r="A65" s="171" t="n">
        <v>49</v>
      </c>
      <c r="B65" s="85" t="n"/>
      <c r="C65" s="172" t="inlineStr">
        <is>
          <t>24.3.01.01-0002</t>
        </is>
      </c>
      <c r="D65" s="172" t="inlineStr">
        <is>
          <t>Трубка полихлорвиниловая</t>
        </is>
      </c>
      <c r="E65" s="171" t="inlineStr">
        <is>
          <t>кг</t>
        </is>
      </c>
      <c r="F65" s="171" t="n">
        <v>0.264</v>
      </c>
      <c r="G65" s="71" t="n">
        <v>35.7</v>
      </c>
      <c r="H65" s="71">
        <f>ROUND(F65*G65,2)</f>
        <v/>
      </c>
    </row>
    <row r="66" ht="31.5" customHeight="1" s="152">
      <c r="A66" s="171" t="n">
        <v>50</v>
      </c>
      <c r="B66" s="85" t="n"/>
      <c r="C66" s="172" t="inlineStr">
        <is>
          <t>01.7.15.07-0012</t>
        </is>
      </c>
      <c r="D66" s="172" t="inlineStr">
        <is>
          <t>Дюбели пластмассовые с шурупами, размер 12х70 мм</t>
        </is>
      </c>
      <c r="E66" s="171" t="inlineStr">
        <is>
          <t>100 шт</t>
        </is>
      </c>
      <c r="F66" s="171" t="n">
        <v>0.1</v>
      </c>
      <c r="G66" s="71" t="n">
        <v>83</v>
      </c>
      <c r="H66" s="71">
        <f>ROUND(F66*G66,2)</f>
        <v/>
      </c>
    </row>
    <row r="67" ht="31.5" customHeight="1" s="152">
      <c r="A67" s="171" t="n">
        <v>51</v>
      </c>
      <c r="B67" s="85" t="n"/>
      <c r="C67" s="172" t="inlineStr">
        <is>
          <t>01.3.01.07-0009</t>
        </is>
      </c>
      <c r="D67" s="172" t="inlineStr">
        <is>
          <t>Спирт этиловый ректификованный технический, сорт I</t>
        </is>
      </c>
      <c r="E67" s="171" t="inlineStr">
        <is>
          <t>кг</t>
        </is>
      </c>
      <c r="F67" s="171" t="n">
        <v>0.1914</v>
      </c>
      <c r="G67" s="71" t="n">
        <v>38.89</v>
      </c>
      <c r="H67" s="71">
        <f>ROUND(F67*G67,2)</f>
        <v/>
      </c>
    </row>
    <row r="68">
      <c r="A68" s="171" t="n">
        <v>52</v>
      </c>
      <c r="B68" s="85" t="n"/>
      <c r="C68" s="172" t="inlineStr">
        <is>
          <t>14.4.02.09-0001</t>
        </is>
      </c>
      <c r="D68" s="172" t="inlineStr">
        <is>
          <t>Краска</t>
        </is>
      </c>
      <c r="E68" s="171" t="inlineStr">
        <is>
          <t>кг</t>
        </is>
      </c>
      <c r="F68" s="171" t="n">
        <v>0.14</v>
      </c>
      <c r="G68" s="71" t="n">
        <v>28.6</v>
      </c>
      <c r="H68" s="71">
        <f>ROUND(F68*G68,2)</f>
        <v/>
      </c>
    </row>
    <row r="69">
      <c r="A69" s="171" t="n">
        <v>53</v>
      </c>
      <c r="B69" s="85" t="n"/>
      <c r="C69" s="172" t="inlineStr">
        <is>
          <t>14.4.04.09-0017</t>
        </is>
      </c>
      <c r="D69" s="172" t="inlineStr">
        <is>
          <t>Эмаль ХВ-124, защитная, зеленая</t>
        </is>
      </c>
      <c r="E69" s="171" t="inlineStr">
        <is>
          <t>т</t>
        </is>
      </c>
      <c r="F69" s="171" t="n">
        <v>0.00014</v>
      </c>
      <c r="G69" s="71" t="n">
        <v>28300.4</v>
      </c>
      <c r="H69" s="71">
        <f>ROUND(F69*G69,2)</f>
        <v/>
      </c>
    </row>
    <row r="70" ht="31.5" customHeight="1" s="152">
      <c r="A70" s="171" t="n">
        <v>54</v>
      </c>
      <c r="B70" s="85" t="n"/>
      <c r="C70" s="172" t="inlineStr">
        <is>
          <t>10.3.02.03-0012</t>
        </is>
      </c>
      <c r="D70" s="172" t="inlineStr">
        <is>
          <t>Припои оловянно-свинцовые бессурьмянистые, марка ПОС40</t>
        </is>
      </c>
      <c r="E70" s="171" t="inlineStr">
        <is>
          <t>т</t>
        </is>
      </c>
      <c r="F70" s="171" t="n">
        <v>6e-05</v>
      </c>
      <c r="G70" s="71" t="n">
        <v>65750</v>
      </c>
      <c r="H70" s="71">
        <f>ROUND(F70*G70,2)</f>
        <v/>
      </c>
    </row>
    <row r="71">
      <c r="A71" s="171" t="n">
        <v>43</v>
      </c>
      <c r="B71" s="85" t="n"/>
      <c r="C71" s="172" t="inlineStr">
        <is>
          <t>01.3.05.17-0002</t>
        </is>
      </c>
      <c r="D71" s="172" t="inlineStr">
        <is>
          <t>Канифоль сосновая</t>
        </is>
      </c>
      <c r="E71" s="171" t="inlineStr">
        <is>
          <t>кг</t>
        </is>
      </c>
      <c r="F71" s="171" t="n">
        <v>0.1354</v>
      </c>
      <c r="G71" s="71" t="n">
        <v>27.74</v>
      </c>
      <c r="H71" s="71">
        <f>ROUND(F71*G71,2)</f>
        <v/>
      </c>
    </row>
    <row r="72" ht="31.5" customHeight="1" s="152">
      <c r="A72" s="171" t="n">
        <v>44</v>
      </c>
      <c r="B72" s="85" t="n"/>
      <c r="C72" s="172" t="inlineStr">
        <is>
          <t>10.2.02.08-0001</t>
        </is>
      </c>
      <c r="D72" s="172" t="inlineStr">
        <is>
          <t>Проволока медная, круглая, мягкая, электротехническая, диаметр 1,0-3,0 мм и выше</t>
        </is>
      </c>
      <c r="E72" s="171" t="inlineStr">
        <is>
          <t>т</t>
        </is>
      </c>
      <c r="F72" s="171" t="n">
        <v>0.0001</v>
      </c>
      <c r="G72" s="71" t="n">
        <v>37517</v>
      </c>
      <c r="H72" s="71">
        <f>ROUND(F72*G72,2)</f>
        <v/>
      </c>
      <c r="I72" s="68" t="n"/>
      <c r="J72" s="68" t="n"/>
    </row>
    <row r="73" ht="31.5" customHeight="1" s="152">
      <c r="A73" s="171" t="n">
        <v>45</v>
      </c>
      <c r="B73" s="85" t="n"/>
      <c r="C73" s="172" t="inlineStr">
        <is>
          <t>24.3.01.01-0004</t>
        </is>
      </c>
      <c r="D73" s="172" t="inlineStr">
        <is>
          <t>Трубка электроизоляционная ПВХ-305, диаметр 6-10 мм</t>
        </is>
      </c>
      <c r="E73" s="171" t="inlineStr">
        <is>
          <t>кг</t>
        </is>
      </c>
      <c r="F73" s="171" t="n">
        <v>0.08</v>
      </c>
      <c r="G73" s="71" t="n">
        <v>38.34</v>
      </c>
      <c r="H73" s="71">
        <f>ROUND(F73*G73,2)</f>
        <v/>
      </c>
      <c r="I73" s="68" t="n"/>
      <c r="J73" s="68" t="n"/>
    </row>
    <row r="74">
      <c r="A74" s="171" t="n">
        <v>46</v>
      </c>
      <c r="B74" s="85" t="n"/>
      <c r="C74" s="172" t="inlineStr">
        <is>
          <t>01.7.15.03-0042</t>
        </is>
      </c>
      <c r="D74" s="172" t="inlineStr">
        <is>
          <t>Болты с гайками и шайбами строительные</t>
        </is>
      </c>
      <c r="E74" s="171" t="inlineStr">
        <is>
          <t>кг</t>
        </is>
      </c>
      <c r="F74" s="171" t="n">
        <v>0.3</v>
      </c>
      <c r="G74" s="71" t="n">
        <v>9.039999999999999</v>
      </c>
      <c r="H74" s="71">
        <f>ROUND(F74*G74,2)</f>
        <v/>
      </c>
      <c r="I74" s="68" t="n"/>
      <c r="J74" s="68" t="n"/>
    </row>
    <row r="75" ht="47.25" customHeight="1" s="152">
      <c r="A75" s="171" t="n">
        <v>47</v>
      </c>
      <c r="B75" s="85" t="n"/>
      <c r="C75" s="172" t="inlineStr">
        <is>
          <t>01.7.06.05-0042</t>
        </is>
      </c>
      <c r="D75" s="172" t="inlineStr">
        <is>
          <t>Лента липкая изоляционная на поликасиновом компаунде, ширина 20-30 мм, толщина от 0,14 до 0,19 мм</t>
        </is>
      </c>
      <c r="E75" s="171" t="inlineStr">
        <is>
          <t>кг</t>
        </is>
      </c>
      <c r="F75" s="171" t="n">
        <v>0.02</v>
      </c>
      <c r="G75" s="71" t="n">
        <v>91.29000000000001</v>
      </c>
      <c r="H75" s="71">
        <f>ROUND(F75*G75,2)</f>
        <v/>
      </c>
      <c r="I75" s="68" t="n"/>
      <c r="J75" s="68" t="n"/>
    </row>
    <row r="76">
      <c r="A76" s="171" t="n">
        <v>48</v>
      </c>
      <c r="B76" s="85" t="n"/>
      <c r="C76" s="172" t="inlineStr">
        <is>
          <t>14.4.01.01-0003</t>
        </is>
      </c>
      <c r="D76" s="172" t="inlineStr">
        <is>
          <t>Грунтовка ГФ-021</t>
        </is>
      </c>
      <c r="E76" s="171" t="inlineStr">
        <is>
          <t>т</t>
        </is>
      </c>
      <c r="F76" s="171" t="n">
        <v>6.999999999999999e-05</v>
      </c>
      <c r="G76" s="71" t="n">
        <v>15620</v>
      </c>
      <c r="H76" s="71">
        <f>ROUND(F76*G76,2)</f>
        <v/>
      </c>
      <c r="I76" s="68" t="n"/>
      <c r="J76" s="68" t="n"/>
    </row>
    <row r="77">
      <c r="A77" s="171" t="n">
        <v>49</v>
      </c>
      <c r="B77" s="85" t="n"/>
      <c r="C77" s="172" t="inlineStr">
        <is>
          <t>14.4.03.17-0011</t>
        </is>
      </c>
      <c r="D77" s="172" t="inlineStr">
        <is>
          <t>Лак электроизоляционный 318</t>
        </is>
      </c>
      <c r="E77" s="171" t="inlineStr">
        <is>
          <t>кг</t>
        </is>
      </c>
      <c r="F77" s="171" t="n">
        <v>0.03</v>
      </c>
      <c r="G77" s="71" t="n">
        <v>35.63</v>
      </c>
      <c r="H77" s="71">
        <f>ROUND(F77*G77,2)</f>
        <v/>
      </c>
      <c r="I77" s="68" t="n"/>
      <c r="J77" s="68" t="n"/>
    </row>
    <row r="78">
      <c r="A78" s="171" t="n">
        <v>50</v>
      </c>
      <c r="B78" s="85" t="n"/>
      <c r="C78" s="172" t="inlineStr">
        <is>
          <t>01.3.05.11-0001</t>
        </is>
      </c>
      <c r="D78" s="172" t="inlineStr">
        <is>
          <t>Дихлорэтан технический, сорт I</t>
        </is>
      </c>
      <c r="E78" s="171" t="inlineStr">
        <is>
          <t>т</t>
        </is>
      </c>
      <c r="F78" s="171" t="n">
        <v>0.000132</v>
      </c>
      <c r="G78" s="71" t="n">
        <v>4934.48</v>
      </c>
      <c r="H78" s="71">
        <f>ROUND(F78*G78,2)</f>
        <v/>
      </c>
      <c r="I78" s="68" t="n"/>
      <c r="J78" s="68" t="n"/>
    </row>
    <row r="79">
      <c r="A79" s="171" t="n">
        <v>51</v>
      </c>
      <c r="B79" s="85" t="n"/>
      <c r="C79" s="172" t="inlineStr">
        <is>
          <t>14.5.09.07-0030</t>
        </is>
      </c>
      <c r="D79" s="172" t="inlineStr">
        <is>
          <t>Растворитель Р-4</t>
        </is>
      </c>
      <c r="E79" s="171" t="inlineStr">
        <is>
          <t>кг</t>
        </is>
      </c>
      <c r="F79" s="171" t="n">
        <v>0.07000000000000001</v>
      </c>
      <c r="G79" s="71" t="n">
        <v>9.42</v>
      </c>
      <c r="H79" s="71">
        <f>ROUND(F79*G79,2)</f>
        <v/>
      </c>
      <c r="I79" s="68" t="n"/>
      <c r="J79" s="68" t="n"/>
    </row>
    <row r="80">
      <c r="A80" s="171" t="n">
        <v>52</v>
      </c>
      <c r="B80" s="85" t="n"/>
      <c r="C80" s="172" t="inlineStr">
        <is>
          <t>14.5.09.11-0102</t>
        </is>
      </c>
      <c r="D80" s="172" t="inlineStr">
        <is>
          <t>Уайт-спирит</t>
        </is>
      </c>
      <c r="E80" s="171" t="inlineStr">
        <is>
          <t>кг</t>
        </is>
      </c>
      <c r="F80" s="171" t="n">
        <v>0.07000000000000001</v>
      </c>
      <c r="G80" s="71" t="n">
        <v>6.67</v>
      </c>
      <c r="H80" s="71">
        <f>ROUND(F80*G80,2)</f>
        <v/>
      </c>
      <c r="I80" s="68" t="n"/>
      <c r="J80" s="68" t="n"/>
    </row>
    <row r="81" ht="31.5" customHeight="1" s="152">
      <c r="A81" s="171" t="n">
        <v>53</v>
      </c>
      <c r="B81" s="85" t="n"/>
      <c r="C81" s="172" t="inlineStr">
        <is>
          <t>14.3.02.01-0219</t>
        </is>
      </c>
      <c r="D81" s="172" t="inlineStr">
        <is>
          <t>Краска универсальная, акриловая для внутренних и наружных работ</t>
        </is>
      </c>
      <c r="E81" s="171" t="inlineStr">
        <is>
          <t>т</t>
        </is>
      </c>
      <c r="F81" s="171" t="n">
        <v>2e-05</v>
      </c>
      <c r="G81" s="71" t="n">
        <v>15481</v>
      </c>
      <c r="H81" s="71">
        <f>ROUND(F81*G81,2)</f>
        <v/>
      </c>
      <c r="I81" s="68" t="n"/>
      <c r="J81" s="68" t="n"/>
    </row>
    <row r="82">
      <c r="A82" s="171" t="n">
        <v>54</v>
      </c>
      <c r="B82" s="85" t="n"/>
      <c r="C82" s="172" t="inlineStr">
        <is>
          <t>22.2.02.15-0001</t>
        </is>
      </c>
      <c r="D82" s="172" t="inlineStr">
        <is>
          <t>Скрепы 10х2 мм</t>
        </is>
      </c>
      <c r="E82" s="171" t="inlineStr">
        <is>
          <t>кг</t>
        </is>
      </c>
      <c r="F82" s="171" t="n">
        <v>0.02</v>
      </c>
      <c r="G82" s="71" t="n">
        <v>15.37</v>
      </c>
      <c r="H82" s="71">
        <f>ROUND(F82*G82,2)</f>
        <v/>
      </c>
      <c r="I82" s="68" t="n"/>
      <c r="J82" s="68" t="n"/>
    </row>
    <row r="83">
      <c r="A83" s="171" t="n">
        <v>55</v>
      </c>
      <c r="B83" s="85" t="n"/>
      <c r="C83" s="172" t="inlineStr">
        <is>
          <t>03.1.01.01-0002</t>
        </is>
      </c>
      <c r="D83" s="172" t="inlineStr">
        <is>
          <t>Гипс строительный Г-3</t>
        </is>
      </c>
      <c r="E83" s="171" t="inlineStr">
        <is>
          <t>т</t>
        </is>
      </c>
      <c r="F83" s="171" t="n">
        <v>0.0003</v>
      </c>
      <c r="G83" s="71" t="n">
        <v>729.98</v>
      </c>
      <c r="H83" s="71">
        <f>ROUND(F83*G83,2)</f>
        <v/>
      </c>
      <c r="I83" s="68" t="n"/>
      <c r="J83" s="68" t="n"/>
    </row>
    <row r="84">
      <c r="J84" s="80" t="n"/>
    </row>
    <row r="86">
      <c r="B86" s="150" t="inlineStr">
        <is>
          <t>Составил ______________________        Е.А. Князева</t>
        </is>
      </c>
    </row>
    <row r="87">
      <c r="B87" s="56" t="inlineStr">
        <is>
          <t xml:space="preserve">                         (подпись, инициалы, фамилия)</t>
        </is>
      </c>
    </row>
    <row r="89">
      <c r="B89" s="150" t="inlineStr">
        <is>
          <t>Проверил ______________________        А.В. Костянецкая</t>
        </is>
      </c>
    </row>
    <row r="90">
      <c r="B90" s="5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C9:C10"/>
    <mergeCell ref="D9:D10"/>
    <mergeCell ref="E9:E10"/>
    <mergeCell ref="A38:E38"/>
    <mergeCell ref="F9:F10"/>
    <mergeCell ref="A9:A10"/>
    <mergeCell ref="A2:H2"/>
    <mergeCell ref="A23:E23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152" min="1" max="1"/>
    <col width="36.28515625" customWidth="1" style="152" min="2" max="2"/>
    <col width="18.85546875" customWidth="1" style="152" min="3" max="3"/>
    <col width="18.28515625" customWidth="1" style="152" min="4" max="4"/>
    <col width="18.85546875" customWidth="1" style="152" min="5" max="5"/>
    <col width="9.140625" customWidth="1" style="152" min="6" max="6"/>
    <col width="12.85546875" customWidth="1" style="152" min="7" max="7"/>
    <col width="9.140625" customWidth="1" style="152" min="8" max="11"/>
    <col width="13.5703125" customWidth="1" style="152" min="12" max="12"/>
    <col width="9.140625" customWidth="1" style="152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7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52">
      <c r="B7" s="174">
        <f>'Прил.1 Сравнит табл'!B7</f>
        <v/>
      </c>
    </row>
    <row r="8">
      <c r="B8" s="17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52">
      <c r="B10" s="177" t="inlineStr">
        <is>
          <t>Наименование</t>
        </is>
      </c>
      <c r="C10" s="177" t="inlineStr">
        <is>
          <t>Сметная стоимость в ценах на 01.01.2023
 (руб.)</t>
        </is>
      </c>
      <c r="D10" s="177" t="inlineStr">
        <is>
          <t>Удельный вес, 
(в СМР)</t>
        </is>
      </c>
      <c r="E10" s="17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ОБ'!J92</f>
        <v/>
      </c>
      <c r="D17" s="26">
        <f>C17/$C$24</f>
        <v/>
      </c>
      <c r="E17" s="26">
        <f>C17/$C$40</f>
        <v/>
      </c>
      <c r="G17" s="206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ОБ'!E96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ОБ'!E95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52">
      <c r="B25" s="7" t="inlineStr">
        <is>
          <t>ВСЕГО стоимость оборудования, в том числе</t>
        </is>
      </c>
      <c r="C25" s="27">
        <f>'Прил.5 Расчет СМР и ОБ'!J41</f>
        <v/>
      </c>
      <c r="D25" s="26" t="n"/>
      <c r="E25" s="26">
        <f>C25/$C$40</f>
        <v/>
      </c>
    </row>
    <row r="26" ht="25.5" customHeight="1" s="152">
      <c r="B26" s="7" t="inlineStr">
        <is>
          <t>стоимость оборудования технологического</t>
        </is>
      </c>
      <c r="C26" s="27">
        <f>'Прил.5 Расчет СМР и ОБ'!J42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52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52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52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511550</v>
      </c>
      <c r="D31" s="7" t="n"/>
      <c r="E31" s="26">
        <f>C31/$C$40</f>
        <v/>
      </c>
    </row>
    <row r="32" ht="25.5" customHeight="1" s="152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52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52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52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52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52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52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ОБ'!E99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6"/>
  <sheetViews>
    <sheetView view="pageBreakPreview" topLeftCell="A95" zoomScale="55" zoomScaleSheetLayoutView="55" workbookViewId="0">
      <selection activeCell="E101" sqref="E101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52">
      <c r="I2" s="150" t="n"/>
      <c r="J2" s="47" t="inlineStr">
        <is>
          <t>Приложение №5</t>
        </is>
      </c>
    </row>
    <row r="4" ht="12.75" customFormat="1" customHeight="1" s="6">
      <c r="A4" s="173" t="inlineStr">
        <is>
          <t>Расчет стоимости СМР и оборудования</t>
        </is>
      </c>
      <c r="I4" s="173" t="n"/>
      <c r="J4" s="173" t="n"/>
    </row>
    <row r="5" ht="12.75" customFormat="1" customHeight="1" s="6">
      <c r="A5" s="173" t="n"/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7" t="inlineStr">
        <is>
          <t>Создание/модернизация ТМ/ССПИ на ПС 35-220 кВ с количеством присоединений класса напряжения 35 кВ и выше: 21-30</t>
        </is>
      </c>
    </row>
    <row r="7" ht="12.75" customFormat="1" customHeight="1" s="6">
      <c r="A7" s="187">
        <f>'Прил.1 Сравнит табл'!B9</f>
        <v/>
      </c>
      <c r="I7" s="174" t="n"/>
      <c r="J7" s="174" t="n"/>
    </row>
    <row r="8" ht="12.75" customFormat="1" customHeight="1" s="6"/>
    <row r="9" ht="27" customHeight="1" s="152">
      <c r="A9" s="177" t="inlineStr">
        <is>
          <t>№ пп.</t>
        </is>
      </c>
      <c r="B9" s="177" t="inlineStr">
        <is>
          <t>Код ресурса</t>
        </is>
      </c>
      <c r="C9" s="177" t="inlineStr">
        <is>
          <t>Наименование</t>
        </is>
      </c>
      <c r="D9" s="177" t="inlineStr">
        <is>
          <t>Ед. изм.</t>
        </is>
      </c>
      <c r="E9" s="177" t="inlineStr">
        <is>
          <t>Кол-во единиц по проектным данным</t>
        </is>
      </c>
      <c r="F9" s="177" t="inlineStr">
        <is>
          <t>Сметная стоимость в ценах на 01.01.2000 (руб.)</t>
        </is>
      </c>
      <c r="G9" s="202" t="n"/>
      <c r="H9" s="177" t="inlineStr">
        <is>
          <t>Удельный вес, %</t>
        </is>
      </c>
      <c r="I9" s="177" t="inlineStr">
        <is>
          <t>Сметная стоимость в ценах на 01.01.2023 (руб.)</t>
        </is>
      </c>
      <c r="J9" s="202" t="n"/>
    </row>
    <row r="10" ht="28.5" customHeight="1" s="152">
      <c r="A10" s="204" t="n"/>
      <c r="B10" s="204" t="n"/>
      <c r="C10" s="204" t="n"/>
      <c r="D10" s="204" t="n"/>
      <c r="E10" s="204" t="n"/>
      <c r="F10" s="177" t="inlineStr">
        <is>
          <t>на ед. изм.</t>
        </is>
      </c>
      <c r="G10" s="177" t="inlineStr">
        <is>
          <t>общая</t>
        </is>
      </c>
      <c r="H10" s="204" t="n"/>
      <c r="I10" s="177" t="inlineStr">
        <is>
          <t>на ед. изм.</t>
        </is>
      </c>
      <c r="J10" s="177" t="inlineStr">
        <is>
          <t>общая</t>
        </is>
      </c>
    </row>
    <row r="11">
      <c r="A11" s="177" t="n">
        <v>1</v>
      </c>
      <c r="B11" s="177" t="n">
        <v>2</v>
      </c>
      <c r="C11" s="177" t="n">
        <v>3</v>
      </c>
      <c r="D11" s="177" t="n">
        <v>4</v>
      </c>
      <c r="E11" s="177" t="n">
        <v>5</v>
      </c>
      <c r="F11" s="177" t="n">
        <v>6</v>
      </c>
      <c r="G11" s="177" t="n">
        <v>7</v>
      </c>
      <c r="H11" s="177" t="n">
        <v>8</v>
      </c>
      <c r="I11" s="177" t="n">
        <v>9</v>
      </c>
      <c r="J11" s="177" t="n">
        <v>10</v>
      </c>
      <c r="L11" s="44" t="n"/>
    </row>
    <row r="12">
      <c r="A12" s="177" t="n"/>
      <c r="B12" s="188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30" t="n"/>
      <c r="J12" s="30" t="n"/>
      <c r="L12" s="207" t="n"/>
    </row>
    <row r="13" ht="25.5" customHeight="1" s="152">
      <c r="A13" s="177" t="n">
        <v>1</v>
      </c>
      <c r="B13" s="34" t="inlineStr">
        <is>
          <t>1-3-8</t>
        </is>
      </c>
      <c r="C13" s="176" t="inlineStr">
        <is>
          <t>Затраты труда рабочих-строителей среднего разряда (3,8)</t>
        </is>
      </c>
      <c r="D13" s="177" t="inlineStr">
        <is>
          <t>чел.-ч.</t>
        </is>
      </c>
      <c r="E13" s="208">
        <f>G13/F13</f>
        <v/>
      </c>
      <c r="F13" s="14" t="n">
        <v>9.4</v>
      </c>
      <c r="G13" s="14">
        <f>SUM(Прил.3!H13:H18)</f>
        <v/>
      </c>
      <c r="H13" s="189">
        <f>G13/$G$16</f>
        <v/>
      </c>
      <c r="I13" s="14">
        <f>ФОТр.тек.!E13</f>
        <v/>
      </c>
      <c r="J13" s="14">
        <f>ROUND(I13*E13,2)</f>
        <v/>
      </c>
    </row>
    <row r="14">
      <c r="A14" s="177" t="n">
        <v>2</v>
      </c>
      <c r="B14" s="34" t="inlineStr">
        <is>
          <t>10-3-1</t>
        </is>
      </c>
      <c r="C14" s="176" t="inlineStr">
        <is>
          <t>Инженер I категории</t>
        </is>
      </c>
      <c r="D14" s="177" t="inlineStr">
        <is>
          <t>чел.-ч</t>
        </is>
      </c>
      <c r="E14" s="208" t="n">
        <v>10</v>
      </c>
      <c r="F14" s="14" t="n">
        <v>15.49</v>
      </c>
      <c r="G14" s="14">
        <f>ROUND(E14*F14,2)</f>
        <v/>
      </c>
      <c r="H14" s="189">
        <f>G14/$G$16</f>
        <v/>
      </c>
      <c r="I14" s="14">
        <f>ФОТр.тек.!E21</f>
        <v/>
      </c>
      <c r="J14" s="14">
        <f>ROUND(I14*E14,2)</f>
        <v/>
      </c>
    </row>
    <row r="15">
      <c r="A15" s="177" t="n">
        <v>3</v>
      </c>
      <c r="B15" s="34" t="inlineStr">
        <is>
          <t>10-3-2</t>
        </is>
      </c>
      <c r="C15" s="176" t="inlineStr">
        <is>
          <t>Инженер II категории</t>
        </is>
      </c>
      <c r="D15" s="177" t="inlineStr">
        <is>
          <t>чел.-ч</t>
        </is>
      </c>
      <c r="E15" s="208" t="n">
        <v>10</v>
      </c>
      <c r="F15" s="14" t="n">
        <v>14.09</v>
      </c>
      <c r="G15" s="14">
        <f>ROUND(E15*F15,2)</f>
        <v/>
      </c>
      <c r="H15" s="189">
        <f>G15/$G$16</f>
        <v/>
      </c>
      <c r="I15" s="14">
        <f>ФОТр.тек.!E29</f>
        <v/>
      </c>
      <c r="J15" s="14">
        <f>ROUND(I15*E15,2)</f>
        <v/>
      </c>
    </row>
    <row r="16" ht="25.5" customFormat="1" customHeight="1" s="1">
      <c r="A16" s="177" t="n"/>
      <c r="B16" s="177" t="n"/>
      <c r="C16" s="188" t="inlineStr">
        <is>
          <t>Итого по разделу "Затраты труда рабочих-строителей"</t>
        </is>
      </c>
      <c r="D16" s="177" t="inlineStr">
        <is>
          <t>чел.-ч.</t>
        </is>
      </c>
      <c r="E16" s="208">
        <f>SUM(E13:E15)</f>
        <v/>
      </c>
      <c r="F16" s="14" t="n"/>
      <c r="G16" s="14">
        <f>SUM(G13:G15)</f>
        <v/>
      </c>
      <c r="H16" s="189" t="n">
        <v>1</v>
      </c>
      <c r="I16" s="14" t="n"/>
      <c r="J16" s="14">
        <f>SUM(J13:J15)</f>
        <v/>
      </c>
      <c r="L16" s="51" t="n"/>
    </row>
    <row r="17" ht="14.25" customFormat="1" customHeight="1" s="1">
      <c r="A17" s="177" t="n"/>
      <c r="B17" s="176" t="inlineStr">
        <is>
          <t>Затраты труда машинистов</t>
        </is>
      </c>
      <c r="C17" s="201" t="n"/>
      <c r="D17" s="201" t="n"/>
      <c r="E17" s="201" t="n"/>
      <c r="F17" s="201" t="n"/>
      <c r="G17" s="201" t="n"/>
      <c r="H17" s="202" t="n"/>
      <c r="I17" s="30" t="n"/>
      <c r="J17" s="30" t="n"/>
      <c r="L17" s="207" t="n"/>
    </row>
    <row r="18" ht="14.25" customFormat="1" customHeight="1" s="1">
      <c r="A18" s="177" t="n">
        <v>4</v>
      </c>
      <c r="B18" s="177" t="n">
        <v>2</v>
      </c>
      <c r="C18" s="176" t="inlineStr">
        <is>
          <t>Затраты труда машинистов</t>
        </is>
      </c>
      <c r="D18" s="177" t="inlineStr">
        <is>
          <t>чел.-ч.</t>
        </is>
      </c>
      <c r="E18" s="208">
        <f>Прил.3!F22</f>
        <v/>
      </c>
      <c r="F18" s="14">
        <f>G18/E18</f>
        <v/>
      </c>
      <c r="G18" s="14">
        <f>Прил.3!H22</f>
        <v/>
      </c>
      <c r="H18" s="189" t="n">
        <v>1</v>
      </c>
      <c r="I18" s="14">
        <f>ROUND(F18*Прил.10!D10,2)</f>
        <v/>
      </c>
      <c r="J18" s="14">
        <f>ROUND(I18*E18,2)</f>
        <v/>
      </c>
      <c r="L18" s="44" t="n"/>
    </row>
    <row r="19" ht="14.25" customFormat="1" customHeight="1" s="1">
      <c r="A19" s="177" t="n"/>
      <c r="B19" s="188" t="inlineStr">
        <is>
          <t>Машины и механизмы</t>
        </is>
      </c>
      <c r="C19" s="201" t="n"/>
      <c r="D19" s="201" t="n"/>
      <c r="E19" s="201" t="n"/>
      <c r="F19" s="201" t="n"/>
      <c r="G19" s="201" t="n"/>
      <c r="H19" s="202" t="n"/>
      <c r="I19" s="189" t="n"/>
      <c r="J19" s="189" t="n"/>
    </row>
    <row r="20" ht="14.25" customFormat="1" customHeight="1" s="1">
      <c r="A20" s="177" t="n"/>
      <c r="B20" s="176" t="inlineStr">
        <is>
          <t>Основные машины и механизмы</t>
        </is>
      </c>
      <c r="C20" s="201" t="n"/>
      <c r="D20" s="201" t="n"/>
      <c r="E20" s="201" t="n"/>
      <c r="F20" s="201" t="n"/>
      <c r="G20" s="201" t="n"/>
      <c r="H20" s="202" t="n"/>
      <c r="I20" s="30" t="n"/>
      <c r="J20" s="30" t="n"/>
    </row>
    <row r="21" ht="25.5" customFormat="1" customHeight="1" s="1">
      <c r="A21" s="177" t="n">
        <v>5</v>
      </c>
      <c r="B21" s="34" t="inlineStr">
        <is>
          <t>91.05.05-015</t>
        </is>
      </c>
      <c r="C21" s="176" t="inlineStr">
        <is>
          <t>Краны на автомобильном ходу, грузоподъемность 16 т</t>
        </is>
      </c>
      <c r="D21" s="177" t="inlineStr">
        <is>
          <t>маш.час</t>
        </is>
      </c>
      <c r="E21" s="208" t="n">
        <v>48.7</v>
      </c>
      <c r="F21" s="195" t="n">
        <v>115.4</v>
      </c>
      <c r="G21" s="14">
        <f>ROUND(E21*F21,2)</f>
        <v/>
      </c>
      <c r="H21" s="189">
        <f>G21/$G$30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">
      <c r="A22" s="177" t="n">
        <v>6</v>
      </c>
      <c r="B22" s="34" t="inlineStr">
        <is>
          <t>91.14.02-001</t>
        </is>
      </c>
      <c r="C22" s="176" t="inlineStr">
        <is>
          <t>Автомобили бортовые, грузоподъемность до 5 т</t>
        </is>
      </c>
      <c r="D22" s="177" t="inlineStr">
        <is>
          <t>маш.час</t>
        </is>
      </c>
      <c r="E22" s="208" t="n">
        <v>48.88</v>
      </c>
      <c r="F22" s="195" t="n">
        <v>65.70999999999999</v>
      </c>
      <c r="G22" s="14">
        <f>ROUND(E22*F22,2)</f>
        <v/>
      </c>
      <c r="H22" s="189">
        <f>G22/$G$30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">
      <c r="A23" s="177" t="n">
        <v>7</v>
      </c>
      <c r="B23" s="34" t="inlineStr">
        <is>
          <t>91.06.03-061</t>
        </is>
      </c>
      <c r="C23" s="176" t="inlineStr">
        <is>
          <t>Лебедки электрические тяговым усилием до 12,26 кН (1,25 т)</t>
        </is>
      </c>
      <c r="D23" s="177" t="inlineStr">
        <is>
          <t>маш.час</t>
        </is>
      </c>
      <c r="E23" s="208" t="n">
        <v>362</v>
      </c>
      <c r="F23" s="195" t="n">
        <v>3.28</v>
      </c>
      <c r="G23" s="14">
        <f>ROUND(E23*F23,2)</f>
        <v/>
      </c>
      <c r="H23" s="189">
        <f>G23/$G$30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">
      <c r="B24" s="177" t="n"/>
      <c r="C24" s="176" t="inlineStr">
        <is>
          <t>Итого основные машины и механизмы</t>
        </is>
      </c>
      <c r="D24" s="177" t="n"/>
      <c r="E24" s="209" t="n"/>
      <c r="F24" s="14" t="n"/>
      <c r="G24" s="14">
        <f>SUM(G21:G23)</f>
        <v/>
      </c>
      <c r="H24" s="189">
        <f>G24/G30</f>
        <v/>
      </c>
      <c r="I24" s="14" t="n"/>
      <c r="J24" s="14">
        <f>SUM(J21:J23)</f>
        <v/>
      </c>
      <c r="L24" s="207" t="n"/>
    </row>
    <row r="25" outlineLevel="1" ht="25.5" customFormat="1" customHeight="1" s="1">
      <c r="A25" s="177" t="n">
        <v>8</v>
      </c>
      <c r="B25" s="34" t="inlineStr">
        <is>
          <t>91.06.01-003</t>
        </is>
      </c>
      <c r="C25" s="176" t="inlineStr">
        <is>
          <t>Домкраты гидравлические, грузоподъемность 63-100 т</t>
        </is>
      </c>
      <c r="D25" s="177" t="inlineStr">
        <is>
          <t>маш.час</t>
        </is>
      </c>
      <c r="E25" s="208" t="n">
        <v>362</v>
      </c>
      <c r="F25" s="195" t="n">
        <v>0.9</v>
      </c>
      <c r="G25" s="14">
        <f>ROUND(E25*F25,2)</f>
        <v/>
      </c>
      <c r="H25" s="189">
        <f>G25/$G$30</f>
        <v/>
      </c>
      <c r="I25" s="14">
        <f>ROUND(F25*Прил.10!$D$11,2)</f>
        <v/>
      </c>
      <c r="J25" s="14">
        <f>ROUND(I25*E25,2)</f>
        <v/>
      </c>
      <c r="L25" s="207" t="n"/>
    </row>
    <row r="26" outlineLevel="1" ht="14.25" customFormat="1" customHeight="1" s="1">
      <c r="A26" s="177" t="n">
        <v>9</v>
      </c>
      <c r="B26" s="34" t="inlineStr">
        <is>
          <t>91.06.05-011</t>
        </is>
      </c>
      <c r="C26" s="176" t="inlineStr">
        <is>
          <t>Погрузчики, грузоподъемность 5 т</t>
        </is>
      </c>
      <c r="D26" s="177" t="inlineStr">
        <is>
          <t>маш.час</t>
        </is>
      </c>
      <c r="E26" s="208" t="n">
        <v>0.4</v>
      </c>
      <c r="F26" s="195" t="n">
        <v>89.98999999999999</v>
      </c>
      <c r="G26" s="14">
        <f>ROUND(E26*F26,2)</f>
        <v/>
      </c>
      <c r="H26" s="189">
        <f>G26/$G$30</f>
        <v/>
      </c>
      <c r="I26" s="14">
        <f>ROUND(F26*Прил.10!$D$11,2)</f>
        <v/>
      </c>
      <c r="J26" s="14">
        <f>ROUND(I26*E26,2)</f>
        <v/>
      </c>
      <c r="L26" s="207" t="n"/>
    </row>
    <row r="27" outlineLevel="1" ht="14.25" customFormat="1" customHeight="1" s="1">
      <c r="A27" s="177" t="n">
        <v>10</v>
      </c>
      <c r="B27" s="34" t="inlineStr">
        <is>
          <t>91.21.19-031</t>
        </is>
      </c>
      <c r="C27" s="176" t="inlineStr">
        <is>
          <t>Станки сверлильные</t>
        </is>
      </c>
      <c r="D27" s="177" t="inlineStr">
        <is>
          <t>маш.час</t>
        </is>
      </c>
      <c r="E27" s="208" t="n">
        <v>6.44</v>
      </c>
      <c r="F27" s="195" t="n">
        <v>2.36</v>
      </c>
      <c r="G27" s="14">
        <f>ROUND(E27*F27,2)</f>
        <v/>
      </c>
      <c r="H27" s="189">
        <f>G27/$G$30</f>
        <v/>
      </c>
      <c r="I27" s="14">
        <f>ROUND(F27*Прил.10!$D$11,2)</f>
        <v/>
      </c>
      <c r="J27" s="14">
        <f>ROUND(I27*E27,2)</f>
        <v/>
      </c>
      <c r="L27" s="207" t="n"/>
    </row>
    <row r="28" outlineLevel="1" ht="25.5" customFormat="1" customHeight="1" s="1">
      <c r="A28" s="177" t="n">
        <v>11</v>
      </c>
      <c r="B28" s="34" t="inlineStr">
        <is>
          <t>91.17.04-233</t>
        </is>
      </c>
      <c r="C28" s="176" t="inlineStr">
        <is>
          <t>Установки для сварки ручной дуговой (постоянного тока)</t>
        </is>
      </c>
      <c r="D28" s="177" t="inlineStr">
        <is>
          <t>маш.час</t>
        </is>
      </c>
      <c r="E28" s="208" t="n">
        <v>1.4</v>
      </c>
      <c r="F28" s="195" t="n">
        <v>8.1</v>
      </c>
      <c r="G28" s="14">
        <f>ROUND(E28*F28,2)</f>
        <v/>
      </c>
      <c r="H28" s="189">
        <f>G28/$G$30</f>
        <v/>
      </c>
      <c r="I28" s="14">
        <f>ROUND(F28*Прил.10!$D$11,2)</f>
        <v/>
      </c>
      <c r="J28" s="14">
        <f>ROUND(I28*E28,2)</f>
        <v/>
      </c>
      <c r="L28" s="207" t="n"/>
    </row>
    <row r="29" ht="14.25" customFormat="1" customHeight="1" s="1">
      <c r="A29" s="177" t="n"/>
      <c r="B29" s="34" t="n"/>
      <c r="C29" s="176" t="inlineStr">
        <is>
          <t>Итого прочие машины и механизмы</t>
        </is>
      </c>
      <c r="D29" s="177" t="n"/>
      <c r="E29" s="208" t="n"/>
      <c r="F29" s="195" t="n"/>
      <c r="G29" s="14">
        <f>SUM(G25:G28)</f>
        <v/>
      </c>
      <c r="H29" s="189">
        <f>G29/G30</f>
        <v/>
      </c>
      <c r="I29" s="14" t="n"/>
      <c r="J29" s="14">
        <f>SUM(J25:J28)</f>
        <v/>
      </c>
      <c r="K29" s="210" t="n"/>
      <c r="L29" s="207" t="n"/>
    </row>
    <row r="30" ht="25.5" customFormat="1" customHeight="1" s="1">
      <c r="A30" s="177" t="n"/>
      <c r="B30" s="190" t="n"/>
      <c r="C30" s="181" t="inlineStr">
        <is>
          <t>Итого по разделу «Машины и механизмы»</t>
        </is>
      </c>
      <c r="D30" s="190" t="n"/>
      <c r="E30" s="39" t="n"/>
      <c r="F30" s="40" t="n"/>
      <c r="G30" s="40">
        <f>G24+G29</f>
        <v/>
      </c>
      <c r="H30" s="41" t="n">
        <v>1</v>
      </c>
      <c r="I30" s="40" t="n"/>
      <c r="J30" s="40">
        <f>J24+J29</f>
        <v/>
      </c>
    </row>
    <row r="31">
      <c r="A31" s="53" t="n"/>
      <c r="B31" s="181" t="inlineStr">
        <is>
          <t xml:space="preserve">Оборудование </t>
        </is>
      </c>
      <c r="C31" s="211" t="n"/>
      <c r="D31" s="211" t="n"/>
      <c r="E31" s="211" t="n"/>
      <c r="F31" s="211" t="n"/>
      <c r="G31" s="211" t="n"/>
      <c r="H31" s="211" t="n"/>
      <c r="I31" s="211" t="n"/>
      <c r="J31" s="212" t="n"/>
    </row>
    <row r="32" ht="15" customHeight="1" s="152">
      <c r="A32" s="177" t="n"/>
      <c r="B32" s="176" t="inlineStr">
        <is>
          <t>Основное оборудование</t>
        </is>
      </c>
      <c r="C32" s="201" t="n"/>
      <c r="D32" s="201" t="n"/>
      <c r="E32" s="201" t="n"/>
      <c r="F32" s="201" t="n"/>
      <c r="G32" s="201" t="n"/>
      <c r="H32" s="201" t="n"/>
      <c r="I32" s="201" t="n"/>
      <c r="J32" s="202" t="n"/>
    </row>
    <row r="33" ht="25.5" customHeight="1" s="152">
      <c r="A33" s="177" t="n">
        <v>12</v>
      </c>
      <c r="B33" s="34" t="inlineStr">
        <is>
          <t>БЦ.33.20</t>
        </is>
      </c>
      <c r="C33" s="176" t="inlineStr">
        <is>
          <t>Шкаф измерительных преобразователей с кол-вом ИП: 16 шт</t>
        </is>
      </c>
      <c r="D33" s="177" t="inlineStr">
        <is>
          <t>шт</t>
        </is>
      </c>
      <c r="E33" s="208" t="n">
        <v>2</v>
      </c>
      <c r="F33" s="179">
        <f>ROUND(I33/Прил.10!$D$13,2)</f>
        <v/>
      </c>
      <c r="G33" s="14">
        <f>ROUND(E33*F33,2)</f>
        <v/>
      </c>
      <c r="H33" s="189">
        <f>G33/$G$41</f>
        <v/>
      </c>
      <c r="I33" s="14" t="n">
        <v>5000000</v>
      </c>
      <c r="J33" s="14">
        <f>ROUND(I33*E33,2)</f>
        <v/>
      </c>
    </row>
    <row r="34" ht="25.5" customHeight="1" s="152">
      <c r="A34" s="177" t="n">
        <v>13</v>
      </c>
      <c r="B34" s="34" t="inlineStr">
        <is>
          <t>БЦ.33.24</t>
        </is>
      </c>
      <c r="C34" s="176" t="inlineStr">
        <is>
          <t>Шкаф гарантированного питания АСУТП и ТМ на 6 кВт</t>
        </is>
      </c>
      <c r="D34" s="177" t="inlineStr">
        <is>
          <t>шт</t>
        </is>
      </c>
      <c r="E34" s="208" t="n">
        <v>1</v>
      </c>
      <c r="F34" s="179">
        <f>ROUND(I34/Прил.10!$D$13,2)</f>
        <v/>
      </c>
      <c r="G34" s="14">
        <f>ROUND(E34*F34,2)</f>
        <v/>
      </c>
      <c r="H34" s="189">
        <f>G34/$G$41</f>
        <v/>
      </c>
      <c r="I34" s="14" t="n">
        <v>7500000</v>
      </c>
      <c r="J34" s="14">
        <f>ROUND(I34*E34,2)</f>
        <v/>
      </c>
    </row>
    <row r="35" ht="38.25" customHeight="1" s="152">
      <c r="A35" s="177" t="n">
        <v>14</v>
      </c>
      <c r="B35" s="34" t="inlineStr">
        <is>
          <t>БЦ.34.16</t>
        </is>
      </c>
      <c r="C35" s="176" t="inlineStr">
        <is>
          <t>Шкаф на 222 дискретных входов и 64 дискретных выхода для подключения устройств РЗА</t>
        </is>
      </c>
      <c r="D35" s="177" t="inlineStr">
        <is>
          <t>шт</t>
        </is>
      </c>
      <c r="E35" s="208" t="n">
        <v>3</v>
      </c>
      <c r="F35" s="179">
        <f>ROUND(I35/Прил.10!$D$13,2)</f>
        <v/>
      </c>
      <c r="G35" s="14">
        <f>ROUND(E35*F35,2)</f>
        <v/>
      </c>
      <c r="H35" s="189">
        <f>G35/$G$41</f>
        <v/>
      </c>
      <c r="I35" s="14" t="n">
        <v>2100000</v>
      </c>
      <c r="J35" s="14">
        <f>ROUND(I35*E35,2)</f>
        <v/>
      </c>
    </row>
    <row r="36" ht="25.5" customHeight="1" s="152">
      <c r="A36" s="177" t="n">
        <v>15</v>
      </c>
      <c r="B36" s="34" t="inlineStr">
        <is>
          <t>БЦ.33.13</t>
        </is>
      </c>
      <c r="C36" s="176" t="inlineStr">
        <is>
          <t>Шкаф сетевой коммутации с четырьмя коммутаторами и двумя серверами СОЕВ</t>
        </is>
      </c>
      <c r="D36" s="177" t="inlineStr">
        <is>
          <t>шт</t>
        </is>
      </c>
      <c r="E36" s="208" t="n">
        <v>1</v>
      </c>
      <c r="F36" s="179">
        <f>ROUND(I36/Прил.10!$D$13,2)</f>
        <v/>
      </c>
      <c r="G36" s="14">
        <f>ROUND(E36*F36,2)</f>
        <v/>
      </c>
      <c r="H36" s="189">
        <f>G36/$G$41</f>
        <v/>
      </c>
      <c r="I36" s="14" t="n">
        <v>8100000</v>
      </c>
      <c r="J36" s="14">
        <f>ROUND(I36*E36,2)</f>
        <v/>
      </c>
    </row>
    <row r="37">
      <c r="A37" s="54" t="n"/>
      <c r="B37" s="177" t="n"/>
      <c r="C37" s="176" t="inlineStr">
        <is>
          <t>Итого основное оборудование</t>
        </is>
      </c>
      <c r="D37" s="177" t="n"/>
      <c r="E37" s="208" t="n"/>
      <c r="F37" s="179" t="n"/>
      <c r="G37" s="14">
        <f>SUM(G33:G36)</f>
        <v/>
      </c>
      <c r="H37" s="189">
        <f>G37/$G$41</f>
        <v/>
      </c>
      <c r="I37" s="14" t="n"/>
      <c r="J37" s="14">
        <f>SUM(J33:J36)</f>
        <v/>
      </c>
      <c r="K37" s="210" t="n"/>
    </row>
    <row r="38" hidden="1" outlineLevel="1" s="152">
      <c r="A38" s="177" t="n">
        <v>16</v>
      </c>
      <c r="B38" s="177" t="inlineStr">
        <is>
          <t>БЦ.33.26</t>
        </is>
      </c>
      <c r="C38" s="176" t="inlineStr">
        <is>
          <t>Ноутбук</t>
        </is>
      </c>
      <c r="D38" s="177" t="inlineStr">
        <is>
          <t>шт</t>
        </is>
      </c>
      <c r="E38" s="208" t="n">
        <v>1</v>
      </c>
      <c r="F38" s="179">
        <f>ROUND(I38/Прил.10!$D$13,2)</f>
        <v/>
      </c>
      <c r="G38" s="14">
        <f>ROUND(E38*F38,2)</f>
        <v/>
      </c>
      <c r="H38" s="189">
        <f>G38/$G$41</f>
        <v/>
      </c>
      <c r="I38" s="14" t="n">
        <v>229564.8</v>
      </c>
      <c r="J38" s="14">
        <f>ROUND(I38*E38,2)</f>
        <v/>
      </c>
    </row>
    <row r="39" hidden="1" outlineLevel="1" ht="25.5" customHeight="1" s="152">
      <c r="A39" s="177" t="n">
        <v>17</v>
      </c>
      <c r="B39" s="177" t="inlineStr">
        <is>
          <t>БЦ.54.24</t>
        </is>
      </c>
      <c r="C39" s="176" t="inlineStr">
        <is>
          <t>АРМ оперативного персонала (стационарное)</t>
        </is>
      </c>
      <c r="D39" s="177" t="inlineStr">
        <is>
          <t>шт</t>
        </is>
      </c>
      <c r="E39" s="208" t="n">
        <v>1</v>
      </c>
      <c r="F39" s="179">
        <f>ROUND(I39/Прил.10!$D$13,2)</f>
        <v/>
      </c>
      <c r="G39" s="14">
        <f>ROUND(E39*F39,2)</f>
        <v/>
      </c>
      <c r="H39" s="189">
        <f>G39/$G$41</f>
        <v/>
      </c>
      <c r="I39" s="14" t="n">
        <v>270800</v>
      </c>
      <c r="J39" s="14">
        <f>ROUND(I39*E39,2)</f>
        <v/>
      </c>
    </row>
    <row r="40" collapsed="1" s="152">
      <c r="A40" s="54" t="n"/>
      <c r="B40" s="177" t="n"/>
      <c r="C40" s="176" t="inlineStr">
        <is>
          <t>Итого прочее оборудование</t>
        </is>
      </c>
      <c r="D40" s="177" t="n"/>
      <c r="E40" s="178" t="n"/>
      <c r="F40" s="179" t="n"/>
      <c r="G40" s="14">
        <f>SUM(G38:G39)</f>
        <v/>
      </c>
      <c r="H40" s="189">
        <f>G40/$G$41</f>
        <v/>
      </c>
      <c r="I40" s="14" t="n"/>
      <c r="J40" s="14">
        <f>SUM(J38:J39)</f>
        <v/>
      </c>
      <c r="K40" s="210" t="n"/>
      <c r="L40" s="213" t="n"/>
    </row>
    <row r="41">
      <c r="A41" s="177" t="n"/>
      <c r="B41" s="177" t="n"/>
      <c r="C41" s="188" t="inlineStr">
        <is>
          <t>Итого по разделу «Оборудование»</t>
        </is>
      </c>
      <c r="D41" s="177" t="n"/>
      <c r="E41" s="178" t="n"/>
      <c r="F41" s="179" t="n"/>
      <c r="G41" s="14">
        <f>G37+G40</f>
        <v/>
      </c>
      <c r="H41" s="189">
        <f>(G37+G40)/G41</f>
        <v/>
      </c>
      <c r="I41" s="14" t="n"/>
      <c r="J41" s="14">
        <f>J40+J37</f>
        <v/>
      </c>
      <c r="K41" s="210" t="n"/>
    </row>
    <row r="42" ht="25.5" customHeight="1" s="152">
      <c r="A42" s="177" t="n"/>
      <c r="B42" s="177" t="n"/>
      <c r="C42" s="176" t="inlineStr">
        <is>
          <t>в том числе технологическое оборудование</t>
        </is>
      </c>
      <c r="D42" s="177" t="n"/>
      <c r="E42" s="178" t="n"/>
      <c r="F42" s="179" t="n"/>
      <c r="G42" s="14">
        <f>'Прил.6 Расчет ОБ'!G20</f>
        <v/>
      </c>
      <c r="H42" s="189">
        <f>G42/$G$41</f>
        <v/>
      </c>
      <c r="I42" s="14" t="n"/>
      <c r="J42" s="14">
        <f>ROUND(G42*Прил.10!$D$13,2)</f>
        <v/>
      </c>
      <c r="K42" s="210" t="n"/>
    </row>
    <row r="43" ht="14.25" customFormat="1" customHeight="1" s="1">
      <c r="A43" s="191" t="n"/>
      <c r="B43" s="214" t="inlineStr">
        <is>
          <t>Материалы</t>
        </is>
      </c>
      <c r="J43" s="215" t="n"/>
      <c r="K43" s="210" t="n"/>
    </row>
    <row r="44" ht="14.25" customFormat="1" customHeight="1" s="1">
      <c r="A44" s="177" t="n"/>
      <c r="B44" s="176" t="inlineStr">
        <is>
          <t>Основные материалы</t>
        </is>
      </c>
      <c r="C44" s="201" t="n"/>
      <c r="D44" s="201" t="n"/>
      <c r="E44" s="201" t="n"/>
      <c r="F44" s="201" t="n"/>
      <c r="G44" s="201" t="n"/>
      <c r="H44" s="202" t="n"/>
      <c r="I44" s="189" t="n"/>
      <c r="J44" s="189" t="n"/>
    </row>
    <row r="45" ht="14.25" customFormat="1" customHeight="1" s="1">
      <c r="A45" s="177" t="n">
        <v>18</v>
      </c>
      <c r="B45" s="34">
        <f>B46</f>
        <v/>
      </c>
      <c r="C45" s="176">
        <f>C46</f>
        <v/>
      </c>
      <c r="D45" s="177" t="inlineStr">
        <is>
          <t>1000 м</t>
        </is>
      </c>
      <c r="E45" s="208">
        <f>G45/F45</f>
        <v/>
      </c>
      <c r="F45" s="195">
        <f>F46</f>
        <v/>
      </c>
      <c r="G45" s="14">
        <f>G46+G47+G48</f>
        <v/>
      </c>
      <c r="H45" s="189">
        <f>G45/$G$93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16" t="n">
        <v>12.24</v>
      </c>
      <c r="F46" s="93" t="n">
        <v>38348.22</v>
      </c>
      <c r="G46" s="94">
        <f>ROUND(E46*F46,2)</f>
        <v/>
      </c>
      <c r="H46" s="95">
        <f>G46/$G$93</f>
        <v/>
      </c>
      <c r="I46" s="94" t="n"/>
      <c r="J46" s="94" t="n"/>
    </row>
    <row r="47" hidden="1" outlineLevel="1" ht="25.5" customFormat="1" customHeight="1" s="96">
      <c r="A47" s="97" t="n"/>
      <c r="B47" s="98" t="inlineStr">
        <is>
          <t>21.1.08.03-0591</t>
        </is>
      </c>
      <c r="C47" s="99" t="inlineStr">
        <is>
          <t>Кабель контрольный КВВГЭнг(A)-LS 14х1,5</t>
        </is>
      </c>
      <c r="D47" s="97" t="inlineStr">
        <is>
          <t>1000 м</t>
        </is>
      </c>
      <c r="E47" s="217" t="n">
        <v>6.12</v>
      </c>
      <c r="F47" s="101" t="n">
        <v>63775.02</v>
      </c>
      <c r="G47" s="102">
        <f>ROUND(E47*F47,2)</f>
        <v/>
      </c>
      <c r="H47" s="103">
        <f>G47/$G$93</f>
        <v/>
      </c>
      <c r="I47" s="102" t="n"/>
      <c r="J47" s="102" t="n"/>
    </row>
    <row r="48" hidden="1" outlineLevel="1" ht="14.25" customFormat="1" customHeight="1" s="96">
      <c r="A48" s="89" t="n"/>
      <c r="B48" s="90" t="inlineStr">
        <is>
          <t>21.1.08.03-0573</t>
        </is>
      </c>
      <c r="C48" s="91" t="inlineStr">
        <is>
          <t>Кабель контрольный КВВГЭнг(A)-LS 4х1,5</t>
        </is>
      </c>
      <c r="D48" s="89" t="inlineStr">
        <is>
          <t>1000 м</t>
        </is>
      </c>
      <c r="E48" s="216" t="n">
        <v>6.12</v>
      </c>
      <c r="F48" s="93" t="n">
        <v>25034.13</v>
      </c>
      <c r="G48" s="94">
        <f>ROUND(E48*F48,2)</f>
        <v/>
      </c>
      <c r="H48" s="95">
        <f>G48/$G$93</f>
        <v/>
      </c>
      <c r="I48" s="94" t="n"/>
      <c r="J48" s="94" t="n"/>
    </row>
    <row r="49" collapsed="1" ht="14.25" customFormat="1" customHeight="1" s="1">
      <c r="A49" s="108" t="n"/>
      <c r="B49" s="177" t="n"/>
      <c r="C49" s="176" t="inlineStr">
        <is>
          <t>Итого основные материалы</t>
        </is>
      </c>
      <c r="D49" s="177" t="n"/>
      <c r="E49" s="208" t="n"/>
      <c r="F49" s="179" t="n"/>
      <c r="G49" s="14">
        <f>G45</f>
        <v/>
      </c>
      <c r="H49" s="189">
        <f>G49/$G$93</f>
        <v/>
      </c>
      <c r="I49" s="14" t="n"/>
      <c r="J49" s="14">
        <f>SUM(J45:J48)</f>
        <v/>
      </c>
      <c r="K49" s="210" t="n"/>
    </row>
    <row r="50" hidden="1" outlineLevel="1" ht="38.25" customFormat="1" customHeight="1" s="1">
      <c r="A50" s="191" t="n">
        <v>19</v>
      </c>
      <c r="B50" s="104" t="inlineStr">
        <is>
          <t>21.1.01.01-0001</t>
        </is>
      </c>
      <c r="C50" s="12" t="inlineStr">
        <is>
          <t>Кабель волоконно-оптический самонесущий биэлектрический ДСт-49-6z-6/32</t>
        </is>
      </c>
      <c r="D50" s="191" t="inlineStr">
        <is>
          <t>1000 м</t>
        </is>
      </c>
      <c r="E50" s="218" t="n">
        <v>0.7</v>
      </c>
      <c r="F50" s="13" t="n">
        <v>45920.85</v>
      </c>
      <c r="G50" s="106">
        <f>ROUND(F50*E50,2)</f>
        <v/>
      </c>
      <c r="H50" s="107">
        <f>G50/$G$93</f>
        <v/>
      </c>
      <c r="I50" s="106">
        <f>ROUND(F50*Прил.10!$D$12,2)</f>
        <v/>
      </c>
      <c r="J50" s="106">
        <f>ROUND(I50*E50,2)</f>
        <v/>
      </c>
    </row>
    <row r="51" hidden="1" outlineLevel="1" ht="25.5" customFormat="1" customHeight="1" s="1">
      <c r="A51" s="191" t="n">
        <v>20</v>
      </c>
      <c r="B51" s="104" t="inlineStr">
        <is>
          <t>10.3.02.03-0011</t>
        </is>
      </c>
      <c r="C51" s="12" t="inlineStr">
        <is>
          <t>Припои оловянно-свинцовые бессурьмянистые, марка ПОС30</t>
        </is>
      </c>
      <c r="D51" s="191" t="inlineStr">
        <is>
          <t>т</t>
        </is>
      </c>
      <c r="E51" s="218" t="n">
        <v>0.1224</v>
      </c>
      <c r="F51" s="13" t="n">
        <v>68050</v>
      </c>
      <c r="G51" s="106">
        <f>ROUND(F51*E51,2)</f>
        <v/>
      </c>
      <c r="H51" s="107">
        <f>G51/$G$93</f>
        <v/>
      </c>
      <c r="I51" s="106">
        <f>ROUND(F51*Прил.10!$D$12,2)</f>
        <v/>
      </c>
      <c r="J51" s="106">
        <f>ROUND(I51*E51,2)</f>
        <v/>
      </c>
    </row>
    <row r="52" hidden="1" outlineLevel="1" ht="38.25" customFormat="1" customHeight="1" s="1">
      <c r="A52" s="177" t="n">
        <v>21</v>
      </c>
      <c r="B52" s="34" t="inlineStr">
        <is>
          <t>24.3.01.02-0002</t>
        </is>
      </c>
      <c r="C52" s="176" t="inlineStr">
        <is>
          <t>Трубы гибкие гофрированные из самозатухающего ПВХ легкие с протяжкой, диаметр 25 мм</t>
        </is>
      </c>
      <c r="D52" s="177" t="inlineStr">
        <is>
          <t>м</t>
        </is>
      </c>
      <c r="E52" s="208" t="n">
        <v>714</v>
      </c>
      <c r="F52" s="195" t="n">
        <v>3.43</v>
      </c>
      <c r="G52" s="14">
        <f>ROUND(F52*E52,2)</f>
        <v/>
      </c>
      <c r="H52" s="189">
        <f>G52/$G$93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91" t="n">
        <v>22</v>
      </c>
      <c r="B53" s="34" t="inlineStr">
        <is>
          <t>01.7.06.07-0002</t>
        </is>
      </c>
      <c r="C53" s="176" t="inlineStr">
        <is>
          <t>Лента монтажная, тип ЛМ-5</t>
        </is>
      </c>
      <c r="D53" s="177" t="inlineStr">
        <is>
          <t>10 м</t>
        </is>
      </c>
      <c r="E53" s="208" t="n">
        <v>201.8</v>
      </c>
      <c r="F53" s="195" t="n">
        <v>6.9</v>
      </c>
      <c r="G53" s="14">
        <f>ROUND(F53*E53,2)</f>
        <v/>
      </c>
      <c r="H53" s="189">
        <f>G53/$G$93</f>
        <v/>
      </c>
      <c r="I53" s="14">
        <f>ROUND(F53*Прил.10!$D$12,2)</f>
        <v/>
      </c>
      <c r="J53" s="14">
        <f>ROUND(I53*E53,2)</f>
        <v/>
      </c>
    </row>
    <row r="54" hidden="1" outlineLevel="1" ht="51" customFormat="1" customHeight="1" s="1">
      <c r="A54" s="177" t="n">
        <v>23</v>
      </c>
      <c r="B54" s="34" t="inlineStr">
        <is>
          <t>08.3.06.01-0003</t>
        </is>
      </c>
      <c r="C54" s="17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4" s="177" t="inlineStr">
        <is>
          <t>т</t>
        </is>
      </c>
      <c r="E54" s="208" t="n">
        <v>0.098</v>
      </c>
      <c r="F54" s="195" t="n">
        <v>6834.81</v>
      </c>
      <c r="G54" s="14">
        <f>ROUND(F54*E54,2)</f>
        <v/>
      </c>
      <c r="H54" s="189">
        <f>G54/$G$93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91" t="n">
        <v>24</v>
      </c>
      <c r="B55" s="34" t="inlineStr">
        <is>
          <t>21.2.01.02-0141</t>
        </is>
      </c>
      <c r="C55" s="176" t="inlineStr">
        <is>
          <t>Провод неизолированный для воздушных линий электропередачи медные, марка М, сечение 4 мм2</t>
        </is>
      </c>
      <c r="D55" s="177" t="inlineStr">
        <is>
          <t>т</t>
        </is>
      </c>
      <c r="E55" s="208" t="n">
        <v>0.0066</v>
      </c>
      <c r="F55" s="195" t="n">
        <v>96440</v>
      </c>
      <c r="G55" s="14">
        <f>ROUND(F55*E55,2)</f>
        <v/>
      </c>
      <c r="H55" s="189">
        <f>G55/$G$93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7" t="n">
        <v>25</v>
      </c>
      <c r="B56" s="34" t="inlineStr">
        <is>
          <t>07.2.07.13-0171</t>
        </is>
      </c>
      <c r="C56" s="176" t="inlineStr">
        <is>
          <t>Подкладки металлические</t>
        </is>
      </c>
      <c r="D56" s="177" t="inlineStr">
        <is>
          <t>кг</t>
        </is>
      </c>
      <c r="E56" s="208" t="n">
        <v>42</v>
      </c>
      <c r="F56" s="195" t="n">
        <v>12.6</v>
      </c>
      <c r="G56" s="14">
        <f>ROUND(F56*E56,2)</f>
        <v/>
      </c>
      <c r="H56" s="189">
        <f>G56/$G$93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91" t="n">
        <v>26</v>
      </c>
      <c r="B57" s="34" t="inlineStr">
        <is>
          <t>20.1.02.06-0001</t>
        </is>
      </c>
      <c r="C57" s="176" t="inlineStr">
        <is>
          <t>Жир паяльный</t>
        </is>
      </c>
      <c r="D57" s="177" t="inlineStr">
        <is>
          <t>кг</t>
        </is>
      </c>
      <c r="E57" s="208" t="n">
        <v>4.8</v>
      </c>
      <c r="F57" s="195" t="n">
        <v>100.8</v>
      </c>
      <c r="G57" s="14">
        <f>ROUND(F57*E57,2)</f>
        <v/>
      </c>
      <c r="H57" s="189">
        <f>G57/$G$93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77" t="n">
        <v>27</v>
      </c>
      <c r="B58" s="34" t="inlineStr">
        <is>
          <t>999-9950</t>
        </is>
      </c>
      <c r="C58" s="176" t="inlineStr">
        <is>
          <t>Вспомогательные ненормируемые ресурсы (2% от Оплаты труда рабочих)</t>
        </is>
      </c>
      <c r="D58" s="177" t="inlineStr">
        <is>
          <t>руб</t>
        </is>
      </c>
      <c r="E58" s="208" t="n">
        <v>362.716</v>
      </c>
      <c r="F58" s="195" t="n">
        <v>1</v>
      </c>
      <c r="G58" s="14">
        <f>ROUND(F58*E58,2)</f>
        <v/>
      </c>
      <c r="H58" s="189">
        <f>G58/$G$93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91" t="n">
        <v>28</v>
      </c>
      <c r="B59" s="34" t="inlineStr">
        <is>
          <t>14.4.03.03-0002</t>
        </is>
      </c>
      <c r="C59" s="176" t="inlineStr">
        <is>
          <t>Лак битумный БТ-123</t>
        </is>
      </c>
      <c r="D59" s="177" t="inlineStr">
        <is>
          <t>т</t>
        </is>
      </c>
      <c r="E59" s="208" t="n">
        <v>0.0408</v>
      </c>
      <c r="F59" s="195" t="n">
        <v>7826.9</v>
      </c>
      <c r="G59" s="14">
        <f>ROUND(F59*E59,2)</f>
        <v/>
      </c>
      <c r="H59" s="189">
        <f>G59/$G$93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7" t="n">
        <v>29</v>
      </c>
      <c r="B60" s="34" t="inlineStr">
        <is>
          <t>25.2.01.01-0017</t>
        </is>
      </c>
      <c r="C60" s="176" t="inlineStr">
        <is>
          <t>Бирки маркировочные пластмассовые</t>
        </is>
      </c>
      <c r="D60" s="177" t="inlineStr">
        <is>
          <t>100 шт</t>
        </is>
      </c>
      <c r="E60" s="208" t="n">
        <v>6.6</v>
      </c>
      <c r="F60" s="195" t="n">
        <v>30.74</v>
      </c>
      <c r="G60" s="14">
        <f>ROUND(F60*E60,2)</f>
        <v/>
      </c>
      <c r="H60" s="189">
        <f>G60/$G$93</f>
        <v/>
      </c>
      <c r="I60" s="14">
        <f>ROUND(F60*Прил.10!$D$12,2)</f>
        <v/>
      </c>
      <c r="J60" s="14">
        <f>ROUND(I60*E60,2)</f>
        <v/>
      </c>
    </row>
    <row r="61" hidden="1" outlineLevel="1" ht="38.25" customFormat="1" customHeight="1" s="1">
      <c r="A61" s="191" t="n">
        <v>30</v>
      </c>
      <c r="B61" s="34" t="inlineStr">
        <is>
          <t>01.7.06.05-0041</t>
        </is>
      </c>
      <c r="C61" s="176" t="inlineStr">
        <is>
          <t>Лента изоляционная прорезиненная односторонняя, ширина 20 мм, толщина 0,25-0,35 мм</t>
        </is>
      </c>
      <c r="D61" s="177" t="inlineStr">
        <is>
          <t>кг</t>
        </is>
      </c>
      <c r="E61" s="208" t="n">
        <v>5.24</v>
      </c>
      <c r="F61" s="195" t="n">
        <v>30.4</v>
      </c>
      <c r="G61" s="14">
        <f>ROUND(F61*E61,2)</f>
        <v/>
      </c>
      <c r="H61" s="189">
        <f>G61/$G$93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7" t="n">
        <v>31</v>
      </c>
      <c r="B62" s="34" t="inlineStr">
        <is>
          <t>01.7.15.07-0152</t>
        </is>
      </c>
      <c r="C62" s="176" t="inlineStr">
        <is>
          <t>Дюбели с шурупом, размер 6х35 мм</t>
        </is>
      </c>
      <c r="D62" s="177" t="inlineStr">
        <is>
          <t>100 шт</t>
        </is>
      </c>
      <c r="E62" s="208" t="n">
        <v>12.25</v>
      </c>
      <c r="F62" s="195" t="n">
        <v>8</v>
      </c>
      <c r="G62" s="14">
        <f>ROUND(F62*E62,2)</f>
        <v/>
      </c>
      <c r="H62" s="189">
        <f>G62/$G$93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91" t="n">
        <v>32</v>
      </c>
      <c r="B63" s="34" t="inlineStr">
        <is>
          <t>10.3.02.03-0013</t>
        </is>
      </c>
      <c r="C63" s="176" t="inlineStr">
        <is>
          <t>Припои оловянно-свинцовые бессурьмянистые, марка ПОС61</t>
        </is>
      </c>
      <c r="D63" s="177" t="inlineStr">
        <is>
          <t>т</t>
        </is>
      </c>
      <c r="E63" s="208" t="n">
        <v>0.000528</v>
      </c>
      <c r="F63" s="195" t="n">
        <v>114220</v>
      </c>
      <c r="G63" s="14">
        <f>ROUND(F63*E63,2)</f>
        <v/>
      </c>
      <c r="H63" s="189">
        <f>G63/$G$93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7" t="n">
        <v>33</v>
      </c>
      <c r="B64" s="34" t="inlineStr">
        <is>
          <t>01.7.15.14-0165</t>
        </is>
      </c>
      <c r="C64" s="176" t="inlineStr">
        <is>
          <t>Шурупы с полукруглой головкой 4х40 мм</t>
        </is>
      </c>
      <c r="D64" s="177" t="inlineStr">
        <is>
          <t>т</t>
        </is>
      </c>
      <c r="E64" s="208" t="n">
        <v>0.0044</v>
      </c>
      <c r="F64" s="195" t="n">
        <v>12430</v>
      </c>
      <c r="G64" s="14">
        <f>ROUND(F64*E64,2)</f>
        <v/>
      </c>
      <c r="H64" s="189">
        <f>G64/$G$93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91" t="n">
        <v>34</v>
      </c>
      <c r="B65" s="34" t="inlineStr">
        <is>
          <t>20.2.01.05-0005</t>
        </is>
      </c>
      <c r="C65" s="176" t="inlineStr">
        <is>
          <t>Гильзы кабельные медные ГМ 16</t>
        </is>
      </c>
      <c r="D65" s="177" t="inlineStr">
        <is>
          <t>100 шт</t>
        </is>
      </c>
      <c r="E65" s="208" t="n">
        <v>0.35</v>
      </c>
      <c r="F65" s="195" t="n">
        <v>143</v>
      </c>
      <c r="G65" s="14">
        <f>ROUND(F65*E65,2)</f>
        <v/>
      </c>
      <c r="H65" s="189">
        <f>G65/$G$93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77" t="n">
        <v>35</v>
      </c>
      <c r="B66" s="34" t="inlineStr">
        <is>
          <t>01.7.15.03-0034</t>
        </is>
      </c>
      <c r="C66" s="176" t="inlineStr">
        <is>
          <t>Болты с гайками и шайбами оцинкованные, диаметр 12 мм</t>
        </is>
      </c>
      <c r="D66" s="177" t="inlineStr">
        <is>
          <t>кг</t>
        </is>
      </c>
      <c r="E66" s="208" t="n">
        <v>1.6646</v>
      </c>
      <c r="F66" s="195" t="n">
        <v>25.76</v>
      </c>
      <c r="G66" s="14">
        <f>ROUND(F66*E66,2)</f>
        <v/>
      </c>
      <c r="H66" s="189">
        <f>G66/$G$93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91" t="n">
        <v>36</v>
      </c>
      <c r="B67" s="34" t="inlineStr">
        <is>
          <t>20.2.10.03-0020</t>
        </is>
      </c>
      <c r="C67" s="176" t="inlineStr">
        <is>
          <t>Наконечники кабельные П2.5-4Д-МУ3</t>
        </is>
      </c>
      <c r="D67" s="177" t="inlineStr">
        <is>
          <t>100 шт</t>
        </is>
      </c>
      <c r="E67" s="208" t="n">
        <v>0.1</v>
      </c>
      <c r="F67" s="195" t="n">
        <v>203</v>
      </c>
      <c r="G67" s="14">
        <f>ROUND(F67*E67,2)</f>
        <v/>
      </c>
      <c r="H67" s="189">
        <f>G67/$G$93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7" t="n">
        <v>37</v>
      </c>
      <c r="B68" s="34" t="inlineStr">
        <is>
          <t>01.3.01.05-0009</t>
        </is>
      </c>
      <c r="C68" s="176" t="inlineStr">
        <is>
          <t>Парафин нефтяной твердый Т-1</t>
        </is>
      </c>
      <c r="D68" s="177" t="inlineStr">
        <is>
          <t>т</t>
        </is>
      </c>
      <c r="E68" s="208" t="n">
        <v>0.0024</v>
      </c>
      <c r="F68" s="195" t="n">
        <v>8105.71</v>
      </c>
      <c r="G68" s="14">
        <f>ROUND(F68*E68,2)</f>
        <v/>
      </c>
      <c r="H68" s="189">
        <f>G68/$G$93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91" t="n">
        <v>38</v>
      </c>
      <c r="B69" s="34" t="inlineStr">
        <is>
          <t>25.2.02.11-0041</t>
        </is>
      </c>
      <c r="C69" s="176" t="inlineStr">
        <is>
          <t>Рамка для надписей 55х15 мм</t>
        </is>
      </c>
      <c r="D69" s="177" t="inlineStr">
        <is>
          <t>шт</t>
        </is>
      </c>
      <c r="E69" s="208" t="n">
        <v>70</v>
      </c>
      <c r="F69" s="195" t="n">
        <v>0.27</v>
      </c>
      <c r="G69" s="14">
        <f>ROUND(F69*E69,2)</f>
        <v/>
      </c>
      <c r="H69" s="189">
        <f>G69/$G$93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7" t="n">
        <v>39</v>
      </c>
      <c r="B70" s="34" t="inlineStr">
        <is>
          <t>01.7.11.07-0032</t>
        </is>
      </c>
      <c r="C70" s="176" t="inlineStr">
        <is>
          <t>Электроды сварочные Э42, диаметр 4 мм</t>
        </is>
      </c>
      <c r="D70" s="177" t="inlineStr">
        <is>
          <t>т</t>
        </is>
      </c>
      <c r="E70" s="208" t="n">
        <v>0.00168</v>
      </c>
      <c r="F70" s="195" t="n">
        <v>10315.01</v>
      </c>
      <c r="G70" s="14">
        <f>ROUND(F70*E70,2)</f>
        <v/>
      </c>
      <c r="H70" s="189">
        <f>G70/$G$93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91" t="n">
        <v>40</v>
      </c>
      <c r="B71" s="34" t="inlineStr">
        <is>
          <t>20.2.02.01-0013</t>
        </is>
      </c>
      <c r="C71" s="176" t="inlineStr">
        <is>
          <t>Втулки, диаметр 28 мм</t>
        </is>
      </c>
      <c r="D71" s="177" t="inlineStr">
        <is>
          <t>1000 шт</t>
        </is>
      </c>
      <c r="E71" s="208" t="n">
        <v>0.0854</v>
      </c>
      <c r="F71" s="195" t="n">
        <v>176.21</v>
      </c>
      <c r="G71" s="14">
        <f>ROUND(F71*E71,2)</f>
        <v/>
      </c>
      <c r="H71" s="189">
        <f>G71/$G$93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77" t="n">
        <v>41</v>
      </c>
      <c r="B72" s="34" t="inlineStr">
        <is>
          <t>01.7.07.20-0002</t>
        </is>
      </c>
      <c r="C72" s="176" t="inlineStr">
        <is>
          <t>Тальк молотый, сорт I</t>
        </is>
      </c>
      <c r="D72" s="177" t="inlineStr">
        <is>
          <t>т</t>
        </is>
      </c>
      <c r="E72" s="208" t="n">
        <v>0.00735</v>
      </c>
      <c r="F72" s="195" t="n">
        <v>1820</v>
      </c>
      <c r="G72" s="14">
        <f>ROUND(F72*E72,2)</f>
        <v/>
      </c>
      <c r="H72" s="189">
        <f>G72/$G$93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91" t="n">
        <v>42</v>
      </c>
      <c r="B73" s="34" t="inlineStr">
        <is>
          <t>24.3.01.01-0002</t>
        </is>
      </c>
      <c r="C73" s="176" t="inlineStr">
        <is>
          <t>Трубка полихлорвиниловая</t>
        </is>
      </c>
      <c r="D73" s="177" t="inlineStr">
        <is>
          <t>кг</t>
        </is>
      </c>
      <c r="E73" s="208" t="n">
        <v>0.264</v>
      </c>
      <c r="F73" s="195" t="n">
        <v>35.7</v>
      </c>
      <c r="G73" s="14">
        <f>ROUND(F73*E73,2)</f>
        <v/>
      </c>
      <c r="H73" s="189">
        <f>G73/$G$93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">
      <c r="A74" s="177" t="n">
        <v>43</v>
      </c>
      <c r="B74" s="34" t="inlineStr">
        <is>
          <t>01.7.15.07-0012</t>
        </is>
      </c>
      <c r="C74" s="176" t="inlineStr">
        <is>
          <t>Дюбели пластмассовые с шурупами, размер 12х70 мм</t>
        </is>
      </c>
      <c r="D74" s="177" t="inlineStr">
        <is>
          <t>100 шт</t>
        </is>
      </c>
      <c r="E74" s="208" t="n">
        <v>0.1</v>
      </c>
      <c r="F74" s="195" t="n">
        <v>83</v>
      </c>
      <c r="G74" s="14">
        <f>ROUND(F74*E74,2)</f>
        <v/>
      </c>
      <c r="H74" s="189">
        <f>G74/$G$93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">
      <c r="A75" s="191" t="n">
        <v>44</v>
      </c>
      <c r="B75" s="34" t="inlineStr">
        <is>
          <t>01.3.01.07-0009</t>
        </is>
      </c>
      <c r="C75" s="176" t="inlineStr">
        <is>
          <t>Спирт этиловый ректификованный технический, сорт I</t>
        </is>
      </c>
      <c r="D75" s="177" t="inlineStr">
        <is>
          <t>кг</t>
        </is>
      </c>
      <c r="E75" s="208" t="n">
        <v>0.1914</v>
      </c>
      <c r="F75" s="195" t="n">
        <v>38.89</v>
      </c>
      <c r="G75" s="14">
        <f>ROUND(F75*E75,2)</f>
        <v/>
      </c>
      <c r="H75" s="189">
        <f>G75/$G$93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77" t="n">
        <v>45</v>
      </c>
      <c r="B76" s="34" t="inlineStr">
        <is>
          <t>14.4.02.09-0001</t>
        </is>
      </c>
      <c r="C76" s="176" t="inlineStr">
        <is>
          <t>Краска</t>
        </is>
      </c>
      <c r="D76" s="177" t="inlineStr">
        <is>
          <t>кг</t>
        </is>
      </c>
      <c r="E76" s="208" t="n">
        <v>0.14</v>
      </c>
      <c r="F76" s="195" t="n">
        <v>28.6</v>
      </c>
      <c r="G76" s="14">
        <f>ROUND(F76*E76,2)</f>
        <v/>
      </c>
      <c r="H76" s="189">
        <f>G76/$G$93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91" t="n">
        <v>46</v>
      </c>
      <c r="B77" s="34" t="inlineStr">
        <is>
          <t>14.4.04.09-0017</t>
        </is>
      </c>
      <c r="C77" s="176" t="inlineStr">
        <is>
          <t>Эмаль ХВ-124, защитная, зеленая</t>
        </is>
      </c>
      <c r="D77" s="177" t="inlineStr">
        <is>
          <t>т</t>
        </is>
      </c>
      <c r="E77" s="208" t="n">
        <v>0.00014</v>
      </c>
      <c r="F77" s="195" t="n">
        <v>28300.4</v>
      </c>
      <c r="G77" s="14">
        <f>ROUND(F77*E77,2)</f>
        <v/>
      </c>
      <c r="H77" s="189">
        <f>G77/$G$93</f>
        <v/>
      </c>
      <c r="I77" s="14">
        <f>ROUND(F77*Прил.10!$D$12,2)</f>
        <v/>
      </c>
      <c r="J77" s="14">
        <f>ROUND(I77*E77,2)</f>
        <v/>
      </c>
    </row>
    <row r="78" hidden="1" outlineLevel="1" ht="25.5" customFormat="1" customHeight="1" s="1">
      <c r="A78" s="177" t="n">
        <v>47</v>
      </c>
      <c r="B78" s="34" t="inlineStr">
        <is>
          <t>10.3.02.03-0012</t>
        </is>
      </c>
      <c r="C78" s="176" t="inlineStr">
        <is>
          <t>Припои оловянно-свинцовые бессурьмянистые, марка ПОС40</t>
        </is>
      </c>
      <c r="D78" s="177" t="inlineStr">
        <is>
          <t>т</t>
        </is>
      </c>
      <c r="E78" s="208" t="n">
        <v>6e-05</v>
      </c>
      <c r="F78" s="195" t="n">
        <v>65750</v>
      </c>
      <c r="G78" s="14">
        <f>ROUND(F78*E78,2)</f>
        <v/>
      </c>
      <c r="H78" s="189">
        <f>G78/$G$93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">
      <c r="A79" s="191" t="n">
        <v>48</v>
      </c>
      <c r="B79" s="34" t="inlineStr">
        <is>
          <t>01.3.05.17-0002</t>
        </is>
      </c>
      <c r="C79" s="176" t="inlineStr">
        <is>
          <t>Канифоль сосновая</t>
        </is>
      </c>
      <c r="D79" s="177" t="inlineStr">
        <is>
          <t>кг</t>
        </is>
      </c>
      <c r="E79" s="208" t="n">
        <v>0.1354</v>
      </c>
      <c r="F79" s="195" t="n">
        <v>27.74</v>
      </c>
      <c r="G79" s="14">
        <f>ROUND(F79*E79,2)</f>
        <v/>
      </c>
      <c r="H79" s="189">
        <f>G79/$G$93</f>
        <v/>
      </c>
      <c r="I79" s="14">
        <f>ROUND(F79*Прил.10!$D$12,2)</f>
        <v/>
      </c>
      <c r="J79" s="14">
        <f>ROUND(I79*E79,2)</f>
        <v/>
      </c>
    </row>
    <row r="80" hidden="1" outlineLevel="1" ht="38.25" customFormat="1" customHeight="1" s="1">
      <c r="A80" s="177" t="n">
        <v>49</v>
      </c>
      <c r="B80" s="34" t="inlineStr">
        <is>
          <t>10.2.02.08-0001</t>
        </is>
      </c>
      <c r="C80" s="176" t="inlineStr">
        <is>
          <t>Проволока медная, круглая, мягкая, электротехническая, диаметр 1,0-3,0 мм и выше</t>
        </is>
      </c>
      <c r="D80" s="177" t="inlineStr">
        <is>
          <t>т</t>
        </is>
      </c>
      <c r="E80" s="208" t="n">
        <v>0.0001</v>
      </c>
      <c r="F80" s="195" t="n">
        <v>37517</v>
      </c>
      <c r="G80" s="14">
        <f>ROUND(F80*E80,2)</f>
        <v/>
      </c>
      <c r="H80" s="189">
        <f>G80/$G$93</f>
        <v/>
      </c>
      <c r="I80" s="14">
        <f>ROUND(F80*Прил.10!$D$12,2)</f>
        <v/>
      </c>
      <c r="J80" s="14">
        <f>ROUND(I80*E80,2)</f>
        <v/>
      </c>
    </row>
    <row r="81" hidden="1" outlineLevel="1" ht="25.5" customFormat="1" customHeight="1" s="1">
      <c r="A81" s="191" t="n">
        <v>50</v>
      </c>
      <c r="B81" s="34" t="inlineStr">
        <is>
          <t>24.3.01.01-0004</t>
        </is>
      </c>
      <c r="C81" s="176" t="inlineStr">
        <is>
          <t>Трубка электроизоляционная ПВХ-305, диаметр 6-10 мм</t>
        </is>
      </c>
      <c r="D81" s="177" t="inlineStr">
        <is>
          <t>кг</t>
        </is>
      </c>
      <c r="E81" s="208" t="n">
        <v>0.08</v>
      </c>
      <c r="F81" s="195" t="n">
        <v>38.34</v>
      </c>
      <c r="G81" s="14">
        <f>ROUND(F81*E81,2)</f>
        <v/>
      </c>
      <c r="H81" s="189">
        <f>G81/$G$93</f>
        <v/>
      </c>
      <c r="I81" s="14">
        <f>ROUND(F81*Прил.10!$D$12,2)</f>
        <v/>
      </c>
      <c r="J81" s="14">
        <f>ROUND(I81*E81,2)</f>
        <v/>
      </c>
    </row>
    <row r="82" hidden="1" outlineLevel="1" ht="14.25" customFormat="1" customHeight="1" s="1">
      <c r="A82" s="177" t="n">
        <v>51</v>
      </c>
      <c r="B82" s="34" t="inlineStr">
        <is>
          <t>01.7.15.03-0042</t>
        </is>
      </c>
      <c r="C82" s="176" t="inlineStr">
        <is>
          <t>Болты с гайками и шайбами строительные</t>
        </is>
      </c>
      <c r="D82" s="177" t="inlineStr">
        <is>
          <t>кг</t>
        </is>
      </c>
      <c r="E82" s="208" t="n">
        <v>0.3</v>
      </c>
      <c r="F82" s="195" t="n">
        <v>9.039999999999999</v>
      </c>
      <c r="G82" s="14">
        <f>ROUND(F82*E82,2)</f>
        <v/>
      </c>
      <c r="H82" s="189">
        <f>G82/$G$93</f>
        <v/>
      </c>
      <c r="I82" s="14">
        <f>ROUND(F82*Прил.10!$D$12,2)</f>
        <v/>
      </c>
      <c r="J82" s="14">
        <f>ROUND(I82*E82,2)</f>
        <v/>
      </c>
    </row>
    <row r="83" hidden="1" outlineLevel="1" ht="38.25" customFormat="1" customHeight="1" s="1">
      <c r="A83" s="191" t="n">
        <v>52</v>
      </c>
      <c r="B83" s="34" t="inlineStr">
        <is>
          <t>01.7.06.05-0042</t>
        </is>
      </c>
      <c r="C83" s="176" t="inlineStr">
        <is>
          <t>Лента липкая изоляционная на поликасиновом компаунде, ширина 20-30 мм, толщина от 0,14 до 0,19 мм</t>
        </is>
      </c>
      <c r="D83" s="177" t="inlineStr">
        <is>
          <t>кг</t>
        </is>
      </c>
      <c r="E83" s="208" t="n">
        <v>0.02</v>
      </c>
      <c r="F83" s="195" t="n">
        <v>91.29000000000001</v>
      </c>
      <c r="G83" s="14">
        <f>ROUND(F83*E83,2)</f>
        <v/>
      </c>
      <c r="H83" s="189">
        <f>G83/$G$93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">
      <c r="A84" s="177" t="n">
        <v>53</v>
      </c>
      <c r="B84" s="34" t="inlineStr">
        <is>
          <t>14.4.01.01-0003</t>
        </is>
      </c>
      <c r="C84" s="176" t="inlineStr">
        <is>
          <t>Грунтовка ГФ-021</t>
        </is>
      </c>
      <c r="D84" s="177" t="inlineStr">
        <is>
          <t>т</t>
        </is>
      </c>
      <c r="E84" s="208" t="n">
        <v>6.999999999999999e-05</v>
      </c>
      <c r="F84" s="195" t="n">
        <v>15620</v>
      </c>
      <c r="G84" s="14">
        <f>ROUND(F84*E84,2)</f>
        <v/>
      </c>
      <c r="H84" s="189">
        <f>G84/$G$93</f>
        <v/>
      </c>
      <c r="I84" s="14">
        <f>ROUND(F84*Прил.10!$D$12,2)</f>
        <v/>
      </c>
      <c r="J84" s="14">
        <f>ROUND(I84*E84,2)</f>
        <v/>
      </c>
    </row>
    <row r="85" hidden="1" outlineLevel="1" ht="14.25" customFormat="1" customHeight="1" s="1">
      <c r="A85" s="191" t="n">
        <v>54</v>
      </c>
      <c r="B85" s="34" t="inlineStr">
        <is>
          <t>14.4.03.17-0011</t>
        </is>
      </c>
      <c r="C85" s="176" t="inlineStr">
        <is>
          <t>Лак электроизоляционный 318</t>
        </is>
      </c>
      <c r="D85" s="177" t="inlineStr">
        <is>
          <t>кг</t>
        </is>
      </c>
      <c r="E85" s="208" t="n">
        <v>0.03</v>
      </c>
      <c r="F85" s="195" t="n">
        <v>35.63</v>
      </c>
      <c r="G85" s="14">
        <f>ROUND(F85*E85,2)</f>
        <v/>
      </c>
      <c r="H85" s="189">
        <f>G85/$G$93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">
      <c r="A86" s="177" t="n">
        <v>55</v>
      </c>
      <c r="B86" s="34" t="inlineStr">
        <is>
          <t>01.3.05.11-0001</t>
        </is>
      </c>
      <c r="C86" s="176" t="inlineStr">
        <is>
          <t>Дихлорэтан технический, сорт I</t>
        </is>
      </c>
      <c r="D86" s="177" t="inlineStr">
        <is>
          <t>т</t>
        </is>
      </c>
      <c r="E86" s="208" t="n">
        <v>0.000132</v>
      </c>
      <c r="F86" s="195" t="n">
        <v>4934.48</v>
      </c>
      <c r="G86" s="14">
        <f>ROUND(F86*E86,2)</f>
        <v/>
      </c>
      <c r="H86" s="189">
        <f>G86/$G$93</f>
        <v/>
      </c>
      <c r="I86" s="14">
        <f>ROUND(F86*Прил.10!$D$12,2)</f>
        <v/>
      </c>
      <c r="J86" s="14">
        <f>ROUND(I86*E86,2)</f>
        <v/>
      </c>
    </row>
    <row r="87" hidden="1" outlineLevel="1" ht="14.25" customFormat="1" customHeight="1" s="1">
      <c r="A87" s="191" t="n">
        <v>56</v>
      </c>
      <c r="B87" s="34" t="inlineStr">
        <is>
          <t>14.5.09.07-0030</t>
        </is>
      </c>
      <c r="C87" s="176" t="inlineStr">
        <is>
          <t>Растворитель Р-4</t>
        </is>
      </c>
      <c r="D87" s="177" t="inlineStr">
        <is>
          <t>кг</t>
        </is>
      </c>
      <c r="E87" s="208" t="n">
        <v>0.07000000000000001</v>
      </c>
      <c r="F87" s="195" t="n">
        <v>9.42</v>
      </c>
      <c r="G87" s="14">
        <f>ROUND(F87*E87,2)</f>
        <v/>
      </c>
      <c r="H87" s="189">
        <f>G87/$G$93</f>
        <v/>
      </c>
      <c r="I87" s="14">
        <f>ROUND(F87*Прил.10!$D$12,2)</f>
        <v/>
      </c>
      <c r="J87" s="14">
        <f>ROUND(I87*E87,2)</f>
        <v/>
      </c>
    </row>
    <row r="88" hidden="1" outlineLevel="1" ht="14.25" customFormat="1" customHeight="1" s="1">
      <c r="A88" s="177" t="n">
        <v>57</v>
      </c>
      <c r="B88" s="34" t="inlineStr">
        <is>
          <t>14.5.09.11-0102</t>
        </is>
      </c>
      <c r="C88" s="176" t="inlineStr">
        <is>
          <t>Уайт-спирит</t>
        </is>
      </c>
      <c r="D88" s="177" t="inlineStr">
        <is>
          <t>кг</t>
        </is>
      </c>
      <c r="E88" s="208" t="n">
        <v>0.07000000000000001</v>
      </c>
      <c r="F88" s="195" t="n">
        <v>6.67</v>
      </c>
      <c r="G88" s="14">
        <f>ROUND(F88*E88,2)</f>
        <v/>
      </c>
      <c r="H88" s="189">
        <f>G88/$G$93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">
      <c r="A89" s="191" t="n">
        <v>58</v>
      </c>
      <c r="B89" s="34" t="inlineStr">
        <is>
          <t>14.3.02.01-0219</t>
        </is>
      </c>
      <c r="C89" s="176" t="inlineStr">
        <is>
          <t>Краска универсальная, акриловая для внутренних и наружных работ</t>
        </is>
      </c>
      <c r="D89" s="177" t="inlineStr">
        <is>
          <t>т</t>
        </is>
      </c>
      <c r="E89" s="208" t="n">
        <v>2e-05</v>
      </c>
      <c r="F89" s="195" t="n">
        <v>15481</v>
      </c>
      <c r="G89" s="14">
        <f>ROUND(F89*E89,2)</f>
        <v/>
      </c>
      <c r="H89" s="189">
        <f>G89/$G$93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">
      <c r="A90" s="177" t="n">
        <v>59</v>
      </c>
      <c r="B90" s="34" t="inlineStr">
        <is>
          <t>22.2.02.15-0001</t>
        </is>
      </c>
      <c r="C90" s="176" t="inlineStr">
        <is>
          <t>Скрепы 10х2 мм</t>
        </is>
      </c>
      <c r="D90" s="177" t="inlineStr">
        <is>
          <t>кг</t>
        </is>
      </c>
      <c r="E90" s="208" t="n">
        <v>0.02</v>
      </c>
      <c r="F90" s="195" t="n">
        <v>15.37</v>
      </c>
      <c r="G90" s="14">
        <f>ROUND(F90*E90,2)</f>
        <v/>
      </c>
      <c r="H90" s="189">
        <f>G90/$G$93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">
      <c r="A91" s="191" t="n">
        <v>60</v>
      </c>
      <c r="B91" s="34" t="inlineStr">
        <is>
          <t>03.1.01.01-0002</t>
        </is>
      </c>
      <c r="C91" s="176" t="inlineStr">
        <is>
          <t>Гипс строительный Г-3</t>
        </is>
      </c>
      <c r="D91" s="177" t="inlineStr">
        <is>
          <t>т</t>
        </is>
      </c>
      <c r="E91" s="208" t="n">
        <v>0.0003</v>
      </c>
      <c r="F91" s="195" t="n">
        <v>729.98</v>
      </c>
      <c r="G91" s="14">
        <f>ROUND(F91*E91,2)</f>
        <v/>
      </c>
      <c r="H91" s="189">
        <f>G91/$G$93</f>
        <v/>
      </c>
      <c r="I91" s="14">
        <f>ROUND(F91*Прил.10!$D$12,2)</f>
        <v/>
      </c>
      <c r="J91" s="14">
        <f>ROUND(I91*E91,2)</f>
        <v/>
      </c>
    </row>
    <row r="92" collapsed="1" customFormat="1" s="1">
      <c r="A92" s="177" t="n"/>
      <c r="B92" s="177" t="n"/>
      <c r="C92" s="176" t="inlineStr">
        <is>
          <t>Итого прочие материалы</t>
        </is>
      </c>
      <c r="D92" s="177" t="n"/>
      <c r="E92" s="178" t="n"/>
      <c r="F92" s="179" t="n"/>
      <c r="G92" s="14">
        <f>SUM(G50:G91)</f>
        <v/>
      </c>
      <c r="H92" s="189">
        <f>G92/G93</f>
        <v/>
      </c>
      <c r="I92" s="14" t="n"/>
      <c r="J92" s="14">
        <f>SUM(J50:J91)</f>
        <v/>
      </c>
      <c r="L92" s="213" t="n"/>
    </row>
    <row r="93" ht="14.25" customFormat="1" customHeight="1" s="1">
      <c r="A93" s="177" t="n"/>
      <c r="B93" s="177" t="n"/>
      <c r="C93" s="188" t="inlineStr">
        <is>
          <t>Итого по разделу «Материалы»</t>
        </is>
      </c>
      <c r="D93" s="177" t="n"/>
      <c r="E93" s="178" t="n"/>
      <c r="F93" s="179" t="n"/>
      <c r="G93" s="14">
        <f>G49+G92</f>
        <v/>
      </c>
      <c r="H93" s="189" t="n">
        <v>1</v>
      </c>
      <c r="I93" s="179" t="n"/>
      <c r="J93" s="14">
        <f>J49+J92</f>
        <v/>
      </c>
      <c r="K93" s="210" t="n"/>
    </row>
    <row r="94" ht="14.25" customFormat="1" customHeight="1" s="1">
      <c r="A94" s="177" t="n"/>
      <c r="B94" s="177" t="n"/>
      <c r="C94" s="176" t="inlineStr">
        <is>
          <t>ИТОГО ПО РМ</t>
        </is>
      </c>
      <c r="D94" s="177" t="n"/>
      <c r="E94" s="178" t="n"/>
      <c r="F94" s="179" t="n"/>
      <c r="G94" s="14">
        <f>G16+G30+G93</f>
        <v/>
      </c>
      <c r="H94" s="189" t="n"/>
      <c r="I94" s="179" t="n"/>
      <c r="J94" s="14">
        <f>J16+J30+J93</f>
        <v/>
      </c>
    </row>
    <row r="95" ht="14.25" customFormat="1" customHeight="1" s="1">
      <c r="A95" s="177" t="n"/>
      <c r="B95" s="177" t="n"/>
      <c r="C95" s="176" t="inlineStr">
        <is>
          <t>Накладные расходы</t>
        </is>
      </c>
      <c r="D95" s="177" t="inlineStr">
        <is>
          <t>%</t>
        </is>
      </c>
      <c r="E95" s="42">
        <f>ROUND(G95/(G16+G18),2)</f>
        <v/>
      </c>
      <c r="F95" s="179" t="n"/>
      <c r="G95" s="14" t="n">
        <v>18690.35</v>
      </c>
      <c r="H95" s="189" t="n"/>
      <c r="I95" s="179" t="n"/>
      <c r="J95" s="14">
        <f>ROUND(E95*(J16+J18),2)</f>
        <v/>
      </c>
      <c r="K95" s="43" t="n"/>
    </row>
    <row r="96" ht="14.25" customFormat="1" customHeight="1" s="1">
      <c r="A96" s="177" t="n"/>
      <c r="B96" s="177" t="n"/>
      <c r="C96" s="176" t="inlineStr">
        <is>
          <t>Сметная прибыль</t>
        </is>
      </c>
      <c r="D96" s="177" t="inlineStr">
        <is>
          <t>%</t>
        </is>
      </c>
      <c r="E96" s="42">
        <f>ROUND(G96/(G16+G18),2)</f>
        <v/>
      </c>
      <c r="F96" s="179" t="n"/>
      <c r="G96" s="14" t="n">
        <v>9807.049999999999</v>
      </c>
      <c r="H96" s="189" t="n"/>
      <c r="I96" s="179" t="n"/>
      <c r="J96" s="14">
        <f>ROUND(E96*(J16+J18),2)</f>
        <v/>
      </c>
      <c r="K96" s="43" t="n"/>
    </row>
    <row r="97" ht="14.25" customFormat="1" customHeight="1" s="1">
      <c r="A97" s="177" t="n"/>
      <c r="B97" s="177" t="n"/>
      <c r="C97" s="176" t="inlineStr">
        <is>
          <t>Итого СМР (с НР и СП)</t>
        </is>
      </c>
      <c r="D97" s="177" t="n"/>
      <c r="E97" s="178" t="n"/>
      <c r="F97" s="179" t="n"/>
      <c r="G97" s="14">
        <f>G16+G30+G93+G95+G96</f>
        <v/>
      </c>
      <c r="H97" s="189" t="n"/>
      <c r="I97" s="179" t="n"/>
      <c r="J97" s="14">
        <f>J16+J30+J93+J95+J96</f>
        <v/>
      </c>
      <c r="L97" s="44" t="n"/>
    </row>
    <row r="98" ht="14.25" customFormat="1" customHeight="1" s="1">
      <c r="A98" s="177" t="n"/>
      <c r="B98" s="177" t="n"/>
      <c r="C98" s="176" t="inlineStr">
        <is>
          <t>ВСЕГО СМР + ОБОРУДОВАНИЕ</t>
        </is>
      </c>
      <c r="D98" s="177" t="n"/>
      <c r="E98" s="178" t="n"/>
      <c r="F98" s="179" t="n"/>
      <c r="G98" s="14">
        <f>G97+G41</f>
        <v/>
      </c>
      <c r="H98" s="189" t="n"/>
      <c r="I98" s="179" t="n"/>
      <c r="J98" s="14">
        <f>J97+J41</f>
        <v/>
      </c>
      <c r="L98" s="43" t="n"/>
    </row>
    <row r="99" ht="14.25" customFormat="1" customHeight="1" s="1">
      <c r="A99" s="177" t="n"/>
      <c r="B99" s="177" t="n"/>
      <c r="C99" s="176" t="inlineStr">
        <is>
          <t>ИТОГО ПОКАЗАТЕЛЬ НА ЕД. ИЗМ.</t>
        </is>
      </c>
      <c r="D99" s="177" t="inlineStr">
        <is>
          <t>ед.</t>
        </is>
      </c>
      <c r="E99" s="45" t="n">
        <v>1</v>
      </c>
      <c r="F99" s="179" t="n"/>
      <c r="G99" s="14">
        <f>G98/E99</f>
        <v/>
      </c>
      <c r="H99" s="189" t="n"/>
      <c r="I99" s="179" t="n"/>
      <c r="J99" s="14">
        <f>J98/E99</f>
        <v/>
      </c>
      <c r="L99" s="207" t="n"/>
    </row>
    <row r="101" ht="14.25" customFormat="1" customHeight="1" s="1">
      <c r="A101" s="10" t="n"/>
    </row>
    <row r="102" ht="14.25" customFormat="1" customHeight="1" s="1">
      <c r="B102" s="6" t="inlineStr">
        <is>
          <t>Составил ______________________        Е.А. Князева</t>
        </is>
      </c>
    </row>
    <row r="103" ht="14.25" customFormat="1" customHeight="1" s="1">
      <c r="B103" s="49" t="inlineStr">
        <is>
          <t xml:space="preserve">                         (подпись, инициалы, фамилия)</t>
        </is>
      </c>
    </row>
    <row r="104" ht="14.25" customFormat="1" customHeight="1" s="1">
      <c r="B104" s="6" t="n"/>
    </row>
    <row r="105" ht="14.25" customFormat="1" customHeight="1" s="1">
      <c r="B105" s="6" t="inlineStr">
        <is>
          <t>Проверил ______________________        А.В. Костянецкая</t>
        </is>
      </c>
    </row>
    <row r="106" ht="14.25" customFormat="1" customHeight="1" s="1">
      <c r="B106" s="49" t="inlineStr">
        <is>
          <t xml:space="preserve">                        (подпись, инициалы, фамилия)</t>
        </is>
      </c>
    </row>
  </sheetData>
  <mergeCells count="19">
    <mergeCell ref="H9:H10"/>
    <mergeCell ref="B20:H20"/>
    <mergeCell ref="C9:C10"/>
    <mergeCell ref="E9:E10"/>
    <mergeCell ref="A7:H7"/>
    <mergeCell ref="B9:B10"/>
    <mergeCell ref="D9:D10"/>
    <mergeCell ref="B32:J32"/>
    <mergeCell ref="B12:H12"/>
    <mergeCell ref="D6:J6"/>
    <mergeCell ref="F9:G9"/>
    <mergeCell ref="A4:H4"/>
    <mergeCell ref="B17:H17"/>
    <mergeCell ref="A9:A10"/>
    <mergeCell ref="B44:H44"/>
    <mergeCell ref="B31:J31"/>
    <mergeCell ref="B43:J43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0" workbookViewId="0">
      <selection activeCell="C23" sqref="C23"/>
    </sheetView>
  </sheetViews>
  <sheetFormatPr baseColWidth="8" defaultRowHeight="15"/>
  <cols>
    <col width="5.7109375" customWidth="1" style="152" min="1" max="1"/>
    <col width="14.85546875" customWidth="1" style="152" min="2" max="2"/>
    <col width="39.140625" customWidth="1" style="152" min="3" max="3"/>
    <col width="8.28515625" customWidth="1" style="152" min="4" max="4"/>
    <col width="13.5703125" customWidth="1" style="152" min="5" max="5"/>
    <col width="12.42578125" customWidth="1" style="152" min="6" max="6"/>
    <col width="14.140625" customWidth="1" style="152" min="7" max="7"/>
  </cols>
  <sheetData>
    <row r="1">
      <c r="A1" s="196" t="inlineStr">
        <is>
          <t>Приложение №6</t>
        </is>
      </c>
    </row>
    <row r="2">
      <c r="A2" s="196" t="n"/>
      <c r="B2" s="196" t="n"/>
      <c r="C2" s="196" t="n"/>
      <c r="D2" s="196" t="n"/>
      <c r="E2" s="196" t="n"/>
      <c r="F2" s="196" t="n"/>
      <c r="G2" s="196" t="n"/>
    </row>
    <row r="3">
      <c r="A3" s="196" t="n"/>
      <c r="B3" s="196" t="n"/>
      <c r="C3" s="196" t="n"/>
      <c r="D3" s="196" t="n"/>
      <c r="E3" s="196" t="n"/>
      <c r="F3" s="196" t="n"/>
      <c r="G3" s="196" t="n"/>
    </row>
    <row r="4">
      <c r="A4" s="196" t="n"/>
      <c r="B4" s="196" t="n"/>
      <c r="C4" s="196" t="n"/>
      <c r="D4" s="196" t="n"/>
      <c r="E4" s="196" t="n"/>
      <c r="F4" s="196" t="n"/>
      <c r="G4" s="196" t="n"/>
    </row>
    <row r="5">
      <c r="A5" s="173" t="inlineStr">
        <is>
          <t>Расчет стоимости оборудования</t>
        </is>
      </c>
    </row>
    <row r="6" ht="64.5" customHeight="1" s="152">
      <c r="A6" s="198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52">
      <c r="A8" s="197" t="inlineStr">
        <is>
          <t>№ пп.</t>
        </is>
      </c>
      <c r="B8" s="197" t="inlineStr">
        <is>
          <t>Код ресурса</t>
        </is>
      </c>
      <c r="C8" s="197" t="inlineStr">
        <is>
          <t>Наименование</t>
        </is>
      </c>
      <c r="D8" s="197" t="inlineStr">
        <is>
          <t>Ед. изм.</t>
        </is>
      </c>
      <c r="E8" s="177" t="inlineStr">
        <is>
          <t>Кол-во единиц по проектным данным</t>
        </is>
      </c>
      <c r="F8" s="197" t="inlineStr">
        <is>
          <t>Сметная стоимость в ценах на 01.01.2000 (руб.)</t>
        </is>
      </c>
      <c r="G8" s="202" t="n"/>
    </row>
    <row r="9">
      <c r="A9" s="204" t="n"/>
      <c r="B9" s="204" t="n"/>
      <c r="C9" s="204" t="n"/>
      <c r="D9" s="204" t="n"/>
      <c r="E9" s="204" t="n"/>
      <c r="F9" s="177" t="inlineStr">
        <is>
          <t>на ед. изм.</t>
        </is>
      </c>
      <c r="G9" s="177" t="inlineStr">
        <is>
          <t>общая</t>
        </is>
      </c>
    </row>
    <row r="10">
      <c r="A10" s="177" t="n">
        <v>1</v>
      </c>
      <c r="B10" s="177" t="n">
        <v>2</v>
      </c>
      <c r="C10" s="177" t="n">
        <v>3</v>
      </c>
      <c r="D10" s="177" t="n">
        <v>4</v>
      </c>
      <c r="E10" s="177" t="n">
        <v>5</v>
      </c>
      <c r="F10" s="177" t="n">
        <v>6</v>
      </c>
      <c r="G10" s="177" t="n">
        <v>7</v>
      </c>
    </row>
    <row r="11" ht="15" customHeight="1" s="152">
      <c r="A11" s="7" t="n"/>
      <c r="B11" s="176" t="inlineStr">
        <is>
          <t>ИНЖЕНЕРНОЕ ОБОРУДОВАНИЕ</t>
        </is>
      </c>
      <c r="C11" s="201" t="n"/>
      <c r="D11" s="201" t="n"/>
      <c r="E11" s="201" t="n"/>
      <c r="F11" s="201" t="n"/>
      <c r="G11" s="202" t="n"/>
    </row>
    <row r="12" ht="27" customHeight="1" s="152">
      <c r="A12" s="177" t="n"/>
      <c r="B12" s="188" t="n"/>
      <c r="C12" s="176" t="inlineStr">
        <is>
          <t>ИТОГО ИНЖЕНЕРНОЕ ОБОРУДОВАНИЕ</t>
        </is>
      </c>
      <c r="D12" s="188" t="n"/>
      <c r="E12" s="8" t="n"/>
      <c r="F12" s="179" t="n"/>
      <c r="G12" s="179" t="n">
        <v>0</v>
      </c>
    </row>
    <row r="13">
      <c r="A13" s="177" t="n"/>
      <c r="B13" s="176" t="inlineStr">
        <is>
          <t>ТЕХНОЛОГИЧЕСКОЕ ОБОРУДОВАНИЕ</t>
        </is>
      </c>
      <c r="C13" s="201" t="n"/>
      <c r="D13" s="201" t="n"/>
      <c r="E13" s="201" t="n"/>
      <c r="F13" s="201" t="n"/>
      <c r="G13" s="202" t="n"/>
    </row>
    <row r="14" ht="25.5" customHeight="1" s="152">
      <c r="A14" s="177" t="n">
        <v>1</v>
      </c>
      <c r="B14" s="45">
        <f>'Прил.5 Расчет СМР и ОБ'!B33</f>
        <v/>
      </c>
      <c r="C14" s="81">
        <f>'Прил.5 Расчет СМР и ОБ'!C33</f>
        <v/>
      </c>
      <c r="D14" s="45">
        <f>'Прил.5 Расчет СМР и ОБ'!D33</f>
        <v/>
      </c>
      <c r="E14" s="112">
        <f>'Прил.5 Расчет СМР и ОБ'!E33</f>
        <v/>
      </c>
      <c r="F14" s="14">
        <f>'Прил.5 Расчет СМР и ОБ'!F33</f>
        <v/>
      </c>
      <c r="G14" s="14">
        <f>ROUND(E14*F14,2)</f>
        <v/>
      </c>
    </row>
    <row r="15" ht="25.5" customHeight="1" s="152">
      <c r="A15" s="177" t="n">
        <v>2</v>
      </c>
      <c r="B15" s="45">
        <f>'Прил.5 Расчет СМР и ОБ'!B34</f>
        <v/>
      </c>
      <c r="C15" s="81">
        <f>'Прил.5 Расчет СМР и ОБ'!C34</f>
        <v/>
      </c>
      <c r="D15" s="45">
        <f>'Прил.5 Расчет СМР и ОБ'!D34</f>
        <v/>
      </c>
      <c r="E15" s="112">
        <f>'Прил.5 Расчет СМР и ОБ'!E34</f>
        <v/>
      </c>
      <c r="F15" s="14">
        <f>'Прил.5 Расчет СМР и ОБ'!F34</f>
        <v/>
      </c>
      <c r="G15" s="14">
        <f>ROUND(E15*F15,2)</f>
        <v/>
      </c>
    </row>
    <row r="16" ht="38.25" customHeight="1" s="152">
      <c r="A16" s="177" t="n">
        <v>3</v>
      </c>
      <c r="B16" s="45">
        <f>'Прил.5 Расчет СМР и ОБ'!B35</f>
        <v/>
      </c>
      <c r="C16" s="81">
        <f>'Прил.5 Расчет СМР и ОБ'!C35</f>
        <v/>
      </c>
      <c r="D16" s="45">
        <f>'Прил.5 Расчет СМР и ОБ'!D35</f>
        <v/>
      </c>
      <c r="E16" s="112">
        <f>'Прил.5 Расчет СМР и ОБ'!E35</f>
        <v/>
      </c>
      <c r="F16" s="14">
        <f>'Прил.5 Расчет СМР и ОБ'!F35</f>
        <v/>
      </c>
      <c r="G16" s="14">
        <f>ROUND(E16*F16,2)</f>
        <v/>
      </c>
    </row>
    <row r="17" ht="25.5" customHeight="1" s="152">
      <c r="A17" s="177" t="n">
        <v>4</v>
      </c>
      <c r="B17" s="45">
        <f>'Прил.5 Расчет СМР и ОБ'!B36</f>
        <v/>
      </c>
      <c r="C17" s="81">
        <f>'Прил.5 Расчет СМР и ОБ'!C36</f>
        <v/>
      </c>
      <c r="D17" s="45">
        <f>'Прил.5 Расчет СМР и ОБ'!D36</f>
        <v/>
      </c>
      <c r="E17" s="112">
        <f>'Прил.5 Расчет СМР и ОБ'!E36</f>
        <v/>
      </c>
      <c r="F17" s="14">
        <f>'Прил.5 Расчет СМР и ОБ'!F36</f>
        <v/>
      </c>
      <c r="G17" s="14">
        <f>ROUND(E17*F17,2)</f>
        <v/>
      </c>
    </row>
    <row r="18">
      <c r="A18" s="177" t="n">
        <v>5</v>
      </c>
      <c r="B18" s="45">
        <f>'Прил.5 Расчет СМР и ОБ'!B38</f>
        <v/>
      </c>
      <c r="C18" s="81">
        <f>'Прил.5 Расчет СМР и ОБ'!C38</f>
        <v/>
      </c>
      <c r="D18" s="45">
        <f>'Прил.5 Расчет СМР и ОБ'!D38</f>
        <v/>
      </c>
      <c r="E18" s="112">
        <f>'Прил.5 Расчет СМР и ОБ'!E38</f>
        <v/>
      </c>
      <c r="F18" s="14">
        <f>'Прил.5 Расчет СМР и ОБ'!F38</f>
        <v/>
      </c>
      <c r="G18" s="14">
        <f>ROUND(E18*F18,2)</f>
        <v/>
      </c>
    </row>
    <row r="19" ht="25.5" customHeight="1" s="152">
      <c r="A19" s="177" t="n">
        <v>6</v>
      </c>
      <c r="B19" s="45">
        <f>'Прил.5 Расчет СМР и ОБ'!B39</f>
        <v/>
      </c>
      <c r="C19" s="81">
        <f>'Прил.5 Расчет СМР и ОБ'!C39</f>
        <v/>
      </c>
      <c r="D19" s="45">
        <f>'Прил.5 Расчет СМР и ОБ'!D39</f>
        <v/>
      </c>
      <c r="E19" s="112">
        <f>'Прил.5 Расчет СМР и ОБ'!E39</f>
        <v/>
      </c>
      <c r="F19" s="14">
        <f>'Прил.5 Расчет СМР и ОБ'!F39</f>
        <v/>
      </c>
      <c r="G19" s="14">
        <f>ROUND(E19*F19,2)</f>
        <v/>
      </c>
    </row>
    <row r="20" ht="25.5" customHeight="1" s="152">
      <c r="A20" s="177" t="n"/>
      <c r="B20" s="12" t="n"/>
      <c r="C20" s="12" t="inlineStr">
        <is>
          <t>ИТОГО ТЕХНОЛОГИЧЕСКОЕ ОБОРУДОВАНИЕ</t>
        </is>
      </c>
      <c r="D20" s="12" t="n"/>
      <c r="E20" s="13" t="n"/>
      <c r="F20" s="179" t="n"/>
      <c r="G20" s="14">
        <f>SUM(G14:G19)</f>
        <v/>
      </c>
    </row>
    <row r="21" ht="19.5" customHeight="1" s="152">
      <c r="A21" s="177" t="n"/>
      <c r="B21" s="176" t="n"/>
      <c r="C21" s="176" t="inlineStr">
        <is>
          <t>Всего по разделу «Оборудование»</t>
        </is>
      </c>
      <c r="D21" s="176" t="n"/>
      <c r="E21" s="195" t="n"/>
      <c r="F21" s="179" t="n"/>
      <c r="G21" s="14">
        <f>G12+G20</f>
        <v/>
      </c>
    </row>
    <row r="22">
      <c r="A22" s="10" t="n"/>
      <c r="B22" s="11" t="n"/>
      <c r="C22" s="10" t="n"/>
      <c r="D22" s="10" t="n"/>
      <c r="E22" s="10" t="n"/>
      <c r="F22" s="10" t="n"/>
      <c r="G22" s="10" t="n"/>
    </row>
    <row r="23">
      <c r="A23" s="6" t="inlineStr">
        <is>
          <t>Составил ______________________        Е.А. Князева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  <row r="25">
      <c r="A25" s="6" t="n"/>
      <c r="B25" s="1" t="n"/>
      <c r="C25" s="1" t="n"/>
      <c r="D25" s="10" t="n"/>
      <c r="E25" s="10" t="n"/>
      <c r="F25" s="10" t="n"/>
      <c r="G25" s="10" t="n"/>
    </row>
    <row r="26">
      <c r="A26" s="6" t="inlineStr">
        <is>
          <t>Проверил ______________________        А.В. Костянецкая</t>
        </is>
      </c>
      <c r="B26" s="1" t="n"/>
      <c r="C26" s="1" t="n"/>
      <c r="D26" s="10" t="n"/>
      <c r="E26" s="10" t="n"/>
      <c r="F26" s="10" t="n"/>
      <c r="G26" s="10" t="n"/>
    </row>
    <row r="27">
      <c r="A27" s="49" t="inlineStr">
        <is>
          <t xml:space="preserve">                        (подпись, инициалы, фамилия)</t>
        </is>
      </c>
      <c r="B27" s="1" t="n"/>
      <c r="C27" s="1" t="n"/>
      <c r="D27" s="10" t="n"/>
      <c r="E27" s="10" t="n"/>
      <c r="F27" s="10" t="n"/>
      <c r="G27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52" min="1" max="1"/>
    <col width="29.7109375" customWidth="1" style="152" min="2" max="2"/>
    <col width="35" customWidth="1" style="152" min="3" max="3"/>
    <col width="27.5703125" customWidth="1" style="152" min="4" max="4"/>
    <col width="24.85546875" customWidth="1" style="152" min="5" max="5"/>
  </cols>
  <sheetData>
    <row r="1">
      <c r="B1" s="6" t="n"/>
      <c r="C1" s="6" t="n"/>
      <c r="D1" s="196" t="inlineStr">
        <is>
          <t>Приложение №7</t>
        </is>
      </c>
    </row>
    <row r="2">
      <c r="A2" s="196" t="n"/>
      <c r="B2" s="196" t="n"/>
      <c r="C2" s="196" t="n"/>
      <c r="D2" s="196" t="n"/>
    </row>
    <row r="3" ht="24.75" customHeight="1" s="152">
      <c r="A3" s="173" t="inlineStr">
        <is>
          <t>Расчет показателя УНЦ</t>
        </is>
      </c>
    </row>
    <row r="4" ht="24.75" customHeight="1" s="152">
      <c r="A4" s="173" t="n"/>
      <c r="B4" s="173" t="n"/>
      <c r="C4" s="173" t="n"/>
      <c r="D4" s="173" t="n"/>
    </row>
    <row r="5" ht="63.75" customHeight="1" s="152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</f>
        <v/>
      </c>
    </row>
    <row r="6" ht="19.9" customHeight="1" s="152">
      <c r="A6" s="187">
        <f>'Прил.1 Сравнит табл'!B9</f>
        <v/>
      </c>
      <c r="D6" s="187" t="n"/>
    </row>
    <row r="7">
      <c r="A7" s="6" t="n"/>
      <c r="B7" s="6" t="n"/>
      <c r="C7" s="6" t="n"/>
      <c r="D7" s="6" t="n"/>
    </row>
    <row r="8" ht="14.45" customHeight="1" s="152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52">
      <c r="A9" s="204" t="n"/>
      <c r="B9" s="204" t="n"/>
      <c r="C9" s="204" t="n"/>
      <c r="D9" s="204" t="n"/>
    </row>
    <row r="10">
      <c r="A10" s="177" t="n">
        <v>1</v>
      </c>
      <c r="B10" s="177" t="n">
        <v>2</v>
      </c>
      <c r="C10" s="177" t="n">
        <v>3</v>
      </c>
      <c r="D10" s="177" t="n">
        <v>4</v>
      </c>
    </row>
    <row r="11" ht="51" customHeight="1" s="152">
      <c r="A11" s="177" t="inlineStr">
        <is>
          <t>А3-10-4</t>
        </is>
      </c>
      <c r="B11" s="177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U46" sqref="U46"/>
    </sheetView>
  </sheetViews>
  <sheetFormatPr baseColWidth="8" defaultRowHeight="15"/>
  <cols>
    <col width="40.7109375" customWidth="1" style="152" min="2" max="2"/>
    <col width="37" customWidth="1" style="152" min="3" max="3"/>
    <col width="32" customWidth="1" style="152" min="4" max="4"/>
  </cols>
  <sheetData>
    <row r="4" ht="15.75" customHeight="1" s="152">
      <c r="B4" s="165" t="inlineStr">
        <is>
          <t>Приложение № 10</t>
        </is>
      </c>
    </row>
    <row r="5" ht="18.75" customHeight="1" s="152">
      <c r="B5" s="20" t="n"/>
    </row>
    <row r="6" ht="15.75" customHeight="1" s="152">
      <c r="B6" s="166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 ht="47.25" customHeight="1" s="15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75" customHeight="1" s="152">
      <c r="B9" s="169" t="n">
        <v>1</v>
      </c>
      <c r="C9" s="169" t="n">
        <v>2</v>
      </c>
      <c r="D9" s="169" t="n">
        <v>3</v>
      </c>
    </row>
    <row r="10" ht="31.5" customHeight="1" s="15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31.5" customHeight="1" s="15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31.5" customHeight="1" s="15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1.5" customHeight="1" s="152">
      <c r="B13" s="169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9" t="n">
        <v>6.26</v>
      </c>
    </row>
    <row r="14" ht="78.75" customHeight="1" s="15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5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5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24" t="n">
        <v>0.0214</v>
      </c>
    </row>
    <row r="17" ht="31.5" customHeight="1" s="152">
      <c r="B17" s="169" t="inlineStr">
        <is>
          <t>Авторский надзор - 0,2%</t>
        </is>
      </c>
      <c r="C17" s="169" t="inlineStr">
        <is>
          <t>Приказ от 4.08.2020 № 421/пр п.173</t>
        </is>
      </c>
      <c r="D17" s="24" t="n">
        <v>0.002</v>
      </c>
    </row>
    <row r="18" ht="24" customHeight="1" s="15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24" t="n">
        <v>0.03</v>
      </c>
    </row>
    <row r="19" ht="18.75" customHeight="1" s="152">
      <c r="B19" s="21" t="n"/>
    </row>
    <row r="20" ht="18.75" customHeight="1" s="152">
      <c r="B20" s="21" t="n"/>
    </row>
    <row r="21" ht="18.75" customHeight="1" s="152">
      <c r="B21" s="21" t="n"/>
    </row>
    <row r="22" ht="18.75" customHeight="1" s="152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5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52" min="2" max="2"/>
    <col width="13" customWidth="1" style="152" min="3" max="3"/>
    <col width="22.85546875" customWidth="1" style="152" min="4" max="4"/>
    <col width="21.5703125" customWidth="1" style="152" min="5" max="5"/>
    <col width="43.85546875" customWidth="1" style="152" min="6" max="6"/>
  </cols>
  <sheetData>
    <row r="1" s="152"/>
    <row r="2" ht="17.25" customHeight="1" s="152">
      <c r="A2" s="166" t="inlineStr">
        <is>
          <t>Расчет размера средств на оплату труда рабочих-строителей в текущем уровне цен (ФОТр.тек.)</t>
        </is>
      </c>
    </row>
    <row r="3" s="152"/>
    <row r="4" ht="18" customHeight="1" s="152">
      <c r="A4" s="115" t="inlineStr">
        <is>
          <t>Составлен в уровне цен на 01.01.2023 г.</t>
        </is>
      </c>
      <c r="B4" s="150" t="n"/>
      <c r="C4" s="150" t="n"/>
      <c r="D4" s="150" t="n"/>
      <c r="E4" s="150" t="n"/>
      <c r="F4" s="150" t="n"/>
      <c r="G4" s="150" t="n"/>
    </row>
    <row r="5" ht="15.75" customHeight="1" s="152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0" t="n"/>
    </row>
    <row r="6" ht="15.75" customHeight="1" s="152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0" t="n"/>
    </row>
    <row r="7" ht="110.25" customHeight="1" s="152">
      <c r="A7" s="118" t="inlineStr">
        <is>
          <t>1.1</t>
        </is>
      </c>
      <c r="B7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21" t="n">
        <v>47872.94</v>
      </c>
      <c r="F7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0" t="n"/>
    </row>
    <row r="8" ht="31.5" customHeight="1" s="152">
      <c r="A8" s="118" t="inlineStr">
        <is>
          <t>1.2</t>
        </is>
      </c>
      <c r="B8" s="145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22">
        <f>1973/12</f>
        <v/>
      </c>
      <c r="F8" s="145" t="inlineStr">
        <is>
          <t>Производственный календарь 2023 год
(40-часов.неделя)</t>
        </is>
      </c>
      <c r="G8" s="125" t="n"/>
    </row>
    <row r="9" ht="15.75" customHeight="1" s="152">
      <c r="A9" s="118" t="inlineStr">
        <is>
          <t>1.3</t>
        </is>
      </c>
      <c r="B9" s="145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22" t="n">
        <v>1</v>
      </c>
      <c r="F9" s="145" t="n"/>
      <c r="G9" s="125" t="n"/>
    </row>
    <row r="10" ht="15.75" customHeight="1" s="152">
      <c r="A10" s="118" t="inlineStr">
        <is>
          <t>1.4</t>
        </is>
      </c>
      <c r="B10" s="145" t="inlineStr">
        <is>
          <t>Средний разряд работ</t>
        </is>
      </c>
      <c r="C10" s="169" t="n"/>
      <c r="D10" s="169" t="n"/>
      <c r="E10" s="219" t="n">
        <v>3.8</v>
      </c>
      <c r="F10" s="145" t="inlineStr">
        <is>
          <t>РТМ</t>
        </is>
      </c>
      <c r="G10" s="125" t="n"/>
    </row>
    <row r="11" ht="78.75" customHeight="1" s="152">
      <c r="A11" s="118" t="inlineStr">
        <is>
          <t>1.5</t>
        </is>
      </c>
      <c r="B11" s="145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220" t="n">
        <v>1.308</v>
      </c>
      <c r="F11" s="1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0" t="n"/>
    </row>
    <row r="12" ht="78.75" customHeight="1" s="152">
      <c r="A12" s="118" t="inlineStr">
        <is>
          <t>1.6</t>
        </is>
      </c>
      <c r="B12" s="156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221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2">
      <c r="A13" s="131" t="inlineStr">
        <is>
          <t>1.7</t>
        </is>
      </c>
      <c r="B13" s="132" t="inlineStr">
        <is>
          <t>Размер средств на оплату труда рабочих-строителей в текущем уровне цен (ФОТр.тек.), руб/чел.-ч</t>
        </is>
      </c>
      <c r="C13" s="154" t="inlineStr">
        <is>
          <t>ФОТр.тек.</t>
        </is>
      </c>
      <c r="D13" s="154" t="inlineStr">
        <is>
          <t>(С1ср/tср*КТ*Т*Кув)*Кинф</t>
        </is>
      </c>
      <c r="E13" s="134">
        <f>((E7*E9/E8)*E11)*E12</f>
        <v/>
      </c>
      <c r="F13" s="1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0" t="n"/>
    </row>
    <row r="14" ht="15.75" customHeight="1" s="152">
      <c r="A14" s="136" t="n"/>
      <c r="B14" s="137" t="inlineStr">
        <is>
          <t>Инженер I категории</t>
        </is>
      </c>
      <c r="C14" s="137" t="n"/>
      <c r="D14" s="137" t="n"/>
      <c r="E14" s="137" t="n"/>
      <c r="F14" s="138" t="n"/>
    </row>
    <row r="15" ht="110.25" customHeight="1" s="152">
      <c r="A15" s="118" t="inlineStr">
        <is>
          <t>1.1</t>
        </is>
      </c>
      <c r="B15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69" t="inlineStr">
        <is>
          <t>С1ср</t>
        </is>
      </c>
      <c r="D15" s="169" t="inlineStr">
        <is>
          <t>-</t>
        </is>
      </c>
      <c r="E15" s="121" t="n">
        <v>47872.94</v>
      </c>
      <c r="F15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50" t="n"/>
    </row>
    <row r="16" ht="31.5" customHeight="1" s="152">
      <c r="A16" s="118" t="inlineStr">
        <is>
          <t>1.2</t>
        </is>
      </c>
      <c r="B16" s="145" t="inlineStr">
        <is>
          <t>Среднегодовое нормативное число часов работы одного рабочего в месяц, часы (ч.)</t>
        </is>
      </c>
      <c r="C16" s="169" t="inlineStr">
        <is>
          <t>tср</t>
        </is>
      </c>
      <c r="D16" s="169" t="inlineStr">
        <is>
          <t>1973ч/12мес.</t>
        </is>
      </c>
      <c r="E16" s="122">
        <f>1973/12</f>
        <v/>
      </c>
      <c r="F16" s="145" t="inlineStr">
        <is>
          <t>Производственный календарь 2023 год
(40-часов.неделя)</t>
        </is>
      </c>
      <c r="G16" s="125" t="n"/>
    </row>
    <row r="17" ht="15.75" customHeight="1" s="152">
      <c r="A17" s="118" t="inlineStr">
        <is>
          <t>1.3</t>
        </is>
      </c>
      <c r="B17" s="145" t="inlineStr">
        <is>
          <t>Коэффициент увеличения</t>
        </is>
      </c>
      <c r="C17" s="169" t="inlineStr">
        <is>
          <t>Кув</t>
        </is>
      </c>
      <c r="D17" s="169" t="inlineStr">
        <is>
          <t>-</t>
        </is>
      </c>
      <c r="E17" s="122" t="n">
        <v>1</v>
      </c>
      <c r="F17" s="145" t="n"/>
      <c r="G17" s="125" t="n"/>
    </row>
    <row r="18" ht="15.75" customHeight="1" s="152">
      <c r="A18" s="118" t="inlineStr">
        <is>
          <t>1.4</t>
        </is>
      </c>
      <c r="B18" s="145" t="inlineStr">
        <is>
          <t>Средний разряд работ</t>
        </is>
      </c>
      <c r="C18" s="169" t="n"/>
      <c r="D18" s="169" t="n"/>
      <c r="E18" s="219" t="inlineStr">
        <is>
          <t>Инженер I категории</t>
        </is>
      </c>
      <c r="F18" s="145" t="inlineStr">
        <is>
          <t>РТМ</t>
        </is>
      </c>
      <c r="G18" s="125" t="n"/>
    </row>
    <row r="19" ht="78.75" customHeight="1" s="152">
      <c r="A19" s="131" t="inlineStr">
        <is>
          <t>1.5</t>
        </is>
      </c>
      <c r="B19" s="135" t="inlineStr">
        <is>
          <t>Тарифный коэффициент среднего разряда работ</t>
        </is>
      </c>
      <c r="C19" s="154" t="inlineStr">
        <is>
          <t>КТ</t>
        </is>
      </c>
      <c r="D19" s="154" t="inlineStr">
        <is>
          <t>-</t>
        </is>
      </c>
      <c r="E19" s="222" t="n">
        <v>2.15</v>
      </c>
      <c r="F19" s="1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50" t="n"/>
    </row>
    <row r="20" ht="78.75" customHeight="1" s="152">
      <c r="A20" s="118" t="inlineStr">
        <is>
          <t>1.6</t>
        </is>
      </c>
      <c r="B20" s="156" t="inlineStr">
        <is>
          <t>Коэффициент инфляции, определяемый поквартально</t>
        </is>
      </c>
      <c r="C20" s="169" t="inlineStr">
        <is>
          <t>Кинф</t>
        </is>
      </c>
      <c r="D20" s="169" t="inlineStr">
        <is>
          <t>-</t>
        </is>
      </c>
      <c r="E20" s="221" t="n">
        <v>1.139</v>
      </c>
      <c r="F20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52">
      <c r="A21" s="118" t="inlineStr">
        <is>
          <t>1.7</t>
        </is>
      </c>
      <c r="B21" s="140" t="inlineStr">
        <is>
          <t>Размер средств на оплату труда рабочих-строителей в текущем уровне цен (ФОТр.тек.), руб/чел.-ч</t>
        </is>
      </c>
      <c r="C21" s="169" t="inlineStr">
        <is>
          <t>ФОТр.тек.</t>
        </is>
      </c>
      <c r="D21" s="169" t="inlineStr">
        <is>
          <t>(С1ср/tср*КТ*Т*Кув)*Кинф</t>
        </is>
      </c>
      <c r="E21" s="141">
        <f>((E15*E17/E16)*E19)*E20</f>
        <v/>
      </c>
      <c r="F21" s="1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50" t="n"/>
    </row>
    <row r="22" ht="15.75" customHeight="1" s="152">
      <c r="A22" s="136" t="n"/>
      <c r="B22" s="137" t="inlineStr">
        <is>
          <t>Инженер II категории</t>
        </is>
      </c>
      <c r="C22" s="137" t="n"/>
      <c r="D22" s="137" t="n"/>
      <c r="E22" s="137" t="n"/>
      <c r="F22" s="138" t="n"/>
    </row>
    <row r="23" ht="110.25" customHeight="1" s="152">
      <c r="A23" s="118" t="inlineStr">
        <is>
          <t>1.1</t>
        </is>
      </c>
      <c r="B23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69" t="inlineStr">
        <is>
          <t>С1ср</t>
        </is>
      </c>
      <c r="D23" s="169" t="inlineStr">
        <is>
          <t>-</t>
        </is>
      </c>
      <c r="E23" s="121" t="n">
        <v>47872.94</v>
      </c>
      <c r="F23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50" t="n"/>
    </row>
    <row r="24" ht="31.5" customHeight="1" s="152">
      <c r="A24" s="118" t="inlineStr">
        <is>
          <t>1.2</t>
        </is>
      </c>
      <c r="B24" s="145" t="inlineStr">
        <is>
          <t>Среднегодовое нормативное число часов работы одного рабочего в месяц, часы (ч.)</t>
        </is>
      </c>
      <c r="C24" s="169" t="inlineStr">
        <is>
          <t>tср</t>
        </is>
      </c>
      <c r="D24" s="169" t="inlineStr">
        <is>
          <t>1973ч/12мес.</t>
        </is>
      </c>
      <c r="E24" s="122">
        <f>1973/12</f>
        <v/>
      </c>
      <c r="F24" s="145" t="inlineStr">
        <is>
          <t>Производственный календарь 2023 год
(40-часов.неделя)</t>
        </is>
      </c>
      <c r="G24" s="125" t="n"/>
    </row>
    <row r="25" ht="15.75" customHeight="1" s="152">
      <c r="A25" s="118" t="inlineStr">
        <is>
          <t>1.3</t>
        </is>
      </c>
      <c r="B25" s="145" t="inlineStr">
        <is>
          <t>Коэффициент увеличения</t>
        </is>
      </c>
      <c r="C25" s="169" t="inlineStr">
        <is>
          <t>Кув</t>
        </is>
      </c>
      <c r="D25" s="169" t="inlineStr">
        <is>
          <t>-</t>
        </is>
      </c>
      <c r="E25" s="122" t="n">
        <v>1</v>
      </c>
      <c r="F25" s="145" t="n"/>
      <c r="G25" s="125" t="n"/>
    </row>
    <row r="26" ht="15.75" customHeight="1" s="152">
      <c r="A26" s="118" t="inlineStr">
        <is>
          <t>1.4</t>
        </is>
      </c>
      <c r="B26" s="145" t="inlineStr">
        <is>
          <t>Средний разряд работ</t>
        </is>
      </c>
      <c r="C26" s="169" t="n"/>
      <c r="D26" s="169" t="n"/>
      <c r="E26" s="219" t="inlineStr">
        <is>
          <t>Инженер II категории</t>
        </is>
      </c>
      <c r="F26" s="145" t="inlineStr">
        <is>
          <t>РТМ</t>
        </is>
      </c>
      <c r="G26" s="125" t="n"/>
    </row>
    <row r="27" ht="78.75" customHeight="1" s="152">
      <c r="A27" s="131" t="inlineStr">
        <is>
          <t>1.5</t>
        </is>
      </c>
      <c r="B27" s="135" t="inlineStr">
        <is>
          <t>Тарифный коэффициент среднего разряда работ</t>
        </is>
      </c>
      <c r="C27" s="154" t="inlineStr">
        <is>
          <t>КТ</t>
        </is>
      </c>
      <c r="D27" s="154" t="inlineStr">
        <is>
          <t>-</t>
        </is>
      </c>
      <c r="E27" s="222" t="n">
        <v>1.96</v>
      </c>
      <c r="F27" s="1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50" t="n"/>
    </row>
    <row r="28" ht="78.75" customHeight="1" s="152">
      <c r="A28" s="118" t="inlineStr">
        <is>
          <t>1.6</t>
        </is>
      </c>
      <c r="B28" s="156" t="inlineStr">
        <is>
          <t>Коэффициент инфляции, определяемый поквартально</t>
        </is>
      </c>
      <c r="C28" s="169" t="inlineStr">
        <is>
          <t>Кинф</t>
        </is>
      </c>
      <c r="D28" s="169" t="inlineStr">
        <is>
          <t>-</t>
        </is>
      </c>
      <c r="E28" s="221" t="n">
        <v>1.139</v>
      </c>
      <c r="F28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5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52">
      <c r="A29" s="118" t="inlineStr">
        <is>
          <t>1.7</t>
        </is>
      </c>
      <c r="B29" s="140" t="inlineStr">
        <is>
          <t>Размер средств на оплату труда рабочих-строителей в текущем уровне цен (ФОТр.тек.), руб/чел.-ч</t>
        </is>
      </c>
      <c r="C29" s="169" t="inlineStr">
        <is>
          <t>ФОТр.тек.</t>
        </is>
      </c>
      <c r="D29" s="169" t="inlineStr">
        <is>
          <t>(С1ср/tср*КТ*Т*Кув)*Кинф</t>
        </is>
      </c>
      <c r="E29" s="141">
        <f>((E23*E25/E24)*E27)*E28</f>
        <v/>
      </c>
      <c r="F29" s="1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50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2025-01-24T11:52:27Z</dcterms:modified>
  <cp:lastModifiedBy>Виктор Плотников</cp:lastModifiedBy>
  <cp:lastPrinted>2023-11-25T09:21:30Z</cp:lastPrinted>
</cp:coreProperties>
</file>