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  <numFmt numFmtId="170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horizontal="right" vertical="center"/>
    </xf>
    <xf numFmtId="0" fontId="20" fillId="0" borderId="1" applyAlignment="1" pivotButton="0" quotePrefix="0" xfId="0">
      <alignment vertical="center"/>
    </xf>
    <xf numFmtId="0" fontId="16" fillId="0" borderId="5" applyAlignment="1" pivotButton="0" quotePrefix="0" xfId="0">
      <alignment horizontal="right" vertical="center" wrapText="1"/>
    </xf>
    <xf numFmtId="4" fontId="20" fillId="0" borderId="1" applyAlignment="1" pivotButton="0" quotePrefix="0" xfId="0">
      <alignment horizontal="right" vertical="center"/>
    </xf>
    <xf numFmtId="43" fontId="2" fillId="0" borderId="2" applyAlignment="1" pivotButton="0" quotePrefix="0" xfId="0">
      <alignment vertical="center" wrapText="1"/>
    </xf>
    <xf numFmtId="0" fontId="1" fillId="0" borderId="2" applyAlignment="1" pivotButton="0" quotePrefix="0" xfId="0">
      <alignment horizontal="right" vertical="top" wrapText="1"/>
    </xf>
    <xf numFmtId="4" fontId="1" fillId="4" borderId="2" applyAlignment="1" pivotButton="0" quotePrefix="0" xfId="0">
      <alignment horizontal="right" vertical="center" wrapText="1"/>
    </xf>
    <xf numFmtId="167" fontId="16" fillId="0" borderId="0" pivotButton="0" quotePrefix="0" xfId="0"/>
    <xf numFmtId="4" fontId="1" fillId="4" borderId="1" applyAlignment="1" pivotButton="0" quotePrefix="0" xfId="0">
      <alignment horizontal="right" vertical="center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14" fontId="16" fillId="0" borderId="0" applyAlignment="1" pivotButton="0" quotePrefix="0" xfId="0">
      <alignment vertical="center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70" fontId="16" fillId="0" borderId="0" pivotButton="0" quotePrefix="0" xfId="0"/>
    <xf numFmtId="4" fontId="20" fillId="0" borderId="1" applyAlignment="1" pivotButton="0" quotePrefix="0" xfId="0">
      <alignment vertical="center" wrapText="1"/>
    </xf>
    <xf numFmtId="170" fontId="2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170" fontId="20" fillId="0" borderId="0" pivotButton="0" quotePrefix="0" xfId="0"/>
    <xf numFmtId="167" fontId="16" fillId="0" borderId="0" pivotButton="0" quotePrefix="0" xfId="0"/>
    <xf numFmtId="166" fontId="1" fillId="4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5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19" t="inlineStr">
        <is>
          <t>Приложение № 1</t>
        </is>
      </c>
    </row>
    <row r="4">
      <c r="B4" s="220" t="inlineStr">
        <is>
          <t>Сравнительная таблица отбора объекта-представителя</t>
        </is>
      </c>
    </row>
    <row r="5" ht="84" customHeight="1">
      <c r="B5" s="22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6" t="n"/>
      <c r="C6" s="166" t="n"/>
      <c r="D6" s="166" t="n"/>
    </row>
    <row r="7" ht="64.5" customHeight="1">
      <c r="B7" s="221" t="inlineStr">
        <is>
          <t>Наименование разрабатываемого показателя УНЦ - АСУ ТП ПС присоединения напряжение 6-20 кВ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0">
        <f>D22</f>
        <v/>
      </c>
    </row>
    <row r="9" ht="15.75" customHeight="1">
      <c r="B9" s="221" t="inlineStr">
        <is>
          <t>Единица измерения  — 1 ед</t>
        </is>
      </c>
    </row>
    <row r="10">
      <c r="B10" s="221" t="n"/>
    </row>
    <row r="11">
      <c r="B11" s="224" t="inlineStr">
        <is>
          <t>№ п/п</t>
        </is>
      </c>
      <c r="C11" s="224" t="inlineStr">
        <is>
          <t>Параметр</t>
        </is>
      </c>
      <c r="D11" s="224" t="inlineStr">
        <is>
          <t xml:space="preserve">Объект-представитель </t>
        </is>
      </c>
      <c r="E11" s="152" t="n"/>
    </row>
    <row r="12" ht="141.75" customHeight="1">
      <c r="B12" s="224" t="n">
        <v>1</v>
      </c>
      <c r="C12" s="147" t="inlineStr">
        <is>
          <t>Наименование объекта-представителя</t>
        </is>
      </c>
      <c r="D12" s="224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224" t="n">
        <v>2</v>
      </c>
      <c r="C13" s="147" t="inlineStr">
        <is>
          <t>Наименование субъекта Российской Федерации</t>
        </is>
      </c>
      <c r="D13" s="224" t="inlineStr">
        <is>
          <t>Республика Бурятия</t>
        </is>
      </c>
    </row>
    <row r="14">
      <c r="B14" s="224" t="n">
        <v>3</v>
      </c>
      <c r="C14" s="147" t="inlineStr">
        <is>
          <t>Климатический район и подрайон</t>
        </is>
      </c>
      <c r="D14" s="224" t="inlineStr">
        <is>
          <t>IД</t>
        </is>
      </c>
    </row>
    <row r="15">
      <c r="B15" s="224" t="n">
        <v>4</v>
      </c>
      <c r="C15" s="147" t="inlineStr">
        <is>
          <t>Мощность объекта</t>
        </is>
      </c>
      <c r="D15" s="224" t="n">
        <v>1</v>
      </c>
    </row>
    <row r="16" ht="63" customHeight="1">
      <c r="B16" s="22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>РМ АСУ ТП ПС присоединения - 1 комплект</t>
        </is>
      </c>
    </row>
    <row r="17" ht="79.5" customHeight="1">
      <c r="B17" s="22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0">
        <f>D18+D19+D20+D21</f>
        <v/>
      </c>
      <c r="E17" s="165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70">
        <f>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170">
        <f>'Прил.2 Расч стоим'!H13</f>
        <v/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170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70">
        <f>D18*0.039*0.8+(D18*0.039*0.8+D18)*0.043</f>
        <v/>
      </c>
    </row>
    <row r="22">
      <c r="B22" s="224" t="n">
        <v>7</v>
      </c>
      <c r="C22" s="150" t="inlineStr">
        <is>
          <t>Сопоставимый уровень цен</t>
        </is>
      </c>
      <c r="D22" s="171" t="inlineStr">
        <is>
          <t>4 кв. 2021 г.</t>
        </is>
      </c>
      <c r="E22" s="148" t="n"/>
    </row>
    <row r="23" ht="78.75" customHeight="1">
      <c r="B23" s="224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0">
        <f>D17</f>
        <v/>
      </c>
      <c r="E23" s="165" t="n"/>
    </row>
    <row r="24" ht="31.5" customHeight="1">
      <c r="B24" s="22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0">
        <f>D23/D15</f>
        <v/>
      </c>
      <c r="E24" s="148" t="n"/>
    </row>
    <row r="25">
      <c r="B25" s="224" t="n">
        <v>10</v>
      </c>
      <c r="C25" s="147" t="inlineStr">
        <is>
          <t>Примечание</t>
        </is>
      </c>
      <c r="D25" s="224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9" sqref="E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16.5703125" customWidth="1" style="143" min="12" max="12"/>
  </cols>
  <sheetData>
    <row r="3">
      <c r="B3" s="219" t="inlineStr">
        <is>
          <t>Приложение № 2</t>
        </is>
      </c>
      <c r="K3" s="144" t="n"/>
    </row>
    <row r="4">
      <c r="B4" s="220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1">
        <f>'Прил.1 Сравнит табл'!B7:D7</f>
        <v/>
      </c>
    </row>
    <row r="7">
      <c r="B7" s="221">
        <f>'Прил.1 Сравнит табл'!B9:D9</f>
        <v/>
      </c>
    </row>
    <row r="8" ht="18.75" customHeight="1">
      <c r="B8" s="118" t="n"/>
    </row>
    <row r="9" ht="15.75" customHeight="1">
      <c r="B9" s="224" t="inlineStr">
        <is>
          <t>№ п/п</t>
        </is>
      </c>
      <c r="C9" s="22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4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4" t="inlineStr">
        <is>
          <t>Номер сметы</t>
        </is>
      </c>
      <c r="E10" s="224" t="inlineStr">
        <is>
          <t>Наименование сметы</t>
        </is>
      </c>
      <c r="F10" s="224" t="inlineStr">
        <is>
          <t>Сметная стоимость в уровне цен 4 кв. 2021 г., тыс. руб.</t>
        </is>
      </c>
      <c r="G10" s="306" t="n"/>
      <c r="H10" s="306" t="n"/>
      <c r="I10" s="306" t="n"/>
      <c r="J10" s="307" t="n"/>
    </row>
    <row r="11" ht="65.25" customHeight="1">
      <c r="B11" s="309" t="n"/>
      <c r="C11" s="309" t="n"/>
      <c r="D11" s="309" t="n"/>
      <c r="E11" s="309" t="n"/>
      <c r="F11" s="224" t="inlineStr">
        <is>
          <t>Строительные работы</t>
        </is>
      </c>
      <c r="G11" s="224" t="inlineStr">
        <is>
          <t>Монтажные работы</t>
        </is>
      </c>
      <c r="H11" s="224" t="inlineStr">
        <is>
          <t>Оборудование</t>
        </is>
      </c>
      <c r="I11" s="224" t="inlineStr">
        <is>
          <t>Прочее</t>
        </is>
      </c>
      <c r="J11" s="224" t="inlineStr">
        <is>
          <t>Всего</t>
        </is>
      </c>
    </row>
    <row r="12" ht="31.5" customHeight="1">
      <c r="B12" s="201" t="n">
        <v>1</v>
      </c>
      <c r="C12" s="158">
        <f>'Прил.1 Сравнит табл'!D16</f>
        <v/>
      </c>
      <c r="D12" s="202" t="inlineStr">
        <is>
          <t>ЛС-1.02-04-01 Изм.2</t>
        </is>
      </c>
      <c r="E12" s="147" t="inlineStr">
        <is>
          <t>РЗА и ПА</t>
        </is>
      </c>
      <c r="F12" s="203" t="n"/>
      <c r="G12" s="203" t="n">
        <v>236.892979</v>
      </c>
      <c r="H12" s="203" t="n">
        <v>10.7818504</v>
      </c>
      <c r="I12" s="203" t="n"/>
      <c r="J12" s="204">
        <f>SUM(F12:I12)</f>
        <v/>
      </c>
      <c r="K12" s="205" t="n"/>
      <c r="L12" s="310" t="n"/>
    </row>
    <row r="13" ht="15" customHeight="1">
      <c r="B13" s="223" t="inlineStr">
        <is>
          <t>Всего по объекту:</t>
        </is>
      </c>
      <c r="C13" s="306" t="n"/>
      <c r="D13" s="306" t="n"/>
      <c r="E13" s="307" t="n"/>
      <c r="F13" s="207">
        <f>SUM(F12:F12)</f>
        <v/>
      </c>
      <c r="G13" s="207">
        <f>SUM(G12:G12)</f>
        <v/>
      </c>
      <c r="H13" s="207">
        <f>SUM(H12:H12)</f>
        <v/>
      </c>
      <c r="I13" s="207" t="n"/>
      <c r="J13" s="207">
        <f>SUM(F13:I13)</f>
        <v/>
      </c>
      <c r="K13" s="205" t="n"/>
      <c r="L13" s="310" t="n"/>
    </row>
    <row r="14" ht="15.75" customHeight="1">
      <c r="B14" s="223" t="inlineStr">
        <is>
          <t>Всего по объекту в сопоставимом уровне цен 4 кв. 2021 г. :</t>
        </is>
      </c>
      <c r="C14" s="306" t="n"/>
      <c r="D14" s="306" t="n"/>
      <c r="E14" s="307" t="n"/>
      <c r="F14" s="207">
        <f>F13</f>
        <v/>
      </c>
      <c r="G14" s="207">
        <f>G13</f>
        <v/>
      </c>
      <c r="H14" s="207">
        <f>H13</f>
        <v/>
      </c>
      <c r="I14" s="207">
        <f>'Прил.1 Сравнит табл'!D21</f>
        <v/>
      </c>
      <c r="J14" s="20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fitToHeight="0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9"/>
  <sheetViews>
    <sheetView view="pageBreakPreview" topLeftCell="A25" zoomScale="85" workbookViewId="0">
      <selection activeCell="D45" sqref="D45"/>
    </sheetView>
  </sheetViews>
  <sheetFormatPr baseColWidth="8" defaultColWidth="9.140625" defaultRowHeight="15.75"/>
  <cols>
    <col width="9.140625" customWidth="1" style="153" min="1" max="1"/>
    <col width="12.5703125" customWidth="1" style="143" min="2" max="2"/>
    <col width="22.42578125" customWidth="1" style="153" min="3" max="3"/>
    <col width="49.7109375" customWidth="1" style="144" min="4" max="4"/>
    <col width="10.140625" customWidth="1" style="144" min="5" max="5"/>
    <col width="20.7109375" customWidth="1" style="144" min="6" max="6"/>
    <col width="20" customWidth="1" style="219" min="7" max="7"/>
    <col width="16.7109375" customWidth="1" style="144" min="8" max="8"/>
    <col width="15.85546875" customWidth="1" style="143" min="9" max="10"/>
    <col width="15" customWidth="1" style="143" min="11" max="11"/>
    <col width="9.140625" customWidth="1" style="143" min="12" max="12"/>
  </cols>
  <sheetData>
    <row r="2">
      <c r="A2" s="219" t="inlineStr">
        <is>
          <t xml:space="preserve">Приложение № 3 </t>
        </is>
      </c>
    </row>
    <row r="3">
      <c r="A3" s="220" t="inlineStr">
        <is>
          <t>Объектная ресурсная ведомость</t>
        </is>
      </c>
    </row>
    <row r="4" ht="18.75" customHeight="1">
      <c r="A4" s="169" t="n"/>
      <c r="B4" s="169" t="n"/>
      <c r="C4" s="226" t="n"/>
    </row>
    <row r="6">
      <c r="A6" s="225" t="inlineStr">
        <is>
          <t>Наименование разрабатываемого показателя УНЦ -  АСУ ТП ПС присоединения напряжение 6-20 кВ</t>
        </is>
      </c>
    </row>
    <row r="7">
      <c r="B7" s="225" t="n"/>
      <c r="D7" s="225" t="n"/>
      <c r="E7" s="225" t="n"/>
      <c r="F7" s="225" t="n"/>
      <c r="H7" s="225" t="n"/>
    </row>
    <row r="8" ht="38.25" customHeight="1">
      <c r="A8" s="224" t="inlineStr">
        <is>
          <t>п/п</t>
        </is>
      </c>
      <c r="B8" s="224" t="inlineStr">
        <is>
          <t>№ЛСР</t>
        </is>
      </c>
      <c r="C8" s="224" t="inlineStr">
        <is>
          <t>Код ресурса</t>
        </is>
      </c>
      <c r="D8" s="224" t="inlineStr">
        <is>
          <t>Наименование ресурса</t>
        </is>
      </c>
      <c r="E8" s="224" t="inlineStr">
        <is>
          <t>Ед. изм.</t>
        </is>
      </c>
      <c r="F8" s="224" t="inlineStr">
        <is>
          <t>Кол-во единиц по данным объекта-представителя</t>
        </is>
      </c>
      <c r="G8" s="224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4" t="inlineStr">
        <is>
          <t>на ед.изм.</t>
        </is>
      </c>
      <c r="H9" s="224" t="inlineStr">
        <is>
          <t>общая</t>
        </is>
      </c>
    </row>
    <row r="10">
      <c r="A10" s="158" t="n">
        <v>1</v>
      </c>
      <c r="B10" s="158" t="n"/>
      <c r="C10" s="158" t="n">
        <v>2</v>
      </c>
      <c r="D10" s="158" t="inlineStr">
        <is>
          <t>З</t>
        </is>
      </c>
      <c r="E10" s="158" t="n">
        <v>4</v>
      </c>
      <c r="F10" s="158" t="n">
        <v>5</v>
      </c>
      <c r="G10" s="182" t="n">
        <v>6</v>
      </c>
      <c r="H10" s="158" t="n">
        <v>7</v>
      </c>
    </row>
    <row r="11" customFormat="1" s="156">
      <c r="A11" s="228" t="inlineStr">
        <is>
          <t>Затраты труда рабочих</t>
        </is>
      </c>
      <c r="B11" s="306" t="n"/>
      <c r="C11" s="306" t="n"/>
      <c r="D11" s="306" t="n"/>
      <c r="E11" s="307" t="n"/>
      <c r="F11" s="311" t="n">
        <v>120.16</v>
      </c>
      <c r="G11" s="105" t="n"/>
      <c r="H11" s="312">
        <f>SUM(H12:H14)</f>
        <v/>
      </c>
      <c r="I11" s="313" t="n"/>
      <c r="J11" s="313" t="n"/>
    </row>
    <row r="12">
      <c r="A12" s="238" t="n">
        <v>1</v>
      </c>
      <c r="B12" s="157" t="n"/>
      <c r="C12" s="135" t="inlineStr">
        <is>
          <t>1-3-8</t>
        </is>
      </c>
      <c r="D12" s="237" t="inlineStr">
        <is>
          <t>Затраты труда рабочих (ср 3,8)</t>
        </is>
      </c>
      <c r="E12" s="238" t="inlineStr">
        <is>
          <t>чел.-ч</t>
        </is>
      </c>
      <c r="F12" s="238" t="n">
        <v>61.28</v>
      </c>
      <c r="G12" s="255" t="n">
        <v>9.4</v>
      </c>
      <c r="H12" s="127">
        <f>ROUND(F12*G12,2)</f>
        <v/>
      </c>
      <c r="M12" s="314" t="n"/>
    </row>
    <row r="13">
      <c r="A13" s="238" t="n">
        <v>2</v>
      </c>
      <c r="B13" s="157" t="n"/>
      <c r="C13" s="135" t="inlineStr">
        <is>
          <t>1-4-0</t>
        </is>
      </c>
      <c r="D13" s="237" t="inlineStr">
        <is>
          <t>Затраты труда рабочих (ср 4)</t>
        </is>
      </c>
      <c r="E13" s="238" t="inlineStr">
        <is>
          <t>чел.-ч</t>
        </is>
      </c>
      <c r="F13" s="238" t="n">
        <v>57.2</v>
      </c>
      <c r="G13" s="255" t="n">
        <v>9.619999999999999</v>
      </c>
      <c r="H13" s="127">
        <f>ROUND(F13*G13,2)</f>
        <v/>
      </c>
    </row>
    <row r="14">
      <c r="A14" s="238" t="n">
        <v>3</v>
      </c>
      <c r="B14" s="157" t="n"/>
      <c r="C14" s="135" t="inlineStr">
        <is>
          <t>1-4-2</t>
        </is>
      </c>
      <c r="D14" s="237" t="inlineStr">
        <is>
          <t>Затраты труда рабочих (ср 4,2)</t>
        </is>
      </c>
      <c r="E14" s="238" t="inlineStr">
        <is>
          <t>чел.-ч</t>
        </is>
      </c>
      <c r="F14" s="238" t="n">
        <v>1.68</v>
      </c>
      <c r="G14" s="255" t="n">
        <v>9.92</v>
      </c>
      <c r="H14" s="127">
        <f>ROUND(F14*G14,2)</f>
        <v/>
      </c>
    </row>
    <row r="15">
      <c r="A15" s="227" t="inlineStr">
        <is>
          <t>Затраты труда машинистов</t>
        </is>
      </c>
      <c r="B15" s="306" t="n"/>
      <c r="C15" s="306" t="n"/>
      <c r="D15" s="306" t="n"/>
      <c r="E15" s="307" t="n"/>
      <c r="F15" s="181" t="n"/>
      <c r="G15" s="183" t="n"/>
      <c r="H15" s="312">
        <f>H16</f>
        <v/>
      </c>
    </row>
    <row r="16">
      <c r="A16" s="238" t="n">
        <v>4</v>
      </c>
      <c r="B16" s="229" t="n"/>
      <c r="C16" s="135" t="n">
        <v>2</v>
      </c>
      <c r="D16" s="237" t="inlineStr">
        <is>
          <t>Затраты труда машинистов(справочно)</t>
        </is>
      </c>
      <c r="E16" s="238" t="inlineStr">
        <is>
          <t>чел.-ч</t>
        </is>
      </c>
      <c r="F16" s="238" t="n">
        <v>8.42</v>
      </c>
      <c r="G16" s="32" t="n"/>
      <c r="H16" s="185" t="n">
        <v>105.68</v>
      </c>
    </row>
    <row r="17" customFormat="1" s="156">
      <c r="A17" s="228" t="inlineStr">
        <is>
          <t>Машины и механизмы</t>
        </is>
      </c>
      <c r="B17" s="306" t="n"/>
      <c r="C17" s="306" t="n"/>
      <c r="D17" s="306" t="n"/>
      <c r="E17" s="307" t="n"/>
      <c r="F17" s="181" t="n"/>
      <c r="G17" s="183" t="n"/>
      <c r="H17" s="312">
        <f>SUM(H18:H20)</f>
        <v/>
      </c>
      <c r="I17" s="313" t="n"/>
      <c r="J17" s="313" t="n"/>
    </row>
    <row r="18" ht="25.5" customHeight="1">
      <c r="A18" s="238" t="n">
        <v>5</v>
      </c>
      <c r="B18" s="229" t="n"/>
      <c r="C18" s="135" t="inlineStr">
        <is>
          <t>91.05.05-014</t>
        </is>
      </c>
      <c r="D18" s="237" t="inlineStr">
        <is>
          <t>Краны на автомобильном ходу, грузоподъемность 10 т</t>
        </is>
      </c>
      <c r="E18" s="238" t="inlineStr">
        <is>
          <t>маш.час</t>
        </is>
      </c>
      <c r="F18" s="135" t="n">
        <v>4.21</v>
      </c>
      <c r="G18" s="255" t="n">
        <v>111.99</v>
      </c>
      <c r="H18" s="127">
        <f>ROUND(F18*G18,2)</f>
        <v/>
      </c>
      <c r="I18" s="167" t="n"/>
      <c r="J18" s="167" t="n"/>
      <c r="L18" s="167" t="n"/>
    </row>
    <row r="19" customFormat="1" s="156">
      <c r="A19" s="238" t="n">
        <v>6</v>
      </c>
      <c r="B19" s="229" t="n"/>
      <c r="C19" s="135" t="inlineStr">
        <is>
          <t>91.14.02-001</t>
        </is>
      </c>
      <c r="D19" s="237" t="inlineStr">
        <is>
          <t>Автомобили бортовые, грузоподъемность: до 5 т</t>
        </is>
      </c>
      <c r="E19" s="238" t="inlineStr">
        <is>
          <t>маш.час</t>
        </is>
      </c>
      <c r="F19" s="135" t="n">
        <v>4.21</v>
      </c>
      <c r="G19" s="255" t="n">
        <v>65.70999999999999</v>
      </c>
      <c r="H19" s="127">
        <f>ROUND(F19*G19,2)</f>
        <v/>
      </c>
      <c r="I19" s="167" t="n"/>
      <c r="J19" s="167" t="n"/>
      <c r="L19" s="167" t="n"/>
    </row>
    <row r="20" ht="25.5" customHeight="1">
      <c r="A20" s="238" t="n">
        <v>7</v>
      </c>
      <c r="B20" s="229" t="n"/>
      <c r="C20" s="135" t="inlineStr">
        <is>
          <t>91.17.04-233</t>
        </is>
      </c>
      <c r="D20" s="237" t="inlineStr">
        <is>
          <t>Установки для сварки: ручной дуговой (постоянного тока)</t>
        </is>
      </c>
      <c r="E20" s="238" t="inlineStr">
        <is>
          <t>маш.час</t>
        </is>
      </c>
      <c r="F20" s="135" t="n">
        <v>9.880000000000001</v>
      </c>
      <c r="G20" s="255" t="n">
        <v>8.1</v>
      </c>
      <c r="H20" s="127">
        <f>ROUND(F20*G20,2)</f>
        <v/>
      </c>
      <c r="I20" s="167" t="n"/>
      <c r="J20" s="167" t="n"/>
      <c r="L20" s="167" t="n"/>
    </row>
    <row r="21" ht="15" customHeight="1">
      <c r="A21" s="227" t="inlineStr">
        <is>
          <t>Оборудование</t>
        </is>
      </c>
      <c r="B21" s="306" t="n"/>
      <c r="C21" s="306" t="n"/>
      <c r="D21" s="306" t="n"/>
      <c r="E21" s="307" t="n"/>
      <c r="F21" s="10" t="n"/>
      <c r="G21" s="105" t="n"/>
      <c r="H21" s="312">
        <f>SUM(H22:H22)</f>
        <v/>
      </c>
      <c r="I21" s="313" t="n"/>
      <c r="J21" s="313" t="n"/>
    </row>
    <row r="22" ht="38.25" customHeight="1">
      <c r="A22" s="173" t="n">
        <v>8</v>
      </c>
      <c r="B22" s="227" t="n"/>
      <c r="C22" s="174" t="inlineStr">
        <is>
          <t>61.2.07.04-0012</t>
        </is>
      </c>
      <c r="D22" s="175" t="inlineStr">
        <is>
          <t>Контроллер присоединения - уровень напряжения присоедиения 6-20 кВ (1 контроллер на 1 присоединение)</t>
        </is>
      </c>
      <c r="E22" s="174" t="inlineStr">
        <is>
          <t>шт</t>
        </is>
      </c>
      <c r="F22" s="315" t="n">
        <v>1</v>
      </c>
      <c r="G22" s="175" t="n">
        <v>1888.24</v>
      </c>
      <c r="H22" s="186">
        <f>ROUND(F22*G22,2)</f>
        <v/>
      </c>
      <c r="I22" s="164" t="n"/>
    </row>
    <row r="23">
      <c r="A23" s="228" t="inlineStr">
        <is>
          <t>Материалы</t>
        </is>
      </c>
      <c r="B23" s="306" t="n"/>
      <c r="C23" s="306" t="n"/>
      <c r="D23" s="306" t="n"/>
      <c r="E23" s="307" t="n"/>
      <c r="F23" s="181" t="n"/>
      <c r="G23" s="183" t="n"/>
      <c r="H23" s="312">
        <f>SUM(H24:H42)</f>
        <v/>
      </c>
      <c r="I23" s="313" t="n"/>
      <c r="J23" s="313" t="n"/>
    </row>
    <row r="24" ht="63.75" customHeight="1">
      <c r="A24" s="173" t="n">
        <v>9</v>
      </c>
      <c r="B24" s="229" t="n"/>
      <c r="C24" s="135" t="inlineStr">
        <is>
          <t>21.1.08.03-0587</t>
        </is>
      </c>
      <c r="D24" s="237" t="inlineStr">
        <is>
          <t>Кабели контрольные с медными жилами с поливинилхлоридной изоляцией и оболочкой, с экраном, не распространяющие горение, с низким дымо- и газовыделением, напряжением 0,66 кВ, марки: КВВГЭнг(А)-LS 10х2,5</t>
        </is>
      </c>
      <c r="E24" s="238" t="inlineStr">
        <is>
          <t>1000 м</t>
        </is>
      </c>
      <c r="F24" s="135" t="n">
        <v>0.204</v>
      </c>
      <c r="G24" s="255" t="n">
        <v>67943.28999999999</v>
      </c>
      <c r="H24" s="127">
        <f>ROUND(F24*G24,2)</f>
        <v/>
      </c>
      <c r="I24" s="313" t="n"/>
      <c r="J24" s="313" t="n"/>
      <c r="K24" s="313" t="n"/>
    </row>
    <row r="25" ht="25.5" customHeight="1">
      <c r="A25" s="173" t="n">
        <v>10</v>
      </c>
      <c r="B25" s="229" t="n"/>
      <c r="C25" s="135" t="inlineStr">
        <is>
          <t>20.2.10.03-0002</t>
        </is>
      </c>
      <c r="D25" s="237" t="inlineStr">
        <is>
          <t>Наконечники кабельные: медные для электротехнических установок</t>
        </is>
      </c>
      <c r="E25" s="238" t="inlineStr">
        <is>
          <t>100 шт</t>
        </is>
      </c>
      <c r="F25" s="135" t="n">
        <v>0.1836</v>
      </c>
      <c r="G25" s="255" t="n">
        <v>3986</v>
      </c>
      <c r="H25" s="127">
        <f>ROUND(F25*G25,2)</f>
        <v/>
      </c>
      <c r="I25" s="164" t="n"/>
      <c r="J25" s="167" t="n"/>
      <c r="K25" s="167" t="n"/>
    </row>
    <row r="26" ht="25.5" customHeight="1">
      <c r="A26" s="173" t="n">
        <v>11</v>
      </c>
      <c r="B26" s="229" t="n"/>
      <c r="C26" s="135" t="inlineStr">
        <is>
          <t>21.2.01.02-0141</t>
        </is>
      </c>
      <c r="D26" s="237" t="inlineStr">
        <is>
          <t>Провода неизолированные для воздушных линий электропередачи медные марки: М, сечением 4 мм2</t>
        </is>
      </c>
      <c r="E26" s="238" t="inlineStr">
        <is>
          <t>т</t>
        </is>
      </c>
      <c r="F26" s="135" t="n">
        <v>0.0044</v>
      </c>
      <c r="G26" s="255" t="n">
        <v>96440</v>
      </c>
      <c r="H26" s="127">
        <f>ROUND(F26*G26,2)</f>
        <v/>
      </c>
      <c r="I26" s="164" t="n"/>
      <c r="J26" s="167" t="n"/>
      <c r="K26" s="167" t="n"/>
    </row>
    <row r="27" ht="25.5" customHeight="1">
      <c r="A27" s="173" t="n">
        <v>12</v>
      </c>
      <c r="B27" s="229" t="n"/>
      <c r="C27" s="135" t="inlineStr">
        <is>
          <t>10.3.02.03-0011</t>
        </is>
      </c>
      <c r="D27" s="237" t="inlineStr">
        <is>
          <t>Припои оловянно-свинцовые бессурьмянистые марки: ПОС30</t>
        </is>
      </c>
      <c r="E27" s="238" t="inlineStr">
        <is>
          <t>кг</t>
        </is>
      </c>
      <c r="F27" s="135" t="n">
        <v>2.008</v>
      </c>
      <c r="G27" s="255" t="n">
        <v>68.05</v>
      </c>
      <c r="H27" s="127">
        <f>ROUND(F27*G27,2)</f>
        <v/>
      </c>
      <c r="I27" s="164" t="n"/>
      <c r="J27" s="167" t="n"/>
      <c r="K27" s="167" t="n"/>
    </row>
    <row r="28">
      <c r="A28" s="173" t="n">
        <v>13</v>
      </c>
      <c r="B28" s="229" t="n"/>
      <c r="C28" s="135" t="inlineStr">
        <is>
          <t>20.1.02.06-0001</t>
        </is>
      </c>
      <c r="D28" s="237" t="inlineStr">
        <is>
          <t>Жир паяльный</t>
        </is>
      </c>
      <c r="E28" s="238" t="inlineStr">
        <is>
          <t>кг</t>
        </is>
      </c>
      <c r="F28" s="135" t="n">
        <v>0.8</v>
      </c>
      <c r="G28" s="255" t="n">
        <v>100.8</v>
      </c>
      <c r="H28" s="127">
        <f>ROUND(F28*G28,2)</f>
        <v/>
      </c>
      <c r="I28" s="164" t="n"/>
      <c r="J28" s="167" t="n"/>
    </row>
    <row r="29">
      <c r="A29" s="173" t="n">
        <v>14</v>
      </c>
      <c r="B29" s="229" t="n"/>
      <c r="C29" s="135" t="inlineStr">
        <is>
          <t>01.7.11.07-0034</t>
        </is>
      </c>
      <c r="D29" s="237" t="inlineStr">
        <is>
          <t>Электроды диаметром: 4 мм Э42А</t>
        </is>
      </c>
      <c r="E29" s="238" t="inlineStr">
        <is>
          <t>кг</t>
        </is>
      </c>
      <c r="F29" s="135" t="n">
        <v>6</v>
      </c>
      <c r="G29" s="255" t="n">
        <v>10.57</v>
      </c>
      <c r="H29" s="127">
        <f>ROUND(F29*G29,2)</f>
        <v/>
      </c>
      <c r="I29" s="164" t="n"/>
      <c r="J29" s="167" t="n"/>
    </row>
    <row r="30">
      <c r="A30" s="173" t="n">
        <v>15</v>
      </c>
      <c r="B30" s="229" t="n"/>
      <c r="C30" s="135" t="inlineStr">
        <is>
          <t>01.7.02.07-0011</t>
        </is>
      </c>
      <c r="D30" s="237" t="inlineStr">
        <is>
          <t>Прессшпан листовой, марки А</t>
        </is>
      </c>
      <c r="E30" s="238" t="inlineStr">
        <is>
          <t>кг</t>
        </is>
      </c>
      <c r="F30" s="135" t="n">
        <v>1.1</v>
      </c>
      <c r="G30" s="255" t="n">
        <v>47.57</v>
      </c>
      <c r="H30" s="127">
        <f>ROUND(F30*G30,2)</f>
        <v/>
      </c>
      <c r="I30" s="164" t="n"/>
      <c r="J30" s="167" t="n"/>
    </row>
    <row r="31" ht="25.5" customHeight="1">
      <c r="A31" s="173" t="n">
        <v>16</v>
      </c>
      <c r="B31" s="229" t="n"/>
      <c r="C31" s="135" t="inlineStr">
        <is>
          <t>01.7.06.05-0041</t>
        </is>
      </c>
      <c r="D31" s="237" t="inlineStr">
        <is>
          <t>Лента изоляционная прорезиненная односторонняя ширина 20 мм, толщина 0,25-0,35 мм</t>
        </is>
      </c>
      <c r="E31" s="238" t="inlineStr">
        <is>
          <t>кг</t>
        </is>
      </c>
      <c r="F31" s="135" t="n">
        <v>0.82</v>
      </c>
      <c r="G31" s="255" t="n">
        <v>30.4</v>
      </c>
      <c r="H31" s="127">
        <f>ROUND(F31*G31,2)</f>
        <v/>
      </c>
      <c r="I31" s="164" t="n"/>
      <c r="J31" s="167" t="n"/>
    </row>
    <row r="32" ht="25.5" customHeight="1">
      <c r="A32" s="173" t="n">
        <v>17</v>
      </c>
      <c r="B32" s="229" t="n"/>
      <c r="C32" s="135" t="inlineStr">
        <is>
          <t>999-9950</t>
        </is>
      </c>
      <c r="D32" s="237" t="inlineStr">
        <is>
          <t>Вспомогательные ненормируемые ресурсы (2% от Оплаты труда рабочих)</t>
        </is>
      </c>
      <c r="E32" s="238" t="inlineStr">
        <is>
          <t>руб.</t>
        </is>
      </c>
      <c r="F32" s="239" t="n">
        <v>22.82</v>
      </c>
      <c r="G32" s="255" t="n">
        <v>1</v>
      </c>
      <c r="H32" s="32">
        <f>ROUND(F32*G32,2)</f>
        <v/>
      </c>
      <c r="I32" s="164" t="n"/>
      <c r="J32" s="167" t="n"/>
    </row>
    <row r="33">
      <c r="A33" s="173" t="n">
        <v>18</v>
      </c>
      <c r="B33" s="229" t="n"/>
      <c r="C33" s="135" t="inlineStr">
        <is>
          <t>01.7.15.04-0011</t>
        </is>
      </c>
      <c r="D33" s="237" t="inlineStr">
        <is>
          <t>Винты с полукруглой головкой длиной: 50 мм</t>
        </is>
      </c>
      <c r="E33" s="238" t="inlineStr">
        <is>
          <t>т</t>
        </is>
      </c>
      <c r="F33" s="135" t="n">
        <v>0.0012</v>
      </c>
      <c r="G33" s="255" t="n">
        <v>12430</v>
      </c>
      <c r="H33" s="32">
        <f>ROUND(F33*G33,2)</f>
        <v/>
      </c>
      <c r="I33" s="164" t="n"/>
      <c r="J33" s="167" t="n"/>
    </row>
    <row r="34">
      <c r="A34" s="173" t="n">
        <v>19</v>
      </c>
      <c r="B34" s="229" t="n"/>
      <c r="C34" s="135" t="inlineStr">
        <is>
          <t>25.2.01.01-0001</t>
        </is>
      </c>
      <c r="D34" s="237" t="inlineStr">
        <is>
          <t>Бирки-оконцеватели</t>
        </is>
      </c>
      <c r="E34" s="238" t="inlineStr">
        <is>
          <t>100 шт</t>
        </is>
      </c>
      <c r="F34" s="135" t="n">
        <v>0.102</v>
      </c>
      <c r="G34" s="255" t="n">
        <v>63</v>
      </c>
      <c r="H34" s="32">
        <f>ROUND(F34*G34,2)</f>
        <v/>
      </c>
      <c r="I34" s="164" t="n"/>
      <c r="J34" s="167" t="n"/>
    </row>
    <row r="35">
      <c r="A35" s="173" t="n">
        <v>20</v>
      </c>
      <c r="B35" s="229" t="n"/>
      <c r="C35" s="135" t="inlineStr">
        <is>
          <t>01.7.06.07-0001</t>
        </is>
      </c>
      <c r="D35" s="237" t="inlineStr">
        <is>
          <t>Лента К226</t>
        </is>
      </c>
      <c r="E35" s="238" t="inlineStr">
        <is>
          <t>100 м</t>
        </is>
      </c>
      <c r="F35" s="135" t="n">
        <v>0.0532</v>
      </c>
      <c r="G35" s="255" t="n">
        <v>120</v>
      </c>
      <c r="H35" s="32">
        <f>ROUND(F35*G35,2)</f>
        <v/>
      </c>
      <c r="I35" s="164" t="n"/>
      <c r="J35" s="167" t="n"/>
    </row>
    <row r="36">
      <c r="A36" s="173" t="n">
        <v>21</v>
      </c>
      <c r="B36" s="229" t="n"/>
      <c r="C36" s="135" t="inlineStr">
        <is>
          <t>14.4.02.09-0001</t>
        </is>
      </c>
      <c r="D36" s="237" t="inlineStr">
        <is>
          <t>Краска</t>
        </is>
      </c>
      <c r="E36" s="238" t="inlineStr">
        <is>
          <t>кг</t>
        </is>
      </c>
      <c r="F36" s="135" t="n">
        <v>0.2</v>
      </c>
      <c r="G36" s="255" t="n">
        <v>28.6</v>
      </c>
      <c r="H36" s="32">
        <f>ROUND(F36*G36,2)</f>
        <v/>
      </c>
      <c r="I36" s="164" t="n"/>
      <c r="J36" s="167" t="n"/>
    </row>
    <row r="37" customFormat="1" s="156">
      <c r="A37" s="173" t="n">
        <v>22</v>
      </c>
      <c r="B37" s="229" t="n"/>
      <c r="C37" s="135" t="inlineStr">
        <is>
          <t>24.3.01.01-0001</t>
        </is>
      </c>
      <c r="D37" s="237" t="inlineStr">
        <is>
          <t>Трубка поливинилхлоридная ХВТ</t>
        </is>
      </c>
      <c r="E37" s="238" t="inlineStr">
        <is>
          <t>кг</t>
        </is>
      </c>
      <c r="F37" s="135" t="n">
        <v>0.108</v>
      </c>
      <c r="G37" s="255" t="n">
        <v>41.7</v>
      </c>
      <c r="H37" s="32">
        <f>ROUND(F37*G37,2)</f>
        <v/>
      </c>
      <c r="I37" s="164" t="n"/>
      <c r="J37" s="167" t="n"/>
    </row>
    <row r="38">
      <c r="A38" s="173" t="n">
        <v>23</v>
      </c>
      <c r="B38" s="229" t="n"/>
      <c r="C38" s="135" t="inlineStr">
        <is>
          <t>20.1.02.23-0082</t>
        </is>
      </c>
      <c r="D38" s="237" t="inlineStr">
        <is>
          <t>Перемычки гибкие, тип ПГС-50</t>
        </is>
      </c>
      <c r="E38" s="238" t="inlineStr">
        <is>
          <t>10 шт</t>
        </is>
      </c>
      <c r="F38" s="135" t="n">
        <v>0.1</v>
      </c>
      <c r="G38" s="255" t="n">
        <v>39</v>
      </c>
      <c r="H38" s="32">
        <f>ROUND(F38*G38,2)</f>
        <v/>
      </c>
      <c r="I38" s="164" t="n"/>
      <c r="J38" s="167" t="n"/>
    </row>
    <row r="39">
      <c r="A39" s="173" t="n">
        <v>24</v>
      </c>
      <c r="B39" s="229" t="n"/>
      <c r="C39" s="135" t="inlineStr">
        <is>
          <t>01.3.01.05-0009</t>
        </is>
      </c>
      <c r="D39" s="237" t="inlineStr">
        <is>
          <t>Парафины нефтяные твердые марки Т-1</t>
        </is>
      </c>
      <c r="E39" s="238" t="inlineStr">
        <is>
          <t>т</t>
        </is>
      </c>
      <c r="F39" s="135" t="n">
        <v>0.0004</v>
      </c>
      <c r="G39" s="255" t="n">
        <v>8105.71</v>
      </c>
      <c r="H39" s="32">
        <f>ROUND(F39*G39,2)</f>
        <v/>
      </c>
      <c r="I39" s="164" t="n"/>
      <c r="J39" s="167" t="n"/>
      <c r="K39" s="167" t="n"/>
    </row>
    <row r="40">
      <c r="A40" s="173" t="n">
        <v>25</v>
      </c>
      <c r="B40" s="229" t="n"/>
      <c r="C40" s="135" t="inlineStr">
        <is>
          <t>01.3.01.02-0002</t>
        </is>
      </c>
      <c r="D40" s="237" t="inlineStr">
        <is>
          <t>Вазелин технический</t>
        </is>
      </c>
      <c r="E40" s="238" t="inlineStr">
        <is>
          <t>кг</t>
        </is>
      </c>
      <c r="F40" s="135" t="n">
        <v>0.01</v>
      </c>
      <c r="G40" s="255" t="n">
        <v>44.97</v>
      </c>
      <c r="H40" s="32">
        <f>ROUND(F40*G40,2)</f>
        <v/>
      </c>
      <c r="I40" s="164" t="n"/>
      <c r="J40" s="167" t="n"/>
      <c r="K40" s="167" t="n"/>
    </row>
    <row r="41">
      <c r="A41" s="173" t="n">
        <v>26</v>
      </c>
      <c r="B41" s="229" t="n"/>
      <c r="C41" s="135" t="inlineStr">
        <is>
          <t>01.7.20.04-0005</t>
        </is>
      </c>
      <c r="D41" s="237" t="inlineStr">
        <is>
          <t>Нитки швейные</t>
        </is>
      </c>
      <c r="E41" s="238" t="inlineStr">
        <is>
          <t>кг</t>
        </is>
      </c>
      <c r="F41" s="135" t="n">
        <v>0.001</v>
      </c>
      <c r="G41" s="255" t="n">
        <v>133.05</v>
      </c>
      <c r="H41" s="32">
        <f>ROUND(F41*G41,2)</f>
        <v/>
      </c>
      <c r="J41" s="167" t="n"/>
    </row>
    <row r="42">
      <c r="A42" s="173" t="n">
        <v>27</v>
      </c>
      <c r="B42" s="229" t="n"/>
      <c r="C42" s="135" t="inlineStr">
        <is>
          <t>01.7.02.09-0002</t>
        </is>
      </c>
      <c r="D42" s="237" t="inlineStr">
        <is>
          <t>Шпагат бумажный</t>
        </is>
      </c>
      <c r="E42" s="238" t="inlineStr">
        <is>
          <t>кг</t>
        </is>
      </c>
      <c r="F42" s="135" t="n">
        <v>0.002</v>
      </c>
      <c r="G42" s="255" t="n">
        <v>11.5</v>
      </c>
      <c r="H42" s="32">
        <f>ROUND(F42*G42,2)</f>
        <v/>
      </c>
      <c r="J42" s="167" t="n"/>
    </row>
    <row r="45">
      <c r="B45" s="143" t="inlineStr">
        <is>
          <t>Составил ______________________     А.Р. Маркова</t>
        </is>
      </c>
    </row>
    <row r="46">
      <c r="B46" s="144" t="inlineStr">
        <is>
          <t xml:space="preserve">                         (подпись, инициалы, фамилия)</t>
        </is>
      </c>
    </row>
    <row r="48">
      <c r="B48" s="143" t="inlineStr">
        <is>
          <t>Проверил ______________________        А.В. Костянецкая</t>
        </is>
      </c>
    </row>
    <row r="49">
      <c r="B49" s="144" t="inlineStr">
        <is>
          <t xml:space="preserve">                        (подпись, инициалы, фамилия)</t>
        </is>
      </c>
    </row>
  </sheetData>
  <mergeCells count="16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A23:E23"/>
    <mergeCell ref="C4:H4"/>
    <mergeCell ref="G8:H8"/>
    <mergeCell ref="A17:E17"/>
    <mergeCell ref="A6:H6"/>
  </mergeCells>
  <conditionalFormatting sqref="C18:C20">
    <cfRule type="duplicateValues" priority="1" dxfId="0"/>
  </conditionalFormatting>
  <conditionalFormatting sqref="C24:C42">
    <cfRule type="duplicateValues" priority="2" dxfId="0"/>
  </conditionalFormatting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9" t="inlineStr">
        <is>
          <t>Ресурсная модель</t>
        </is>
      </c>
    </row>
    <row r="6">
      <c r="B6" s="163" t="n"/>
      <c r="C6" s="4" t="n"/>
      <c r="D6" s="4" t="n"/>
      <c r="E6" s="4" t="n"/>
    </row>
    <row r="7" ht="25.5" customHeight="1">
      <c r="B7" s="218" t="inlineStr">
        <is>
          <t>Наименование разрабатываемого показателя УНЦ — АСУ ТП ПС присоединения напряжение 6-20 кВ</t>
        </is>
      </c>
    </row>
    <row r="8">
      <c r="B8" s="231" t="inlineStr">
        <is>
          <t>Единица измерения  — 1 ед</t>
        </is>
      </c>
    </row>
    <row r="9">
      <c r="B9" s="163" t="n"/>
      <c r="C9" s="4" t="n"/>
      <c r="D9" s="4" t="n"/>
      <c r="E9" s="4" t="n"/>
    </row>
    <row r="10" ht="51" customHeight="1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0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0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0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0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0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0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0">
        <f>'Прил.5 Расчет СМР и ОБ'!J55</f>
        <v/>
      </c>
      <c r="D17" s="27">
        <f>C17/$C$24</f>
        <v/>
      </c>
      <c r="E17" s="27">
        <f>C17/$C$40</f>
        <v/>
      </c>
      <c r="G17" s="316" t="n"/>
    </row>
    <row r="18">
      <c r="B18" s="25" t="inlineStr">
        <is>
          <t>МАТЕРИАЛЫ, ВСЕГО:</t>
        </is>
      </c>
      <c r="C18" s="160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0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0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0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0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0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0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1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1" t="n"/>
    </row>
    <row r="31">
      <c r="B31" s="25" t="inlineStr">
        <is>
          <t>Пусконаладочные работы</t>
        </is>
      </c>
      <c r="C31" s="188" t="n">
        <v>880.3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4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1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1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0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0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0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0">
        <f>C40/'Прил.5 Расчет СМР и ОБ'!E62</f>
        <v/>
      </c>
      <c r="D41" s="25" t="n"/>
      <c r="E41" s="25" t="n"/>
    </row>
    <row r="42">
      <c r="B42" s="159" t="n"/>
      <c r="C42" s="4" t="n"/>
      <c r="D42" s="4" t="n"/>
      <c r="E42" s="4" t="n"/>
    </row>
    <row r="43">
      <c r="B43" s="159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9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9" t="n"/>
      <c r="C45" s="4" t="n"/>
      <c r="D45" s="4" t="n"/>
      <c r="E45" s="4" t="n"/>
    </row>
    <row r="46">
      <c r="B46" s="159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/>
  <rowBreaks count="1" manualBreakCount="1">
    <brk id="43" min="0" max="4" man="1"/>
  </rowBreaks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47" workbookViewId="0">
      <selection activeCell="E64" sqref="E6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9" t="inlineStr">
        <is>
          <t>Расчет стоимости СМР и оборудования</t>
        </is>
      </c>
    </row>
    <row r="5" ht="12.75" customFormat="1" customHeight="1" s="4">
      <c r="A5" s="209" t="n"/>
      <c r="B5" s="209" t="n"/>
      <c r="C5" s="258" t="n"/>
      <c r="D5" s="209" t="n"/>
      <c r="E5" s="209" t="n"/>
      <c r="F5" s="209" t="n"/>
      <c r="G5" s="209" t="n"/>
      <c r="H5" s="209" t="n"/>
      <c r="I5" s="209" t="n"/>
      <c r="J5" s="209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0" t="inlineStr">
        <is>
          <t>АСУ ТП ПС присоединения напряжение 6-20 кВ</t>
        </is>
      </c>
    </row>
    <row r="7" ht="12.75" customFormat="1" customHeight="1" s="4">
      <c r="A7" s="212" t="inlineStr">
        <is>
          <t>Единица измерения  — 1 ед</t>
        </is>
      </c>
      <c r="I7" s="218" t="n"/>
      <c r="J7" s="218" t="n"/>
    </row>
    <row r="8" ht="13.5" customFormat="1" customHeight="1" s="4">
      <c r="A8" s="212" t="n"/>
    </row>
    <row r="9" ht="13.15" customFormat="1" customHeight="1" s="4"/>
    <row r="10" ht="27" customHeight="1">
      <c r="A10" s="238" t="inlineStr">
        <is>
          <t>№ пп.</t>
        </is>
      </c>
      <c r="B10" s="238" t="inlineStr">
        <is>
          <t>Код ресурса</t>
        </is>
      </c>
      <c r="C10" s="238" t="inlineStr">
        <is>
          <t>Наименование</t>
        </is>
      </c>
      <c r="D10" s="238" t="inlineStr">
        <is>
          <t>Ед. изм.</t>
        </is>
      </c>
      <c r="E10" s="238" t="inlineStr">
        <is>
          <t>Кол-во единиц по проектным данным</t>
        </is>
      </c>
      <c r="F10" s="238" t="inlineStr">
        <is>
          <t>Сметная стоимость в ценах на 01.01.2000 (руб.)</t>
        </is>
      </c>
      <c r="G10" s="307" t="n"/>
      <c r="H10" s="238" t="inlineStr">
        <is>
          <t>Удельный вес, %</t>
        </is>
      </c>
      <c r="I10" s="238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38" t="inlineStr">
        <is>
          <t>на ед. изм.</t>
        </is>
      </c>
      <c r="G11" s="238" t="inlineStr">
        <is>
          <t>общая</t>
        </is>
      </c>
      <c r="H11" s="309" t="n"/>
      <c r="I11" s="238" t="inlineStr">
        <is>
          <t>на ед. изм.</t>
        </is>
      </c>
      <c r="J11" s="238" t="inlineStr">
        <is>
          <t>общая</t>
        </is>
      </c>
      <c r="M11" s="12" t="n"/>
      <c r="N11" s="12" t="n"/>
    </row>
    <row r="12">
      <c r="A12" s="238" t="n">
        <v>1</v>
      </c>
      <c r="B12" s="238" t="n">
        <v>2</v>
      </c>
      <c r="C12" s="238" t="n">
        <v>3</v>
      </c>
      <c r="D12" s="238" t="n">
        <v>4</v>
      </c>
      <c r="E12" s="238" t="n">
        <v>5</v>
      </c>
      <c r="F12" s="238" t="n">
        <v>6</v>
      </c>
      <c r="G12" s="238" t="n">
        <v>7</v>
      </c>
      <c r="H12" s="238" t="n">
        <v>8</v>
      </c>
      <c r="I12" s="233" t="n">
        <v>9</v>
      </c>
      <c r="J12" s="233" t="n">
        <v>10</v>
      </c>
      <c r="M12" s="12" t="n"/>
      <c r="N12" s="12" t="n"/>
    </row>
    <row r="13">
      <c r="A13" s="238" t="n"/>
      <c r="B13" s="227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5" t="n"/>
      <c r="J13" s="125" t="n"/>
    </row>
    <row r="14" ht="25.5" customHeight="1">
      <c r="A14" s="238" t="n">
        <v>1</v>
      </c>
      <c r="B14" s="135" t="inlineStr">
        <is>
          <t>1-3-9</t>
        </is>
      </c>
      <c r="C14" s="237" t="inlineStr">
        <is>
          <t>Затраты труда рабочих-строителей среднего разряда (3,9)</t>
        </is>
      </c>
      <c r="D14" s="238" t="inlineStr">
        <is>
          <t>чел.-ч.</t>
        </is>
      </c>
      <c r="E14" s="317">
        <f>G14/F14</f>
        <v/>
      </c>
      <c r="F14" s="32" t="n">
        <v>9.51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8" t="n"/>
      <c r="B15" s="238" t="n"/>
      <c r="C15" s="227" t="inlineStr">
        <is>
          <t>Итого по разделу "Затраты труда рабочих-строителей"</t>
        </is>
      </c>
      <c r="D15" s="238" t="inlineStr">
        <is>
          <t>чел.-ч.</t>
        </is>
      </c>
      <c r="E15" s="317">
        <f>SUM(E14:E14)</f>
        <v/>
      </c>
      <c r="F15" s="32" t="n"/>
      <c r="G15" s="32">
        <f>SUM(G14:G14)</f>
        <v/>
      </c>
      <c r="H15" s="241" t="n">
        <v>1</v>
      </c>
      <c r="I15" s="125" t="n"/>
      <c r="J15" s="32">
        <f>SUM(J14:J14)</f>
        <v/>
      </c>
    </row>
    <row r="16" ht="14.25" customFormat="1" customHeight="1" s="12">
      <c r="A16" s="238" t="n"/>
      <c r="B16" s="237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5" t="n"/>
      <c r="J16" s="125" t="n"/>
    </row>
    <row r="17" ht="14.25" customFormat="1" customHeight="1" s="12">
      <c r="A17" s="238" t="n">
        <v>2</v>
      </c>
      <c r="B17" s="238" t="n">
        <v>2</v>
      </c>
      <c r="C17" s="237" t="inlineStr">
        <is>
          <t>Затраты труда машинистов</t>
        </is>
      </c>
      <c r="D17" s="238" t="inlineStr">
        <is>
          <t>чел.-ч.</t>
        </is>
      </c>
      <c r="E17" s="318" t="n">
        <v>8.42</v>
      </c>
      <c r="F17" s="179">
        <f>G17/E17</f>
        <v/>
      </c>
      <c r="G17" s="32">
        <f>'Прил. 3'!H15</f>
        <v/>
      </c>
      <c r="H17" s="24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8" t="n"/>
      <c r="B18" s="227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5" t="n"/>
      <c r="J18" s="125" t="n"/>
    </row>
    <row r="19" ht="14.25" customFormat="1" customHeight="1" s="12">
      <c r="A19" s="238" t="n"/>
      <c r="B19" s="237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5" t="n"/>
      <c r="J19" s="125" t="n"/>
    </row>
    <row r="20" ht="25.5" customFormat="1" customHeight="1" s="12">
      <c r="A20" s="238" t="n">
        <v>3</v>
      </c>
      <c r="B20" s="135" t="inlineStr">
        <is>
          <t>91.05.05-014</t>
        </is>
      </c>
      <c r="C20" s="237" t="inlineStr">
        <is>
          <t>Краны на автомобильном ходу, грузоподъемность 10 т</t>
        </is>
      </c>
      <c r="D20" s="238" t="inlineStr">
        <is>
          <t>маш.час</t>
        </is>
      </c>
      <c r="E20" s="318" t="n">
        <v>4.21</v>
      </c>
      <c r="F20" s="255" t="n">
        <v>111.99</v>
      </c>
      <c r="G20" s="32">
        <f>ROUND(E20*F20,2)</f>
        <v/>
      </c>
      <c r="H20" s="128">
        <f>G20/$G$25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8" t="n">
        <v>4</v>
      </c>
      <c r="B21" s="135" t="inlineStr">
        <is>
          <t>91.14.02-001</t>
        </is>
      </c>
      <c r="C21" s="237" t="inlineStr">
        <is>
          <t>Автомобили бортовые, грузоподъемность: до 5 т</t>
        </is>
      </c>
      <c r="D21" s="238" t="inlineStr">
        <is>
          <t>маш.час</t>
        </is>
      </c>
      <c r="E21" s="318" t="n">
        <v>4.21</v>
      </c>
      <c r="F21" s="255" t="n">
        <v>65.70999999999999</v>
      </c>
      <c r="G21" s="32">
        <f>ROUND(E21*F21,2)</f>
        <v/>
      </c>
      <c r="H21" s="128">
        <f>G21/$G$25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8" t="n"/>
      <c r="B22" s="238" t="n"/>
      <c r="C22" s="237" t="inlineStr">
        <is>
          <t>Итого основные машины и механизмы</t>
        </is>
      </c>
      <c r="D22" s="238" t="n"/>
      <c r="E22" s="317" t="n"/>
      <c r="F22" s="32" t="n"/>
      <c r="G22" s="32">
        <f>SUM(G20:G21)</f>
        <v/>
      </c>
      <c r="H22" s="241">
        <f>G22/G25</f>
        <v/>
      </c>
      <c r="I22" s="127" t="n"/>
      <c r="J22" s="32">
        <f>SUM(J20:J21)</f>
        <v/>
      </c>
    </row>
    <row r="23" outlineLevel="1" ht="25.5" customFormat="1" customHeight="1" s="12">
      <c r="A23" s="238" t="n">
        <v>5</v>
      </c>
      <c r="B23" s="135" t="inlineStr">
        <is>
          <t>91.17.04-233</t>
        </is>
      </c>
      <c r="C23" s="237" t="inlineStr">
        <is>
          <t>Установки для сварки: ручной дуговой (постоянного тока)</t>
        </is>
      </c>
      <c r="D23" s="238" t="inlineStr">
        <is>
          <t>маш.час</t>
        </is>
      </c>
      <c r="E23" s="318" t="n">
        <v>9.880000000000001</v>
      </c>
      <c r="F23" s="255" t="n">
        <v>8.1</v>
      </c>
      <c r="G23" s="32">
        <f>ROUND(E23*F23,2)</f>
        <v/>
      </c>
      <c r="H23" s="128">
        <f>G23/$G$25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38" t="n"/>
      <c r="B24" s="238" t="n"/>
      <c r="C24" s="237" t="inlineStr">
        <is>
          <t>Итого прочие машины и механизмы</t>
        </is>
      </c>
      <c r="D24" s="238" t="n"/>
      <c r="E24" s="239" t="n"/>
      <c r="F24" s="32" t="n"/>
      <c r="G24" s="127">
        <f>SUM(G23:G23)</f>
        <v/>
      </c>
      <c r="H24" s="128">
        <f>G24/G25</f>
        <v/>
      </c>
      <c r="I24" s="32" t="n"/>
      <c r="J24" s="32">
        <f>SUM(J23:J23)</f>
        <v/>
      </c>
    </row>
    <row r="25" ht="25.5" customFormat="1" customHeight="1" s="12">
      <c r="A25" s="238" t="n"/>
      <c r="B25" s="238" t="n"/>
      <c r="C25" s="227" t="inlineStr">
        <is>
          <t>Итого по разделу «Машины и механизмы»</t>
        </is>
      </c>
      <c r="D25" s="238" t="n"/>
      <c r="E25" s="239" t="n"/>
      <c r="F25" s="32" t="n"/>
      <c r="G25" s="32">
        <f>G24+G22</f>
        <v/>
      </c>
      <c r="H25" s="129" t="n">
        <v>1</v>
      </c>
      <c r="I25" s="130" t="n"/>
      <c r="J25" s="131">
        <f>J24+J22</f>
        <v/>
      </c>
    </row>
    <row r="26" ht="14.25" customFormat="1" customHeight="1" s="12">
      <c r="A26" s="238" t="n"/>
      <c r="B26" s="227" t="inlineStr">
        <is>
          <t>Оборудование</t>
        </is>
      </c>
      <c r="C26" s="306" t="n"/>
      <c r="D26" s="306" t="n"/>
      <c r="E26" s="306" t="n"/>
      <c r="F26" s="306" t="n"/>
      <c r="G26" s="306" t="n"/>
      <c r="H26" s="307" t="n"/>
      <c r="I26" s="125" t="n"/>
      <c r="J26" s="125" t="n"/>
    </row>
    <row r="27">
      <c r="A27" s="238" t="n"/>
      <c r="B27" s="237" t="inlineStr">
        <is>
          <t>Основное оборудование</t>
        </is>
      </c>
      <c r="C27" s="306" t="n"/>
      <c r="D27" s="306" t="n"/>
      <c r="E27" s="306" t="n"/>
      <c r="F27" s="306" t="n"/>
      <c r="G27" s="306" t="n"/>
      <c r="H27" s="307" t="n"/>
      <c r="I27" s="125" t="n"/>
      <c r="J27" s="125" t="n"/>
    </row>
    <row r="28" ht="38.25" customFormat="1" customHeight="1" s="12">
      <c r="A28" s="238" t="n">
        <v>6</v>
      </c>
      <c r="B28" s="174" t="inlineStr">
        <is>
          <t>61.2.07.04-0012</t>
        </is>
      </c>
      <c r="C28" s="175" t="inlineStr">
        <is>
          <t>Контроллер присоединения - уровень напряжения присоедиения 6-20 кВ (1 контроллер на 1 присоединение)</t>
        </is>
      </c>
      <c r="D28" s="174" t="inlineStr">
        <is>
          <t>шт</t>
        </is>
      </c>
      <c r="E28" s="315" t="n">
        <v>1</v>
      </c>
      <c r="F28" s="175" t="n">
        <v>1888.24</v>
      </c>
      <c r="G28" s="32">
        <f>ROUND(E28*F28,2)</f>
        <v/>
      </c>
      <c r="H28" s="128">
        <f>G28/$G$31</f>
        <v/>
      </c>
      <c r="I28" s="32">
        <f>ROUND(F28*'Прил. 10'!$D$13,2)</f>
        <v/>
      </c>
      <c r="J28" s="32">
        <f>ROUND(I28*E28,2)</f>
        <v/>
      </c>
    </row>
    <row r="29">
      <c r="A29" s="238" t="n"/>
      <c r="B29" s="238" t="n"/>
      <c r="C29" s="237" t="inlineStr">
        <is>
          <t>Итого основное оборудование</t>
        </is>
      </c>
      <c r="D29" s="238" t="n"/>
      <c r="E29" s="318" t="n"/>
      <c r="F29" s="240" t="n"/>
      <c r="G29" s="32">
        <f>G28</f>
        <v/>
      </c>
      <c r="H29" s="128">
        <f>G29/$G$31</f>
        <v/>
      </c>
      <c r="I29" s="127" t="n"/>
      <c r="J29" s="32">
        <f>J28</f>
        <v/>
      </c>
    </row>
    <row r="30">
      <c r="A30" s="238" t="n"/>
      <c r="B30" s="238" t="n"/>
      <c r="C30" s="237" t="inlineStr">
        <is>
          <t>Итого прочее оборудование</t>
        </is>
      </c>
      <c r="D30" s="178" t="n"/>
      <c r="E30" s="318" t="n"/>
      <c r="F30" s="240" t="n"/>
      <c r="G30" s="32" t="n">
        <v>0</v>
      </c>
      <c r="H30" s="128">
        <f>G30/$G$31</f>
        <v/>
      </c>
      <c r="I30" s="127" t="n"/>
      <c r="J30" s="32" t="n">
        <v>0</v>
      </c>
    </row>
    <row r="31">
      <c r="A31" s="238" t="n"/>
      <c r="B31" s="238" t="n"/>
      <c r="C31" s="227" t="inlineStr">
        <is>
          <t>Итого по разделу «Оборудование»</t>
        </is>
      </c>
      <c r="D31" s="238" t="n"/>
      <c r="E31" s="239" t="n"/>
      <c r="F31" s="240" t="n"/>
      <c r="G31" s="32">
        <f>G29</f>
        <v/>
      </c>
      <c r="H31" s="128">
        <f>G31/$G$31</f>
        <v/>
      </c>
      <c r="I31" s="127" t="n"/>
      <c r="J31" s="32">
        <f>J29+J30</f>
        <v/>
      </c>
    </row>
    <row r="32" ht="25.5" customHeight="1">
      <c r="A32" s="238" t="n"/>
      <c r="B32" s="238" t="n"/>
      <c r="C32" s="237" t="inlineStr">
        <is>
          <t>в том числе технологическое оборудование</t>
        </is>
      </c>
      <c r="D32" s="238" t="n"/>
      <c r="E32" s="318" t="n"/>
      <c r="F32" s="240" t="n"/>
      <c r="G32" s="32">
        <f>'Прил.6 Расчет ОБ'!G13</f>
        <v/>
      </c>
      <c r="H32" s="241" t="n"/>
      <c r="I32" s="127" t="n"/>
      <c r="J32" s="32">
        <f>J31</f>
        <v/>
      </c>
    </row>
    <row r="33" ht="14.25" customFormat="1" customHeight="1" s="12">
      <c r="A33" s="238" t="n"/>
      <c r="B33" s="227" t="inlineStr">
        <is>
          <t>Материалы</t>
        </is>
      </c>
      <c r="C33" s="306" t="n"/>
      <c r="D33" s="306" t="n"/>
      <c r="E33" s="306" t="n"/>
      <c r="F33" s="306" t="n"/>
      <c r="G33" s="306" t="n"/>
      <c r="H33" s="307" t="n"/>
      <c r="I33" s="125" t="n"/>
      <c r="J33" s="125" t="n"/>
    </row>
    <row r="34" ht="14.25" customFormat="1" customHeight="1" s="12">
      <c r="A34" s="233" t="n"/>
      <c r="B34" s="232" t="inlineStr">
        <is>
          <t>Основные материалы</t>
        </is>
      </c>
      <c r="C34" s="319" t="n"/>
      <c r="D34" s="319" t="n"/>
      <c r="E34" s="319" t="n"/>
      <c r="F34" s="319" t="n"/>
      <c r="G34" s="319" t="n"/>
      <c r="H34" s="320" t="n"/>
      <c r="I34" s="138" t="n"/>
      <c r="J34" s="138" t="n"/>
    </row>
    <row r="35" ht="76.5" customFormat="1" customHeight="1" s="12">
      <c r="A35" s="238" t="n">
        <v>7</v>
      </c>
      <c r="B35" s="135" t="inlineStr">
        <is>
          <t>21.1.08.03-0587</t>
        </is>
      </c>
      <c r="C35" s="237" t="inlineStr">
        <is>
          <t>Кабели контрольные с медными жилами с поливинилхлоридной изоляцией и оболочкой, с экраном, не распространяющие горение, с низким дымо- и газовыделением, напряжением 0,66 кВ, марки: КВВГЭнг(А)-LS 10х2,5</t>
        </is>
      </c>
      <c r="D35" s="238" t="inlineStr">
        <is>
          <t>1000 м</t>
        </is>
      </c>
      <c r="E35" s="318" t="n">
        <v>0.204</v>
      </c>
      <c r="F35" s="255" t="n">
        <v>67943.28999999999</v>
      </c>
      <c r="G35" s="32">
        <f>ROUND(E35*F35,2)</f>
        <v/>
      </c>
      <c r="H35" s="128">
        <f>G35/$G$56</f>
        <v/>
      </c>
      <c r="I35" s="32">
        <f>ROUND(F35*'Прил. 10'!$D$13,2)</f>
        <v/>
      </c>
      <c r="J35" s="32">
        <f>ROUND(I35*E35,2)</f>
        <v/>
      </c>
    </row>
    <row r="36" ht="14.25" customFormat="1" customHeight="1" s="12">
      <c r="A36" s="249" t="n"/>
      <c r="B36" s="140" t="n"/>
      <c r="C36" s="141" t="inlineStr">
        <is>
          <t>Итого основные материалы</t>
        </is>
      </c>
      <c r="D36" s="249" t="n"/>
      <c r="E36" s="321" t="n"/>
      <c r="F36" s="131" t="n"/>
      <c r="G36" s="131">
        <f>SUM(G35:G35)</f>
        <v/>
      </c>
      <c r="H36" s="128">
        <f>G36/$G$56</f>
        <v/>
      </c>
      <c r="I36" s="32" t="n"/>
      <c r="J36" s="131">
        <f>SUM(J35:J35)</f>
        <v/>
      </c>
    </row>
    <row r="37" outlineLevel="1" ht="25.5" customFormat="1" customHeight="1" s="12">
      <c r="A37" s="238" t="n">
        <v>8</v>
      </c>
      <c r="B37" s="135" t="inlineStr">
        <is>
          <t>20.2.10.03-0002</t>
        </is>
      </c>
      <c r="C37" s="237" t="inlineStr">
        <is>
          <t>Наконечники кабельные: медные для электротехнических установок</t>
        </is>
      </c>
      <c r="D37" s="238" t="inlineStr">
        <is>
          <t>100 шт</t>
        </is>
      </c>
      <c r="E37" s="318" t="n">
        <v>0.1836</v>
      </c>
      <c r="F37" s="255" t="n">
        <v>3986</v>
      </c>
      <c r="G37" s="32">
        <f>ROUND(E37*F37,2)</f>
        <v/>
      </c>
      <c r="H37" s="128">
        <f>G37/$G$56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38" t="n">
        <v>9</v>
      </c>
      <c r="B38" s="135" t="inlineStr">
        <is>
          <t>21.2.01.02-0141</t>
        </is>
      </c>
      <c r="C38" s="237" t="inlineStr">
        <is>
          <t>Провода неизолированные для воздушных линий электропередачи медные марки: М, сечением 4 мм2</t>
        </is>
      </c>
      <c r="D38" s="238" t="inlineStr">
        <is>
          <t>т</t>
        </is>
      </c>
      <c r="E38" s="318" t="n">
        <v>0.0044</v>
      </c>
      <c r="F38" s="255" t="n">
        <v>96440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outlineLevel="1" ht="25.5" customFormat="1" customHeight="1" s="12">
      <c r="A39" s="238" t="n">
        <v>10</v>
      </c>
      <c r="B39" s="135" t="inlineStr">
        <is>
          <t>10.3.02.03-0011</t>
        </is>
      </c>
      <c r="C39" s="237" t="inlineStr">
        <is>
          <t>Припои оловянно-свинцовые бессурьмянистые марки: ПОС30</t>
        </is>
      </c>
      <c r="D39" s="238" t="inlineStr">
        <is>
          <t>кг</t>
        </is>
      </c>
      <c r="E39" s="318" t="n">
        <v>2.008</v>
      </c>
      <c r="F39" s="255" t="n">
        <v>68.05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38" t="n">
        <v>11</v>
      </c>
      <c r="B40" s="135" t="inlineStr">
        <is>
          <t>20.1.02.06-0001</t>
        </is>
      </c>
      <c r="C40" s="237" t="inlineStr">
        <is>
          <t>Жир паяльный</t>
        </is>
      </c>
      <c r="D40" s="238" t="inlineStr">
        <is>
          <t>кг</t>
        </is>
      </c>
      <c r="E40" s="318" t="n">
        <v>0.8</v>
      </c>
      <c r="F40" s="255" t="n">
        <v>100.8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38" t="n">
        <v>12</v>
      </c>
      <c r="B41" s="135" t="inlineStr">
        <is>
          <t>01.7.11.07-0034</t>
        </is>
      </c>
      <c r="C41" s="237" t="inlineStr">
        <is>
          <t>Электроды диаметром: 4 мм Э42А</t>
        </is>
      </c>
      <c r="D41" s="238" t="inlineStr">
        <is>
          <t>кг</t>
        </is>
      </c>
      <c r="E41" s="318" t="n">
        <v>6</v>
      </c>
      <c r="F41" s="255" t="n">
        <v>10.57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38" t="n">
        <v>13</v>
      </c>
      <c r="B42" s="135" t="inlineStr">
        <is>
          <t>01.7.02.07-0011</t>
        </is>
      </c>
      <c r="C42" s="237" t="inlineStr">
        <is>
          <t>Прессшпан листовой, марки А</t>
        </is>
      </c>
      <c r="D42" s="238" t="inlineStr">
        <is>
          <t>кг</t>
        </is>
      </c>
      <c r="E42" s="318" t="n">
        <v>1.1</v>
      </c>
      <c r="F42" s="255" t="n">
        <v>47.57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outlineLevel="1" ht="38.25" customFormat="1" customHeight="1" s="12">
      <c r="A43" s="238" t="n">
        <v>14</v>
      </c>
      <c r="B43" s="135" t="inlineStr">
        <is>
          <t>01.7.06.05-0041</t>
        </is>
      </c>
      <c r="C43" s="237" t="inlineStr">
        <is>
          <t>Лента изоляционная прорезиненная односторонняя ширина 20 мм, толщина 0,25-0,35 мм</t>
        </is>
      </c>
      <c r="D43" s="238" t="inlineStr">
        <is>
          <t>кг</t>
        </is>
      </c>
      <c r="E43" s="318" t="n">
        <v>0.82</v>
      </c>
      <c r="F43" s="255" t="n">
        <v>30.4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outlineLevel="1" ht="25.5" customFormat="1" customHeight="1" s="12">
      <c r="A44" s="238" t="n">
        <v>15</v>
      </c>
      <c r="B44" s="135" t="inlineStr">
        <is>
          <t>999-9950</t>
        </is>
      </c>
      <c r="C44" s="237" t="inlineStr">
        <is>
          <t>Вспомогательные ненормируемые ресурсы (2% от Оплаты труда рабочих)</t>
        </is>
      </c>
      <c r="D44" s="238" t="inlineStr">
        <is>
          <t>руб.</t>
        </is>
      </c>
      <c r="E44" s="318">
        <f>19.623+3.2</f>
        <v/>
      </c>
      <c r="F44" s="255" t="n">
        <v>1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outlineLevel="1" ht="25.5" customFormat="1" customHeight="1" s="12">
      <c r="A45" s="238" t="n">
        <v>16</v>
      </c>
      <c r="B45" s="135" t="inlineStr">
        <is>
          <t>01.7.15.04-0011</t>
        </is>
      </c>
      <c r="C45" s="237" t="inlineStr">
        <is>
          <t>Винты с полукруглой головкой длиной: 50 мм</t>
        </is>
      </c>
      <c r="D45" s="238" t="inlineStr">
        <is>
          <t>т</t>
        </is>
      </c>
      <c r="E45" s="318" t="n">
        <v>0.0012</v>
      </c>
      <c r="F45" s="255" t="n">
        <v>12430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outlineLevel="1" ht="14.25" customFormat="1" customHeight="1" s="12">
      <c r="A46" s="238" t="n">
        <v>17</v>
      </c>
      <c r="B46" s="135" t="inlineStr">
        <is>
          <t>25.2.01.01-0001</t>
        </is>
      </c>
      <c r="C46" s="237" t="inlineStr">
        <is>
          <t>Бирки-оконцеватели</t>
        </is>
      </c>
      <c r="D46" s="238" t="inlineStr">
        <is>
          <t>100 шт</t>
        </is>
      </c>
      <c r="E46" s="318" t="n">
        <v>0.102</v>
      </c>
      <c r="F46" s="255" t="n">
        <v>63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outlineLevel="1" ht="14.25" customFormat="1" customHeight="1" s="12">
      <c r="A47" s="238" t="n">
        <v>18</v>
      </c>
      <c r="B47" s="135" t="inlineStr">
        <is>
          <t>01.7.06.07-0001</t>
        </is>
      </c>
      <c r="C47" s="237" t="inlineStr">
        <is>
          <t>Лента К226</t>
        </is>
      </c>
      <c r="D47" s="238" t="inlineStr">
        <is>
          <t>100 м</t>
        </is>
      </c>
      <c r="E47" s="318" t="n">
        <v>0.0532</v>
      </c>
      <c r="F47" s="255" t="n">
        <v>120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outlineLevel="1" ht="14.25" customFormat="1" customHeight="1" s="12">
      <c r="A48" s="238" t="n">
        <v>19</v>
      </c>
      <c r="B48" s="135" t="inlineStr">
        <is>
          <t>14.4.02.09-0001</t>
        </is>
      </c>
      <c r="C48" s="237" t="inlineStr">
        <is>
          <t>Краска</t>
        </is>
      </c>
      <c r="D48" s="238" t="inlineStr">
        <is>
          <t>кг</t>
        </is>
      </c>
      <c r="E48" s="318" t="n">
        <v>0.2</v>
      </c>
      <c r="F48" s="255" t="n">
        <v>28.6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outlineLevel="1" ht="14.25" customFormat="1" customHeight="1" s="12">
      <c r="A49" s="238" t="n">
        <v>20</v>
      </c>
      <c r="B49" s="135" t="inlineStr">
        <is>
          <t>24.3.01.01-0001</t>
        </is>
      </c>
      <c r="C49" s="237" t="inlineStr">
        <is>
          <t>Трубка поливинилхлоридная ХВТ</t>
        </is>
      </c>
      <c r="D49" s="238" t="inlineStr">
        <is>
          <t>кг</t>
        </is>
      </c>
      <c r="E49" s="318" t="n">
        <v>0.108</v>
      </c>
      <c r="F49" s="255" t="n">
        <v>41.7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outlineLevel="1" ht="14.25" customFormat="1" customHeight="1" s="12">
      <c r="A50" s="238" t="n">
        <v>21</v>
      </c>
      <c r="B50" s="135" t="inlineStr">
        <is>
          <t>20.1.02.23-0082</t>
        </is>
      </c>
      <c r="C50" s="237" t="inlineStr">
        <is>
          <t>Перемычки гибкие, тип ПГС-50</t>
        </is>
      </c>
      <c r="D50" s="238" t="inlineStr">
        <is>
          <t>10 шт</t>
        </is>
      </c>
      <c r="E50" s="318" t="n">
        <v>0.1</v>
      </c>
      <c r="F50" s="255" t="n">
        <v>39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outlineLevel="1" ht="14.25" customFormat="1" customHeight="1" s="12">
      <c r="A51" s="238" t="n">
        <v>22</v>
      </c>
      <c r="B51" s="135" t="inlineStr">
        <is>
          <t>01.3.01.05-0009</t>
        </is>
      </c>
      <c r="C51" s="237" t="inlineStr">
        <is>
          <t>Парафины нефтяные твердые марки Т-1</t>
        </is>
      </c>
      <c r="D51" s="238" t="inlineStr">
        <is>
          <t>т</t>
        </is>
      </c>
      <c r="E51" s="318" t="n">
        <v>0.0004</v>
      </c>
      <c r="F51" s="255" t="n">
        <v>8105.71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outlineLevel="1" ht="14.25" customFormat="1" customHeight="1" s="12">
      <c r="A52" s="238" t="n">
        <v>23</v>
      </c>
      <c r="B52" s="135" t="inlineStr">
        <is>
          <t>01.3.01.02-0002</t>
        </is>
      </c>
      <c r="C52" s="237" t="inlineStr">
        <is>
          <t>Вазелин технический</t>
        </is>
      </c>
      <c r="D52" s="238" t="inlineStr">
        <is>
          <t>кг</t>
        </is>
      </c>
      <c r="E52" s="318" t="n">
        <v>0.01</v>
      </c>
      <c r="F52" s="255" t="n">
        <v>44.97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outlineLevel="1" ht="14.25" customFormat="1" customHeight="1" s="12">
      <c r="A53" s="238" t="n">
        <v>24</v>
      </c>
      <c r="B53" s="135" t="inlineStr">
        <is>
          <t>01.7.20.04-0005</t>
        </is>
      </c>
      <c r="C53" s="237" t="inlineStr">
        <is>
          <t>Нитки швейные</t>
        </is>
      </c>
      <c r="D53" s="238" t="inlineStr">
        <is>
          <t>кг</t>
        </is>
      </c>
      <c r="E53" s="318" t="n">
        <v>0.001</v>
      </c>
      <c r="F53" s="255" t="n">
        <v>133.05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outlineLevel="1" ht="14.25" customFormat="1" customHeight="1" s="12">
      <c r="A54" s="238" t="n">
        <v>25</v>
      </c>
      <c r="B54" s="135" t="inlineStr">
        <is>
          <t>01.7.02.09-0002</t>
        </is>
      </c>
      <c r="C54" s="237" t="inlineStr">
        <is>
          <t>Шпагат бумажный</t>
        </is>
      </c>
      <c r="D54" s="238" t="inlineStr">
        <is>
          <t>кг</t>
        </is>
      </c>
      <c r="E54" s="318" t="n">
        <v>0.002</v>
      </c>
      <c r="F54" s="255" t="n">
        <v>11.5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ht="14.25" customFormat="1" customHeight="1" s="12">
      <c r="A55" s="238" t="n"/>
      <c r="B55" s="238" t="n"/>
      <c r="C55" s="237" t="inlineStr">
        <is>
          <t>Итого прочие материалы</t>
        </is>
      </c>
      <c r="D55" s="238" t="n"/>
      <c r="E55" s="318" t="n"/>
      <c r="F55" s="240" t="n"/>
      <c r="G55" s="32">
        <f>SUM(G37:G54)</f>
        <v/>
      </c>
      <c r="H55" s="128">
        <f>G55/$G$56</f>
        <v/>
      </c>
      <c r="I55" s="32" t="n"/>
      <c r="J55" s="32">
        <f>SUM(J37:J54)</f>
        <v/>
      </c>
    </row>
    <row r="56" ht="14.25" customFormat="1" customHeight="1" s="12">
      <c r="A56" s="238" t="n"/>
      <c r="B56" s="238" t="n"/>
      <c r="C56" s="227" t="inlineStr">
        <is>
          <t>Итого по разделу «Материалы»</t>
        </is>
      </c>
      <c r="D56" s="238" t="n"/>
      <c r="E56" s="239" t="n"/>
      <c r="F56" s="240" t="n"/>
      <c r="G56" s="32">
        <f>G36+G55</f>
        <v/>
      </c>
      <c r="H56" s="241">
        <f>G56/$G$56</f>
        <v/>
      </c>
      <c r="I56" s="32" t="n"/>
      <c r="J56" s="32">
        <f>J36+J55</f>
        <v/>
      </c>
    </row>
    <row r="57" ht="14.25" customFormat="1" customHeight="1" s="12">
      <c r="A57" s="238" t="n"/>
      <c r="B57" s="238" t="n"/>
      <c r="C57" s="237" t="inlineStr">
        <is>
          <t>ИТОГО ПО РМ</t>
        </is>
      </c>
      <c r="D57" s="238" t="n"/>
      <c r="E57" s="239" t="n"/>
      <c r="F57" s="240" t="n"/>
      <c r="G57" s="32">
        <f>G15+G25+G56</f>
        <v/>
      </c>
      <c r="H57" s="241" t="n"/>
      <c r="I57" s="32" t="n"/>
      <c r="J57" s="32">
        <f>J15+J25+J56</f>
        <v/>
      </c>
    </row>
    <row r="58" ht="14.25" customFormat="1" customHeight="1" s="12">
      <c r="A58" s="238" t="n"/>
      <c r="B58" s="238" t="n"/>
      <c r="C58" s="237" t="inlineStr">
        <is>
          <t>Накладные расходы</t>
        </is>
      </c>
      <c r="D58" s="133">
        <f>ROUND(G58/(G$17+$G$15),2)</f>
        <v/>
      </c>
      <c r="E58" s="239" t="n"/>
      <c r="F58" s="240" t="n"/>
      <c r="G58" s="32" t="n">
        <v>1186</v>
      </c>
      <c r="H58" s="241" t="n"/>
      <c r="I58" s="32" t="n"/>
      <c r="J58" s="32">
        <f>ROUND(D58*(J15+J17),2)</f>
        <v/>
      </c>
    </row>
    <row r="59" ht="14.25" customFormat="1" customHeight="1" s="12">
      <c r="A59" s="238" t="n"/>
      <c r="B59" s="238" t="n"/>
      <c r="C59" s="237" t="inlineStr">
        <is>
          <t>Сметная прибыль</t>
        </is>
      </c>
      <c r="D59" s="133">
        <f>ROUND(G59/(G$15+G$17),2)</f>
        <v/>
      </c>
      <c r="E59" s="239" t="n"/>
      <c r="F59" s="240" t="n"/>
      <c r="G59" s="32" t="n">
        <v>812</v>
      </c>
      <c r="H59" s="241" t="n"/>
      <c r="I59" s="32" t="n"/>
      <c r="J59" s="32">
        <f>ROUND(D59*(J15+J17),2)</f>
        <v/>
      </c>
    </row>
    <row r="60" ht="14.25" customFormat="1" customHeight="1" s="12">
      <c r="A60" s="238" t="n"/>
      <c r="B60" s="238" t="n"/>
      <c r="C60" s="237" t="inlineStr">
        <is>
          <t>Итого СМР (с НР и СП)</t>
        </is>
      </c>
      <c r="D60" s="238" t="n"/>
      <c r="E60" s="239" t="n"/>
      <c r="F60" s="240" t="n"/>
      <c r="G60" s="32">
        <f>G15+G25+G56+G58+G59</f>
        <v/>
      </c>
      <c r="H60" s="241" t="n"/>
      <c r="I60" s="32" t="n"/>
      <c r="J60" s="32">
        <f>J15+J25+J56+J58+J59</f>
        <v/>
      </c>
    </row>
    <row r="61" ht="14.25" customFormat="1" customHeight="1" s="12">
      <c r="A61" s="238" t="n"/>
      <c r="B61" s="238" t="n"/>
      <c r="C61" s="237" t="inlineStr">
        <is>
          <t>ВСЕГО СМР + ОБОРУДОВАНИЕ</t>
        </is>
      </c>
      <c r="D61" s="238" t="n"/>
      <c r="E61" s="239" t="n"/>
      <c r="F61" s="240" t="n"/>
      <c r="G61" s="32">
        <f>G60+G31</f>
        <v/>
      </c>
      <c r="H61" s="241" t="n"/>
      <c r="I61" s="32" t="n"/>
      <c r="J61" s="32">
        <f>J60+J31</f>
        <v/>
      </c>
    </row>
    <row r="62" ht="34.5" customFormat="1" customHeight="1" s="12">
      <c r="A62" s="238" t="n"/>
      <c r="B62" s="238" t="n"/>
      <c r="C62" s="237" t="inlineStr">
        <is>
          <t>ИТОГО ПОКАЗАТЕЛЬ НА ЕД. ИЗМ.</t>
        </is>
      </c>
      <c r="D62" s="238" t="inlineStr">
        <is>
          <t>ед.</t>
        </is>
      </c>
      <c r="E62" s="318" t="n">
        <v>1</v>
      </c>
      <c r="F62" s="240" t="n"/>
      <c r="G62" s="32">
        <f>G61/E62</f>
        <v/>
      </c>
      <c r="H62" s="241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conditionalFormatting sqref="B20:B21">
    <cfRule type="duplicateValues" priority="1" dxfId="0"/>
  </conditionalFormatting>
  <conditionalFormatting sqref="B23">
    <cfRule type="duplicateValues" priority="2" dxfId="0"/>
  </conditionalFormatting>
  <conditionalFormatting sqref="B35">
    <cfRule type="duplicateValues" priority="3" dxfId="0"/>
  </conditionalFormatting>
  <conditionalFormatting sqref="B37:B54">
    <cfRule type="duplicateValues" priority="4" dxfId="0"/>
  </conditionalFormatting>
  <pageMargins left="0.6299212598425197" right="0.2362204724409449" top="0.7480314960629921" bottom="0.7480314960629921" header="0.3149606299212598" footer="0.3149606299212598"/>
  <pageSetup orientation="landscape" paperSize="9" scale="84" fitToHeight="0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E16" sqref="E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1" t="inlineStr">
        <is>
          <t>Приложение №6</t>
        </is>
      </c>
    </row>
    <row r="2" ht="21.75" customHeight="1">
      <c r="A2" s="251" t="n"/>
      <c r="B2" s="251" t="n"/>
      <c r="C2" s="251" t="n"/>
      <c r="D2" s="251" t="n"/>
      <c r="E2" s="251" t="n"/>
      <c r="F2" s="251" t="n"/>
      <c r="G2" s="251" t="n"/>
    </row>
    <row r="3">
      <c r="A3" s="209" t="inlineStr">
        <is>
          <t>Расчет стоимости оборудования</t>
        </is>
      </c>
    </row>
    <row r="4" ht="25.5" customHeight="1">
      <c r="A4" s="212" t="inlineStr">
        <is>
          <t>Наименование разрабатываемого показателя УНЦ — АСУ ТП ПС присоединения напряжение 6-20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6" t="inlineStr">
        <is>
          <t>№ пп.</t>
        </is>
      </c>
      <c r="B6" s="256" t="inlineStr">
        <is>
          <t>Код ресурса</t>
        </is>
      </c>
      <c r="C6" s="256" t="inlineStr">
        <is>
          <t>Наименование</t>
        </is>
      </c>
      <c r="D6" s="256" t="inlineStr">
        <is>
          <t>Ед. изм.</t>
        </is>
      </c>
      <c r="E6" s="238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>
      <c r="A9" s="25" t="n"/>
      <c r="B9" s="237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38" t="n"/>
      <c r="B10" s="227" t="n"/>
      <c r="C10" s="237" t="inlineStr">
        <is>
          <t>ИТОГО ИНЖЕНЕРНОЕ ОБОРУДОВАНИЕ</t>
        </is>
      </c>
      <c r="D10" s="227" t="n"/>
      <c r="E10" s="105" t="n"/>
      <c r="F10" s="240" t="n"/>
      <c r="G10" s="240" t="n">
        <v>0</v>
      </c>
    </row>
    <row r="11">
      <c r="A11" s="238" t="n"/>
      <c r="B11" s="237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45" customHeight="1">
      <c r="A12" s="238" t="n">
        <v>1</v>
      </c>
      <c r="B12" s="177">
        <f>'Прил.5 Расчет СМР и ОБ'!B28</f>
        <v/>
      </c>
      <c r="C12" s="177">
        <f>'Прил.5 Расчет СМР и ОБ'!C28</f>
        <v/>
      </c>
      <c r="D12" s="174">
        <f>'Прил.5 Расчет СМР и ОБ'!D28</f>
        <v/>
      </c>
      <c r="E12" s="315">
        <f>'Прил.5 Расчет СМР и ОБ'!E28</f>
        <v/>
      </c>
      <c r="F12" s="174">
        <f>'Прил.5 Расчет СМР и ОБ'!F28</f>
        <v/>
      </c>
      <c r="G12" s="32">
        <f>ROUND(E12*F12,2)</f>
        <v/>
      </c>
    </row>
    <row r="13" ht="25.5" customHeight="1">
      <c r="A13" s="238" t="n"/>
      <c r="B13" s="237" t="n"/>
      <c r="C13" s="237" t="inlineStr">
        <is>
          <t>ИТОГО ТЕХНОЛОГИЧЕСКОЕ ОБОРУДОВАНИЕ</t>
        </is>
      </c>
      <c r="D13" s="237" t="n"/>
      <c r="E13" s="255" t="n"/>
      <c r="F13" s="240" t="n"/>
      <c r="G13" s="32">
        <f>SUM(G12:G12)</f>
        <v/>
      </c>
    </row>
    <row r="14" ht="19.5" customHeight="1">
      <c r="A14" s="238" t="n"/>
      <c r="B14" s="237" t="n"/>
      <c r="C14" s="237" t="inlineStr">
        <is>
          <t>Всего по разделу «Оборудование»</t>
        </is>
      </c>
      <c r="D14" s="237" t="n"/>
      <c r="E14" s="255" t="n"/>
      <c r="F14" s="240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topLeftCell="A3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51" t="inlineStr">
        <is>
          <t>Приложение №7</t>
        </is>
      </c>
    </row>
    <row r="2">
      <c r="A2" s="251" t="n"/>
      <c r="B2" s="251" t="n"/>
      <c r="C2" s="251" t="n"/>
      <c r="D2" s="251" t="n"/>
    </row>
    <row r="3" ht="24.75" customHeight="1">
      <c r="A3" s="209" t="inlineStr">
        <is>
          <t>Расчет показателя УНЦ</t>
        </is>
      </c>
    </row>
    <row r="4" ht="24.75" customHeight="1">
      <c r="A4" s="209" t="n"/>
      <c r="B4" s="209" t="n"/>
      <c r="C4" s="209" t="n"/>
      <c r="D4" s="209" t="n"/>
    </row>
    <row r="5" ht="38.25" customHeight="1">
      <c r="A5" s="212" t="inlineStr">
        <is>
          <t xml:space="preserve">Наименование разрабатываемого показателя УНЦ - </t>
        </is>
      </c>
      <c r="D5" s="212">
        <f>'Прил.5 Расчет СМР и ОБ'!D6:J6</f>
        <v/>
      </c>
    </row>
    <row r="6" ht="19.9" customHeight="1">
      <c r="A6" s="212" t="inlineStr">
        <is>
          <t>Единица измерения  — 1 ед</t>
        </is>
      </c>
      <c r="D6" s="212" t="n"/>
    </row>
    <row r="7">
      <c r="A7" s="4" t="n"/>
      <c r="B7" s="4" t="n"/>
      <c r="C7" s="4" t="n"/>
      <c r="D7" s="4" t="n"/>
    </row>
    <row r="8" ht="14.45" customHeight="1">
      <c r="A8" s="224" t="inlineStr">
        <is>
          <t>Код показателя</t>
        </is>
      </c>
      <c r="B8" s="224" t="inlineStr">
        <is>
          <t>Наименование показателя</t>
        </is>
      </c>
      <c r="C8" s="224" t="inlineStr">
        <is>
          <t>Наименование РМ, входящих в состав показателя</t>
        </is>
      </c>
      <c r="D8" s="224" t="inlineStr">
        <is>
          <t>Норматив цены на 01.01.2023, тыс.руб.</t>
        </is>
      </c>
    </row>
    <row r="9" ht="15" customHeight="1">
      <c r="A9" s="309" t="n"/>
      <c r="B9" s="309" t="n"/>
      <c r="C9" s="309" t="n"/>
      <c r="D9" s="309" t="n"/>
    </row>
    <row r="10">
      <c r="A10" s="238" t="n">
        <v>1</v>
      </c>
      <c r="B10" s="238" t="n">
        <v>2</v>
      </c>
      <c r="C10" s="238" t="n">
        <v>3</v>
      </c>
      <c r="D10" s="238" t="n">
        <v>4</v>
      </c>
    </row>
    <row r="11" ht="41.45" customHeight="1">
      <c r="A11" s="238" t="inlineStr">
        <is>
          <t>А4-01</t>
        </is>
      </c>
      <c r="B11" s="238" t="inlineStr">
        <is>
          <t xml:space="preserve">УНЦ АСУТП присоединения </t>
        </is>
      </c>
      <c r="C11" s="160">
        <f>D5</f>
        <v/>
      </c>
      <c r="D11" s="3">
        <f>'Прил.4 РМ'!C41/1000</f>
        <v/>
      </c>
      <c r="E11" s="159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8"/>
  <sheetViews>
    <sheetView view="pageBreakPreview" zoomScale="60" zoomScaleNormal="85" workbookViewId="0">
      <selection activeCell="D24" sqref="D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19" t="inlineStr">
        <is>
          <t>Приложение № 10</t>
        </is>
      </c>
    </row>
    <row r="5" ht="18.75" customHeight="1">
      <c r="B5" s="117" t="n"/>
    </row>
    <row r="6" ht="15.75" customHeight="1">
      <c r="B6" s="220" t="inlineStr">
        <is>
          <t>Используемые индексы изменений сметной стоимости и нормы сопутствующих затрат</t>
        </is>
      </c>
    </row>
    <row r="7">
      <c r="B7" s="257" t="n"/>
    </row>
    <row r="8">
      <c r="B8" s="257" t="n"/>
      <c r="C8" s="257" t="n"/>
      <c r="D8" s="257" t="n"/>
      <c r="E8" s="257" t="n"/>
    </row>
    <row r="9" ht="47.25" customHeight="1">
      <c r="B9" s="224" t="inlineStr">
        <is>
          <t>Наименование индекса / норм сопутствующих затрат</t>
        </is>
      </c>
      <c r="C9" s="224" t="inlineStr">
        <is>
          <t>Дата применения и обоснование индекса / норм сопутствующих затрат</t>
        </is>
      </c>
      <c r="D9" s="224" t="inlineStr">
        <is>
          <t>Размер индекса / норма сопутствующих затрат</t>
        </is>
      </c>
    </row>
    <row r="10" ht="15.75" customHeight="1">
      <c r="B10" s="224" t="n">
        <v>1</v>
      </c>
      <c r="C10" s="224" t="n">
        <v>2</v>
      </c>
      <c r="D10" s="224" t="n">
        <v>3</v>
      </c>
    </row>
    <row r="11" ht="45" customHeight="1">
      <c r="B11" s="224" t="inlineStr">
        <is>
          <t xml:space="preserve">Индекс изменения сметной стоимости на 1 квартал 2023 года. ОЗП </t>
        </is>
      </c>
      <c r="C11" s="224" t="inlineStr">
        <is>
          <t>Письмо Минстроя России от 30.03.2023г. №17106-ИФ/09  прил.1</t>
        </is>
      </c>
      <c r="D11" s="224" t="n">
        <v>44.29</v>
      </c>
    </row>
    <row r="12" ht="29.25" customHeight="1">
      <c r="B12" s="224" t="inlineStr">
        <is>
          <t>Индекс изменения сметной стоимости на 1 квартал 2023 года. ЭМ</t>
        </is>
      </c>
      <c r="C12" s="224" t="inlineStr">
        <is>
          <t>Письмо Минстроя России от 30.03.2023г. №17106-ИФ/09  прил.1</t>
        </is>
      </c>
      <c r="D12" s="224" t="n">
        <v>13.47</v>
      </c>
    </row>
    <row r="13" ht="29.25" customHeight="1">
      <c r="B13" s="224" t="inlineStr">
        <is>
          <t>Индекс изменения сметной стоимости на 1 квартал 2023 года. МАТ</t>
        </is>
      </c>
      <c r="C13" s="224" t="inlineStr">
        <is>
          <t>Письмо Минстроя России от 30.03.2023г. №17106-ИФ/09  прил.1</t>
        </is>
      </c>
      <c r="D13" s="224" t="n">
        <v>8.039999999999999</v>
      </c>
    </row>
    <row r="14" ht="30.75" customHeight="1">
      <c r="B14" s="22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4" t="n">
        <v>6.26</v>
      </c>
    </row>
    <row r="15" ht="89.25" customHeight="1">
      <c r="B15" s="224" t="inlineStr">
        <is>
          <t>Временные здания и сооружения</t>
        </is>
      </c>
      <c r="C15" s="22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24" t="inlineStr">
        <is>
          <t>Дополнительные затраты при производстве строительно-монтажных работ в зимнее время</t>
        </is>
      </c>
      <c r="C16" s="22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9" customHeight="1">
      <c r="B17" s="224" t="n"/>
      <c r="C17" s="224" t="n"/>
      <c r="D17" s="120" t="n"/>
    </row>
    <row r="18" ht="31.5" customHeight="1">
      <c r="B18" s="224" t="inlineStr">
        <is>
          <t>Строительный контроль</t>
        </is>
      </c>
      <c r="C18" s="224" t="inlineStr">
        <is>
          <t>Постановление Правительства РФ от 21.06.10 г. № 468</t>
        </is>
      </c>
      <c r="D18" s="120" t="n">
        <v>0.0214</v>
      </c>
    </row>
    <row r="19" ht="31.5" customHeight="1">
      <c r="B19" s="224" t="inlineStr">
        <is>
          <t>Авторский надзор - 0,2%</t>
        </is>
      </c>
      <c r="C19" s="224" t="inlineStr">
        <is>
          <t>Приказ от 4.08.2020 № 421/пр п.173</t>
        </is>
      </c>
      <c r="D19" s="120" t="n">
        <v>0.002</v>
      </c>
    </row>
    <row r="20" ht="24" customHeight="1">
      <c r="B20" s="224" t="inlineStr">
        <is>
          <t>Непредвиденные расходы</t>
        </is>
      </c>
      <c r="C20" s="224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4">
      <c r="B24" s="4" t="inlineStr">
        <is>
          <t>Составил ______________________        А.Р. Маркова</t>
        </is>
      </c>
      <c r="C24" s="12" t="n"/>
    </row>
    <row r="25">
      <c r="B25" s="33" t="inlineStr">
        <is>
          <t xml:space="preserve">                         (подпись, инициалы, фамилия)</t>
        </is>
      </c>
      <c r="C25" s="12" t="n"/>
    </row>
    <row r="26">
      <c r="B26" s="4" t="n"/>
      <c r="C26" s="12" t="n"/>
    </row>
    <row r="27">
      <c r="B27" s="4" t="inlineStr">
        <is>
          <t>Проверил ______________________        А.В. Костянецкая</t>
        </is>
      </c>
      <c r="C27" s="12" t="n"/>
    </row>
    <row r="28">
      <c r="B28" s="33" t="inlineStr">
        <is>
          <t xml:space="preserve">                        (подпись, инициалы, фамилия)</t>
        </is>
      </c>
      <c r="C28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1" fitToHeight="0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7" sqref="F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0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1" t="inlineStr">
        <is>
          <t>№ пп.</t>
        </is>
      </c>
      <c r="B5" s="191" t="inlineStr">
        <is>
          <t>Наименование элемента</t>
        </is>
      </c>
      <c r="C5" s="191" t="inlineStr">
        <is>
          <t>Обозначение</t>
        </is>
      </c>
      <c r="D5" s="191" t="inlineStr">
        <is>
          <t>Формула</t>
        </is>
      </c>
      <c r="E5" s="191" t="inlineStr">
        <is>
          <t>Величина элемента</t>
        </is>
      </c>
      <c r="F5" s="191" t="inlineStr">
        <is>
          <t>Наименования обосновывающих документов</t>
        </is>
      </c>
      <c r="G5" s="143" t="n"/>
    </row>
    <row r="6" ht="15.75" customHeight="1">
      <c r="A6" s="191" t="n">
        <v>1</v>
      </c>
      <c r="B6" s="191" t="n">
        <v>2</v>
      </c>
      <c r="C6" s="191" t="n">
        <v>3</v>
      </c>
      <c r="D6" s="191" t="n">
        <v>4</v>
      </c>
      <c r="E6" s="191" t="n">
        <v>5</v>
      </c>
      <c r="F6" s="191" t="n">
        <v>6</v>
      </c>
      <c r="G6" s="143" t="n"/>
    </row>
    <row r="7" ht="110.25" customHeight="1">
      <c r="A7" s="192" t="inlineStr">
        <is>
          <t>1.1</t>
        </is>
      </c>
      <c r="B7" s="1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4" t="inlineStr">
        <is>
          <t>С1ср</t>
        </is>
      </c>
      <c r="D7" s="224" t="inlineStr">
        <is>
          <t>-</t>
        </is>
      </c>
      <c r="E7" s="61" t="n">
        <v>47872.94</v>
      </c>
      <c r="F7" s="1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2" t="inlineStr">
        <is>
          <t>1.2</t>
        </is>
      </c>
      <c r="B8" s="193" t="inlineStr">
        <is>
          <t>Среднегодовое нормативное число часов работы одного рабочего в месяц, часы (ч.)</t>
        </is>
      </c>
      <c r="C8" s="224" t="inlineStr">
        <is>
          <t>tср</t>
        </is>
      </c>
      <c r="D8" s="224" t="inlineStr">
        <is>
          <t>1973ч/12мес.</t>
        </is>
      </c>
      <c r="E8" s="194">
        <f>1973/12</f>
        <v/>
      </c>
      <c r="F8" s="193" t="inlineStr">
        <is>
          <t>Производственный календарь 2023 год
(40-часов.неделя)</t>
        </is>
      </c>
      <c r="G8" s="195" t="n"/>
    </row>
    <row r="9" ht="15.75" customHeight="1">
      <c r="A9" s="192" t="inlineStr">
        <is>
          <t>1.3</t>
        </is>
      </c>
      <c r="B9" s="193" t="inlineStr">
        <is>
          <t>Коэффициент увеличения</t>
        </is>
      </c>
      <c r="C9" s="224" t="inlineStr">
        <is>
          <t>Кув</t>
        </is>
      </c>
      <c r="D9" s="224" t="inlineStr">
        <is>
          <t>-</t>
        </is>
      </c>
      <c r="E9" s="194" t="n">
        <v>1</v>
      </c>
      <c r="F9" s="193" t="n"/>
      <c r="G9" s="195" t="n"/>
    </row>
    <row r="10" ht="15.75" customHeight="1">
      <c r="A10" s="192" t="inlineStr">
        <is>
          <t>1.4</t>
        </is>
      </c>
      <c r="B10" s="193" t="inlineStr">
        <is>
          <t>Средний разряд работ</t>
        </is>
      </c>
      <c r="C10" s="224" t="n"/>
      <c r="D10" s="224" t="n"/>
      <c r="E10" s="322" t="n">
        <v>3.9</v>
      </c>
      <c r="F10" s="193" t="inlineStr">
        <is>
          <t>РТМ</t>
        </is>
      </c>
      <c r="G10" s="195" t="n"/>
    </row>
    <row r="11" ht="78.75" customHeight="1">
      <c r="A11" s="192" t="inlineStr">
        <is>
          <t>1.5</t>
        </is>
      </c>
      <c r="B11" s="193" t="inlineStr">
        <is>
          <t>Тарифный коэффициент среднего разряда работ</t>
        </is>
      </c>
      <c r="C11" s="224" t="inlineStr">
        <is>
          <t>КТ</t>
        </is>
      </c>
      <c r="D11" s="224" t="inlineStr">
        <is>
          <t>-</t>
        </is>
      </c>
      <c r="E11" s="323" t="n">
        <v>1.324</v>
      </c>
      <c r="F11" s="1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192" t="inlineStr">
        <is>
          <t>1.6</t>
        </is>
      </c>
      <c r="B12" s="147" t="inlineStr">
        <is>
          <t>Коэффициент инфляции, определяемый поквартально</t>
        </is>
      </c>
      <c r="C12" s="224" t="inlineStr">
        <is>
          <t>Кинф</t>
        </is>
      </c>
      <c r="D12" s="224" t="inlineStr">
        <is>
          <t>-</t>
        </is>
      </c>
      <c r="E12" s="324" t="n">
        <v>1.139</v>
      </c>
      <c r="F12" s="19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301" t="inlineStr">
        <is>
          <t>1.7</t>
        </is>
      </c>
      <c r="B13" s="302" t="inlineStr">
        <is>
          <t>Размер средств на оплату труда рабочих-строителей в текущем уровне цен (ФОТр.тек.), руб/чел.-ч</t>
        </is>
      </c>
      <c r="C13" s="303" t="inlineStr">
        <is>
          <t>ФОТр.тек.</t>
        </is>
      </c>
      <c r="D13" s="303" t="inlineStr">
        <is>
          <t>(С1ср/tср*КТ*Т*Кув)*Кинф</t>
        </is>
      </c>
      <c r="E13" s="304">
        <f>((E7*E9/E8)*E11)*E12</f>
        <v/>
      </c>
      <c r="F13" s="3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scale="55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2025-01-24T11:52:31Z</dcterms:modified>
  <cp:lastModifiedBy>112</cp:lastModifiedBy>
  <cp:lastPrinted>2023-12-01T15:08:31Z</cp:lastPrinted>
</cp:coreProperties>
</file>