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"/>
    <numFmt numFmtId="169" formatCode="#,##0.000"/>
    <numFmt numFmtId="170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1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0" fontId="21" fillId="4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pivotButton="0" quotePrefix="0" xfId="0"/>
    <xf numFmtId="0" fontId="16" fillId="0" borderId="4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166" fontId="1" fillId="4" borderId="1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wrapText="1"/>
    </xf>
    <xf numFmtId="4" fontId="1" fillId="0" borderId="0" applyAlignment="1" pivotButton="0" quotePrefix="0" xfId="0">
      <alignment horizontal="right" vertical="center"/>
    </xf>
    <xf numFmtId="167" fontId="16" fillId="0" borderId="0" pivotButton="0" quotePrefix="0" xfId="0"/>
    <xf numFmtId="10" fontId="19" fillId="0" borderId="0" pivotButton="0" quotePrefix="0" xfId="0"/>
    <xf numFmtId="0" fontId="1" fillId="4" borderId="1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3" fontId="1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21" fillId="4" borderId="5" applyAlignment="1" pivotButton="0" quotePrefix="0" xfId="0">
      <alignment horizontal="center" vertical="center" wrapText="1"/>
    </xf>
    <xf numFmtId="0" fontId="21" fillId="4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 wrapText="1"/>
    </xf>
    <xf numFmtId="2" fontId="1" fillId="0" borderId="11" applyAlignment="1" pivotButton="0" quotePrefix="0" xfId="0">
      <alignment horizontal="center" vertical="center" wrapText="1"/>
    </xf>
    <xf numFmtId="2" fontId="1" fillId="0" borderId="11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4" fillId="0" borderId="11" applyAlignment="1" pivotButton="0" quotePrefix="0" xfId="0">
      <alignment vertical="center"/>
    </xf>
    <xf numFmtId="0" fontId="1" fillId="4" borderId="11" applyAlignment="1" pivotButton="0" quotePrefix="0" xfId="0">
      <alignment horizontal="center" vertical="center" wrapText="1"/>
    </xf>
    <xf numFmtId="0" fontId="1" fillId="4" borderId="11" applyAlignment="1" pivotButton="0" quotePrefix="0" xfId="0">
      <alignment vertical="center" wrapText="1"/>
    </xf>
    <xf numFmtId="166" fontId="1" fillId="4" borderId="11" applyAlignment="1" pivotButton="0" quotePrefix="0" xfId="0">
      <alignment horizontal="center" vertical="center" wrapText="1"/>
    </xf>
    <xf numFmtId="4" fontId="1" fillId="0" borderId="11" applyAlignment="1" pivotButton="0" quotePrefix="0" xfId="0">
      <alignment vertical="center"/>
    </xf>
    <xf numFmtId="10" fontId="1" fillId="0" borderId="11" applyAlignment="1" pivotButton="0" quotePrefix="0" xfId="0">
      <alignment horizontal="right" vertical="center" wrapText="1"/>
    </xf>
    <xf numFmtId="4" fontId="1" fillId="0" borderId="11" applyAlignment="1" pivotButton="0" quotePrefix="0" xfId="0">
      <alignment horizontal="right" vertical="center" wrapText="1"/>
    </xf>
    <xf numFmtId="49" fontId="1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left" vertical="center" wrapText="1"/>
    </xf>
    <xf numFmtId="166" fontId="1" fillId="0" borderId="11" applyAlignment="1" pivotButton="0" quotePrefix="0" xfId="0">
      <alignment horizontal="center" vertical="center" wrapText="1"/>
    </xf>
    <xf numFmtId="2" fontId="1" fillId="0" borderId="11" applyAlignment="1" pivotButton="0" quotePrefix="0" xfId="0">
      <alignment horizontal="center" vertical="center" wrapText="1"/>
    </xf>
    <xf numFmtId="2" fontId="1" fillId="0" borderId="1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left" vertical="center" wrapText="1"/>
    </xf>
    <xf numFmtId="10" fontId="20" fillId="0" borderId="11" applyAlignment="1" pivotButton="0" quotePrefix="0" xfId="0">
      <alignment horizontal="center" vertical="center" wrapText="1"/>
    </xf>
    <xf numFmtId="170" fontId="1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4" fontId="1" fillId="0" borderId="11" applyAlignment="1" pivotButton="0" quotePrefix="0" xfId="0">
      <alignment vertical="center" wrapText="1"/>
    </xf>
    <xf numFmtId="10" fontId="1" fillId="0" borderId="11" applyAlignment="1" pivotButton="0" quotePrefix="0" xfId="0">
      <alignment vertical="center"/>
    </xf>
    <xf numFmtId="10" fontId="1" fillId="0" borderId="11" applyAlignment="1" pivotButton="0" quotePrefix="0" xfId="0">
      <alignment horizontal="right" vertical="center"/>
    </xf>
    <xf numFmtId="4" fontId="1" fillId="0" borderId="11" applyAlignment="1" pivotButton="0" quotePrefix="0" xfId="0">
      <alignment horizontal="right" vertical="center"/>
    </xf>
    <xf numFmtId="4" fontId="1" fillId="4" borderId="11" applyAlignment="1" pivotButton="0" quotePrefix="0" xfId="0">
      <alignment horizontal="right" vertical="center"/>
    </xf>
    <xf numFmtId="0" fontId="1" fillId="0" borderId="11" applyAlignment="1" pivotButton="0" quotePrefix="0" xfId="0">
      <alignment horizontal="center" vertical="top"/>
    </xf>
    <xf numFmtId="0" fontId="1" fillId="0" borderId="11" applyAlignment="1" pivotButton="0" quotePrefix="0" xfId="0">
      <alignment vertical="top"/>
    </xf>
    <xf numFmtId="0" fontId="1" fillId="4" borderId="11" applyAlignment="1" pivotButton="0" quotePrefix="0" xfId="0">
      <alignment horizontal="center" vertical="top" wrapText="1"/>
    </xf>
    <xf numFmtId="0" fontId="1" fillId="4" borderId="11" applyAlignment="1" pivotButton="0" quotePrefix="0" xfId="0">
      <alignment vertical="top" wrapText="1"/>
    </xf>
    <xf numFmtId="4" fontId="1" fillId="0" borderId="11" applyAlignment="1" pivotButton="0" quotePrefix="0" xfId="0">
      <alignment vertical="top"/>
    </xf>
    <xf numFmtId="0" fontId="16" fillId="0" borderId="5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top" wrapText="1"/>
    </xf>
    <xf numFmtId="0" fontId="2" fillId="0" borderId="11" applyAlignment="1" pivotButton="0" quotePrefix="0" xfId="0">
      <alignment vertical="top"/>
    </xf>
    <xf numFmtId="0" fontId="1" fillId="0" borderId="11" applyAlignment="1" pivotButton="0" quotePrefix="0" xfId="0">
      <alignment vertical="top"/>
    </xf>
    <xf numFmtId="0" fontId="1" fillId="0" borderId="11" applyAlignment="1" pivotButton="0" quotePrefix="0" xfId="0">
      <alignment vertical="top" wrapText="1"/>
    </xf>
    <xf numFmtId="4" fontId="2" fillId="0" borderId="11" applyAlignment="1" pivotButton="0" quotePrefix="0" xfId="0">
      <alignment vertical="top"/>
    </xf>
    <xf numFmtId="14" fontId="1" fillId="0" borderId="11" applyAlignment="1" pivotButton="0" quotePrefix="0" xfId="0">
      <alignment vertical="top"/>
    </xf>
    <xf numFmtId="49" fontId="1" fillId="4" borderId="11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center" vertical="top"/>
    </xf>
    <xf numFmtId="0" fontId="2" fillId="0" borderId="11" applyAlignment="1" pivotButton="0" quotePrefix="0" xfId="0">
      <alignment horizontal="right" vertical="top"/>
    </xf>
    <xf numFmtId="0" fontId="1" fillId="0" borderId="11" applyAlignment="1" pivotButton="0" quotePrefix="0" xfId="0">
      <alignment vertical="top" wrapText="1"/>
    </xf>
    <xf numFmtId="0" fontId="2" fillId="0" borderId="11" applyAlignment="1" pivotButton="0" quotePrefix="0" xfId="0">
      <alignment horizontal="center" vertical="top"/>
    </xf>
    <xf numFmtId="0" fontId="2" fillId="0" borderId="11" applyAlignment="1" pivotButton="0" quotePrefix="0" xfId="0">
      <alignment horizontal="left" vertical="top"/>
    </xf>
    <xf numFmtId="0" fontId="2" fillId="0" borderId="11" applyAlignment="1" pivotButton="0" quotePrefix="0" xfId="0">
      <alignment vertical="top"/>
    </xf>
    <xf numFmtId="1" fontId="1" fillId="0" borderId="11" applyAlignment="1" pivotButton="0" quotePrefix="0" xfId="0">
      <alignment horizontal="center" vertical="top" wrapText="1"/>
    </xf>
    <xf numFmtId="0" fontId="1" fillId="4" borderId="11" applyAlignment="1" pivotButton="0" quotePrefix="0" xfId="0">
      <alignment horizontal="left" vertical="top" wrapText="1"/>
    </xf>
    <xf numFmtId="0" fontId="1" fillId="4" borderId="11" applyAlignment="1" pivotButton="0" quotePrefix="0" xfId="0">
      <alignment horizontal="right" vertical="top" wrapText="1"/>
    </xf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4" borderId="1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1" applyAlignment="1" pivotButton="0" quotePrefix="0" xfId="0">
      <alignment horizontal="center" vertical="center" wrapText="1"/>
    </xf>
    <xf numFmtId="166" fontId="1" fillId="0" borderId="11" applyAlignment="1" pivotButton="0" quotePrefix="0" xfId="0">
      <alignment horizontal="center" vertical="center" wrapText="1"/>
    </xf>
    <xf numFmtId="170" fontId="1" fillId="0" borderId="1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I32"/>
  <sheetViews>
    <sheetView view="pageBreakPreview" zoomScale="55" zoomScaleNormal="55" zoomScaleSheetLayoutView="55" workbookViewId="0">
      <selection activeCell="C27" sqref="C27"/>
    </sheetView>
  </sheetViews>
  <sheetFormatPr baseColWidth="8" defaultColWidth="9.140625" defaultRowHeight="15.75"/>
  <cols>
    <col width="9.140625" customWidth="1" style="132" min="1" max="2"/>
    <col width="36.85546875" customWidth="1" style="132" min="3" max="3"/>
    <col width="36.5703125" customWidth="1" style="132" min="4" max="6"/>
    <col width="10.140625" customWidth="1" style="132" min="7" max="7"/>
    <col width="9.140625" customWidth="1" style="132" min="8" max="8"/>
    <col width="23.5703125" customWidth="1" style="132" min="9" max="9"/>
    <col width="9.140625" customWidth="1" style="132" min="10" max="10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>
      <c r="B5" s="142" t="n"/>
      <c r="C5" s="142" t="n"/>
      <c r="D5" s="142" t="n"/>
      <c r="E5" s="142" t="n"/>
      <c r="F5" s="142" t="n"/>
    </row>
    <row r="6">
      <c r="B6" s="142" t="n"/>
      <c r="C6" s="142" t="n"/>
      <c r="D6" s="142" t="n"/>
      <c r="E6" s="142" t="n"/>
      <c r="F6" s="142" t="n"/>
    </row>
    <row r="7" ht="39.6" customHeight="1">
      <c r="B7" s="217" t="inlineStr">
        <is>
          <t>Наименование разрабатываемого показателя УНЦ — Шкаф ЦК ПС</t>
        </is>
      </c>
      <c r="G7" s="141" t="n"/>
    </row>
    <row r="8" ht="31.5" customHeight="1">
      <c r="B8" s="217" t="inlineStr">
        <is>
          <t>Сопоставимый уровень цен:  4 кв 2019г.</t>
        </is>
      </c>
    </row>
    <row r="9">
      <c r="B9" s="217" t="inlineStr">
        <is>
          <t>Единица измерения  — 1 ед</t>
        </is>
      </c>
      <c r="G9" s="141" t="n"/>
    </row>
    <row r="10">
      <c r="B10" s="217" t="n"/>
    </row>
    <row r="11">
      <c r="B11" s="223" t="inlineStr">
        <is>
          <t>№ п/п</t>
        </is>
      </c>
      <c r="C11" s="223" t="inlineStr">
        <is>
          <t>Параметр</t>
        </is>
      </c>
      <c r="D11" s="136" t="inlineStr">
        <is>
          <t>Объект-представитель 1</t>
        </is>
      </c>
      <c r="E11" s="136" t="inlineStr">
        <is>
          <t>Объект-представитель 2</t>
        </is>
      </c>
      <c r="F11" s="136" t="inlineStr">
        <is>
          <t>Объект-представитель 3</t>
        </is>
      </c>
      <c r="G11" s="141" t="n"/>
    </row>
    <row r="12" ht="78.75" customHeight="1">
      <c r="B12" s="223" t="n">
        <v>1</v>
      </c>
      <c r="C12" s="136" t="inlineStr">
        <is>
          <t>Наименование объекта-представителя</t>
        </is>
      </c>
      <c r="D12" s="226" t="inlineStr">
        <is>
          <t>ПС 220 кВ Звезда с заходами ВЛ 220 кВ Береговая-2-Перевал. Корректировка</t>
        </is>
      </c>
      <c r="E12" s="226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  <c r="F12" s="226" t="inlineStr">
        <is>
          <t>Строительство ПС 330 кВ Мурманская с заходами ВЛ 330 кВ. Корректировка -2</t>
        </is>
      </c>
    </row>
    <row r="13" ht="31.5" customHeight="1">
      <c r="B13" s="223" t="n">
        <v>2</v>
      </c>
      <c r="C13" s="136" t="inlineStr">
        <is>
          <t>Наименование субъекта Российской Федерации</t>
        </is>
      </c>
      <c r="D13" s="226" t="inlineStr">
        <is>
          <t>Приморский край</t>
        </is>
      </c>
      <c r="E13" s="226" t="inlineStr">
        <is>
          <t>Оренбургская область</t>
        </is>
      </c>
      <c r="F13" s="226" t="inlineStr">
        <is>
          <t>Мурманская область</t>
        </is>
      </c>
    </row>
    <row r="14">
      <c r="B14" s="223" t="n">
        <v>3</v>
      </c>
      <c r="C14" s="136" t="inlineStr">
        <is>
          <t>Климатический район и подрайон</t>
        </is>
      </c>
      <c r="D14" s="188" t="inlineStr">
        <is>
          <t>IIг</t>
        </is>
      </c>
      <c r="E14" s="188" t="inlineStr">
        <is>
          <t>IIIa</t>
        </is>
      </c>
      <c r="F14" s="188" t="inlineStr">
        <is>
          <t>IIА</t>
        </is>
      </c>
    </row>
    <row r="15">
      <c r="B15" s="223" t="n">
        <v>4</v>
      </c>
      <c r="C15" s="136" t="inlineStr">
        <is>
          <t>Мощность объекта</t>
        </is>
      </c>
      <c r="D15" s="223" t="n">
        <v>1</v>
      </c>
      <c r="E15" s="223" t="n">
        <v>1</v>
      </c>
      <c r="F15" s="223" t="n">
        <v>1</v>
      </c>
    </row>
    <row r="16" ht="94.5" customHeight="1">
      <c r="B16" s="223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Шкаф ЦК ПС - 1 комплект</t>
        </is>
      </c>
      <c r="E16" s="223" t="inlineStr">
        <is>
          <t>Шкаф ЦК ПС - 1 комплект</t>
        </is>
      </c>
      <c r="F16" s="223" t="inlineStr">
        <is>
          <t>Шкаф ЦК ПС - 1 комплект</t>
        </is>
      </c>
    </row>
    <row r="17" ht="78.75" customHeight="1">
      <c r="B17" s="223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5">
        <f>SUM(D18:D21)</f>
        <v/>
      </c>
      <c r="E17" s="155">
        <f>SUM(E18:E21)</f>
        <v/>
      </c>
      <c r="F17" s="155">
        <f>SUM(F18:F21)</f>
        <v/>
      </c>
      <c r="G17" s="137" t="n"/>
    </row>
    <row r="18">
      <c r="B18" s="140" t="inlineStr">
        <is>
          <t>6.1</t>
        </is>
      </c>
      <c r="C18" s="136" t="inlineStr">
        <is>
          <t>строительно-монтажные работы</t>
        </is>
      </c>
      <c r="D18" s="155" t="n">
        <v>149.33</v>
      </c>
      <c r="E18" s="155" t="n">
        <v>105.54</v>
      </c>
      <c r="F18" s="155" t="n">
        <v>232.71</v>
      </c>
    </row>
    <row r="19">
      <c r="B19" s="140" t="inlineStr">
        <is>
          <t>6.2</t>
        </is>
      </c>
      <c r="C19" s="136" t="inlineStr">
        <is>
          <t>оборудование и инвентарь</t>
        </is>
      </c>
      <c r="D19" s="155" t="n">
        <v>7364.42</v>
      </c>
      <c r="E19" s="155" t="n">
        <v>2711.3</v>
      </c>
      <c r="F19" s="155" t="n">
        <v>4667.45</v>
      </c>
    </row>
    <row r="20">
      <c r="B20" s="140" t="inlineStr">
        <is>
          <t>6.3</t>
        </is>
      </c>
      <c r="C20" s="136" t="inlineStr">
        <is>
          <t>пусконаладочные работы</t>
        </is>
      </c>
      <c r="D20" s="155" t="n">
        <v>0</v>
      </c>
      <c r="E20" s="155" t="n">
        <v>0</v>
      </c>
      <c r="F20" s="155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155">
        <f>D18*3.9%+(D18+D18*3.9%)*3.2%</f>
        <v/>
      </c>
      <c r="E21" s="155">
        <f>E18*3.9%+(E18+E18*3.9%)*3.2%</f>
        <v/>
      </c>
      <c r="F21" s="155">
        <f>F18*3.9%+(F18+F18*3.9%)*3.2%*1.2</f>
        <v/>
      </c>
    </row>
    <row r="22">
      <c r="B22" s="223" t="n">
        <v>7</v>
      </c>
      <c r="C22" s="139" t="inlineStr">
        <is>
          <t>Сопоставимый уровень цен</t>
        </is>
      </c>
      <c r="D22" s="223" t="inlineStr">
        <is>
          <t>4 кв.2019г.</t>
        </is>
      </c>
      <c r="E22" s="223" t="inlineStr">
        <is>
          <t>4 кв.2019г.</t>
        </is>
      </c>
      <c r="F22" s="223" t="inlineStr">
        <is>
          <t>4 кв.2019г.</t>
        </is>
      </c>
      <c r="G22" s="137" t="n"/>
    </row>
    <row r="23" ht="110.25" customHeight="1">
      <c r="B23" s="223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5">
        <f>(((149.33/6.56)*3.9%+((149.33/6.56)+(149.33/6.56)*3.9%)*3.2%)+7364.42/4.28)*8.69</f>
        <v/>
      </c>
      <c r="E23" s="155">
        <f>((105.54/5.17*3.9%+(105.54/5.17+105.54/5.17*3.9%)*3.2%)+2711.3/4.28)*8.69</f>
        <v/>
      </c>
      <c r="F23" s="155">
        <f>((232.71/7.24*3.9%+(232.71/7.24+232.71/7.24*3.9%)*3.2%*1.2)+4667.45/4.78)*8.69</f>
        <v/>
      </c>
      <c r="I23" s="193" t="n"/>
    </row>
    <row r="24" ht="47.25" customHeight="1">
      <c r="B24" s="223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55">
        <f>D23/D15</f>
        <v/>
      </c>
      <c r="E24" s="155">
        <f>E23/E15</f>
        <v/>
      </c>
      <c r="F24" s="155">
        <f>F23/F15</f>
        <v/>
      </c>
      <c r="G24" s="137" t="n"/>
    </row>
    <row r="25" ht="110.25" customHeight="1">
      <c r="B25" s="223" t="n">
        <v>10</v>
      </c>
      <c r="C25" s="136" t="inlineStr">
        <is>
          <t>Примечание</t>
        </is>
      </c>
      <c r="D25" s="186" t="n"/>
      <c r="E25" s="136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ед</t>
        </is>
      </c>
      <c r="F25" s="136" t="n"/>
    </row>
    <row r="26">
      <c r="B26" s="135" t="n"/>
      <c r="C26" s="134" t="n"/>
      <c r="D26" s="134" t="n"/>
      <c r="E26" s="134" t="n"/>
      <c r="F26" s="134" t="n"/>
    </row>
    <row r="27" ht="37.5" customHeight="1">
      <c r="B27" s="133" t="n"/>
    </row>
    <row r="28">
      <c r="B28" s="132" t="inlineStr">
        <is>
          <t>Составил ______________________        А.Р. Маркова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132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M62"/>
  <sheetViews>
    <sheetView view="pageBreakPreview" topLeftCell="A13" zoomScaleNormal="70" workbookViewId="0">
      <selection activeCell="C34" sqref="C34"/>
    </sheetView>
  </sheetViews>
  <sheetFormatPr baseColWidth="8" defaultColWidth="9.140625" defaultRowHeight="15.75"/>
  <cols>
    <col width="5.5703125" customWidth="1" style="132" min="1" max="1"/>
    <col width="9.140625" customWidth="1" style="132" min="2" max="2"/>
    <col width="35.28515625" customWidth="1" style="132" min="3" max="3"/>
    <col width="13.85546875" customWidth="1" style="132" min="4" max="4"/>
    <col width="24.85546875" customWidth="1" style="132" min="5" max="5"/>
    <col width="15.5703125" customWidth="1" style="132" min="6" max="6"/>
    <col width="14.85546875" customWidth="1" style="132" min="7" max="7"/>
    <col width="16.7109375" customWidth="1" style="132" min="8" max="8"/>
    <col width="13" customWidth="1" style="132" min="9" max="10"/>
    <col width="18" customWidth="1" style="132" min="11" max="11"/>
    <col width="9.140625" customWidth="1" style="132" min="12" max="12"/>
    <col width="16.140625" customWidth="1" style="132" min="13" max="13"/>
    <col width="9.140625" customWidth="1" style="132" min="14" max="14"/>
  </cols>
  <sheetData>
    <row r="3">
      <c r="B3" s="215" t="inlineStr">
        <is>
          <t>Приложение № 2</t>
        </is>
      </c>
      <c r="K3" s="133" t="n"/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34.15" customHeight="1">
      <c r="B6" s="224" t="inlineStr">
        <is>
          <t>Наименование разрабатываемого показателя УНЦ —  Шкаф ЦК ПС</t>
        </is>
      </c>
      <c r="K6" s="133" t="n"/>
      <c r="L6" s="141" t="n"/>
    </row>
    <row r="7">
      <c r="B7" s="217" t="inlineStr">
        <is>
          <t>Единица измерения  —  1 ед</t>
        </is>
      </c>
      <c r="L7" s="141" t="n"/>
    </row>
    <row r="8">
      <c r="B8" s="217" t="n"/>
    </row>
    <row r="9" ht="15.75" customHeight="1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61" t="n"/>
      <c r="F9" s="361" t="n"/>
      <c r="G9" s="361" t="n"/>
      <c r="H9" s="361" t="n"/>
      <c r="I9" s="361" t="n"/>
      <c r="J9" s="362" t="n"/>
    </row>
    <row r="10" ht="15.75" customHeight="1">
      <c r="B10" s="363" t="n"/>
      <c r="C10" s="363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3 кв. 2016 г., тыс. руб.</t>
        </is>
      </c>
      <c r="G10" s="361" t="n"/>
      <c r="H10" s="361" t="n"/>
      <c r="I10" s="361" t="n"/>
      <c r="J10" s="362" t="n"/>
    </row>
    <row r="11" ht="69" customHeight="1">
      <c r="B11" s="364" t="n"/>
      <c r="C11" s="364" t="n"/>
      <c r="D11" s="364" t="n"/>
      <c r="E11" s="364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47.25" customHeight="1">
      <c r="B12" s="199" t="n">
        <v>1</v>
      </c>
      <c r="C12" s="223" t="inlineStr">
        <is>
          <t>Шкаф ЦК ПС - 1 комплект</t>
        </is>
      </c>
      <c r="D12" s="165" t="inlineStr">
        <is>
          <t xml:space="preserve">02-05-03
</t>
        </is>
      </c>
      <c r="E12" s="227" t="inlineStr">
        <is>
          <t>АСУ ТП. Приобретение и монтаж оборудования ПС 220 кВ Звезда</t>
        </is>
      </c>
      <c r="F12" s="149" t="n"/>
      <c r="G12" s="149">
        <f>18663.18/1000</f>
        <v/>
      </c>
      <c r="H12" s="149">
        <f>7364416.8/1000</f>
        <v/>
      </c>
      <c r="I12" s="145" t="n"/>
      <c r="J12" s="151">
        <f>SUM(F12:I12)</f>
        <v/>
      </c>
      <c r="K12" s="193" t="n"/>
      <c r="L12" s="193" t="n"/>
      <c r="M12" s="193" t="n"/>
    </row>
    <row r="13" ht="78.75" customHeight="1">
      <c r="B13" s="364" t="n"/>
      <c r="C13" s="364" t="n"/>
      <c r="D13" s="165" t="inlineStr">
        <is>
          <t>02-05-05</t>
        </is>
      </c>
      <c r="E13" s="227" t="inlineStr">
        <is>
          <t>АСУ ТП. Нижний уровень 220 кВ. Техническое обеспечение ПС 220кВ Звезда</t>
        </is>
      </c>
      <c r="F13" s="149" t="n"/>
      <c r="G13" s="149">
        <f>130669/1000</f>
        <v/>
      </c>
      <c r="H13" s="145" t="n"/>
      <c r="I13" s="145" t="n"/>
      <c r="J13" s="151">
        <f>SUM(F13:I13)</f>
        <v/>
      </c>
    </row>
    <row r="14">
      <c r="B14" s="218" t="inlineStr">
        <is>
          <t>Всего по объекту:</t>
        </is>
      </c>
      <c r="C14" s="361" t="n"/>
      <c r="D14" s="361" t="n"/>
      <c r="E14" s="362" t="n"/>
      <c r="F14" s="150" t="n"/>
      <c r="G14" s="150">
        <f>SUM(G12:G13)</f>
        <v/>
      </c>
      <c r="H14" s="150">
        <f>SUM(H12:H13)</f>
        <v/>
      </c>
      <c r="I14" s="150" t="n"/>
      <c r="J14" s="152">
        <f>SUM(F14:I14)</f>
        <v/>
      </c>
    </row>
    <row r="15">
      <c r="B15" s="218" t="inlineStr">
        <is>
          <t>Всего по объекту в сопоставимом уровне цен 3 кв. 2016 г:</t>
        </is>
      </c>
      <c r="C15" s="361" t="n"/>
      <c r="D15" s="361" t="n"/>
      <c r="E15" s="362" t="n"/>
      <c r="F15" s="150" t="n"/>
      <c r="G15" s="150">
        <f>G14</f>
        <v/>
      </c>
      <c r="H15" s="150">
        <f>H14</f>
        <v/>
      </c>
      <c r="I15" s="144" t="n"/>
      <c r="J15" s="152">
        <f>SUM(F15:I15)</f>
        <v/>
      </c>
    </row>
    <row r="16">
      <c r="B16" s="217" t="n"/>
    </row>
    <row r="17">
      <c r="B17" s="223" t="inlineStr">
        <is>
          <t>№ п/п</t>
        </is>
      </c>
      <c r="C17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23" t="inlineStr">
        <is>
          <t>Объект-представитель 2</t>
        </is>
      </c>
      <c r="E17" s="361" t="n"/>
      <c r="F17" s="361" t="n"/>
      <c r="G17" s="361" t="n"/>
      <c r="H17" s="361" t="n"/>
      <c r="I17" s="361" t="n"/>
      <c r="J17" s="362" t="n"/>
    </row>
    <row r="18">
      <c r="B18" s="363" t="n"/>
      <c r="C18" s="363" t="n"/>
      <c r="D18" s="223" t="inlineStr">
        <is>
          <t>Номер сметы</t>
        </is>
      </c>
      <c r="E18" s="223" t="inlineStr">
        <is>
          <t>Наименование сметы</t>
        </is>
      </c>
      <c r="F18" s="223" t="inlineStr">
        <is>
          <t>Сметная стоимость в уровне цен 4 кв. 2016 г., тыс. руб.</t>
        </is>
      </c>
      <c r="G18" s="361" t="n"/>
      <c r="H18" s="361" t="n"/>
      <c r="I18" s="361" t="n"/>
      <c r="J18" s="362" t="n"/>
    </row>
    <row r="19" ht="66.75" customHeight="1">
      <c r="B19" s="364" t="n"/>
      <c r="C19" s="364" t="n"/>
      <c r="D19" s="364" t="n"/>
      <c r="E19" s="364" t="n"/>
      <c r="F19" s="223" t="inlineStr">
        <is>
          <t>Строительные работы</t>
        </is>
      </c>
      <c r="G19" s="223" t="inlineStr">
        <is>
          <t>Монтажные работы</t>
        </is>
      </c>
      <c r="H19" s="223" t="inlineStr">
        <is>
          <t>Оборудование</t>
        </is>
      </c>
      <c r="I19" s="223" t="inlineStr">
        <is>
          <t>Прочее</t>
        </is>
      </c>
      <c r="J19" s="223" t="inlineStr">
        <is>
          <t>Всего</t>
        </is>
      </c>
    </row>
    <row r="20" ht="31.5" customHeight="1">
      <c r="B20" s="221" t="n">
        <v>1</v>
      </c>
      <c r="C20" s="219" t="inlineStr">
        <is>
          <t>Шкаф ЦК ПС - 1 комплект</t>
        </is>
      </c>
      <c r="D20" s="153" t="inlineStr">
        <is>
          <t>02-08-01-2</t>
        </is>
      </c>
      <c r="E20" s="136" t="inlineStr">
        <is>
          <t xml:space="preserve">АСУ ТП на ПС 500 кВ Преображенская. 2 этап </t>
        </is>
      </c>
      <c r="F20" s="149" t="n"/>
      <c r="G20" s="149">
        <f>20414/1000*5.17</f>
        <v/>
      </c>
      <c r="H20" s="149">
        <f>633481/1000*4.28</f>
        <v/>
      </c>
      <c r="I20" s="145" t="n"/>
      <c r="J20" s="151">
        <f>SUM(F20:I20)</f>
        <v/>
      </c>
      <c r="K20" s="193" t="n"/>
    </row>
    <row r="21">
      <c r="B21" s="218" t="inlineStr">
        <is>
          <t>Всего по объекту:</t>
        </is>
      </c>
      <c r="C21" s="361" t="n"/>
      <c r="D21" s="361" t="n"/>
      <c r="E21" s="362" t="n"/>
      <c r="F21" s="150" t="n"/>
      <c r="G21" s="150">
        <f>SUM(G20:G20)</f>
        <v/>
      </c>
      <c r="H21" s="150">
        <f>SUM(H20:H20)</f>
        <v/>
      </c>
      <c r="I21" s="144" t="n"/>
      <c r="J21" s="152">
        <f>SUM(F21:I21)</f>
        <v/>
      </c>
    </row>
    <row r="22">
      <c r="B22" s="218" t="inlineStr">
        <is>
          <t>Всего по объекту в сопоставимом уровне цен 4 кв. 2016 г:</t>
        </is>
      </c>
      <c r="C22" s="361" t="n"/>
      <c r="D22" s="361" t="n"/>
      <c r="E22" s="362" t="n"/>
      <c r="F22" s="150" t="n"/>
      <c r="G22" s="150">
        <f>G21</f>
        <v/>
      </c>
      <c r="H22" s="150">
        <f>H21</f>
        <v/>
      </c>
      <c r="I22" s="144" t="n"/>
      <c r="J22" s="152">
        <f>SUM(F22:I22)</f>
        <v/>
      </c>
    </row>
    <row r="24">
      <c r="B24" s="223" t="inlineStr">
        <is>
          <t>№ п/п</t>
        </is>
      </c>
      <c r="C24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4" s="223" t="inlineStr">
        <is>
          <t>Объект-представитель 3</t>
        </is>
      </c>
      <c r="E24" s="361" t="n"/>
      <c r="F24" s="361" t="n"/>
      <c r="G24" s="361" t="n"/>
      <c r="H24" s="361" t="n"/>
      <c r="I24" s="361" t="n"/>
      <c r="J24" s="362" t="n"/>
    </row>
    <row r="25">
      <c r="B25" s="363" t="n"/>
      <c r="C25" s="363" t="n"/>
      <c r="D25" s="223" t="inlineStr">
        <is>
          <t>Номер сметы</t>
        </is>
      </c>
      <c r="E25" s="223" t="inlineStr">
        <is>
          <t>Наименование сметы</t>
        </is>
      </c>
      <c r="F25" s="223" t="inlineStr">
        <is>
          <t>Сметная стоимость в уровне цен 4 кв. 2019 г., тыс. руб.</t>
        </is>
      </c>
      <c r="G25" s="361" t="n"/>
      <c r="H25" s="361" t="n"/>
      <c r="I25" s="361" t="n"/>
      <c r="J25" s="362" t="n"/>
    </row>
    <row r="26" ht="69" customHeight="1">
      <c r="B26" s="364" t="n"/>
      <c r="C26" s="364" t="n"/>
      <c r="D26" s="364" t="n"/>
      <c r="E26" s="364" t="n"/>
      <c r="F26" s="223" t="inlineStr">
        <is>
          <t>Строительные работы</t>
        </is>
      </c>
      <c r="G26" s="223" t="inlineStr">
        <is>
          <t>Монтажные работы</t>
        </is>
      </c>
      <c r="H26" s="223" t="inlineStr">
        <is>
          <t>Оборудование</t>
        </is>
      </c>
      <c r="I26" s="223" t="inlineStr">
        <is>
          <t>Прочее</t>
        </is>
      </c>
      <c r="J26" s="223" t="inlineStr">
        <is>
          <t>Всего</t>
        </is>
      </c>
    </row>
    <row r="27" ht="31.5" customHeight="1">
      <c r="B27" s="199" t="n">
        <v>1</v>
      </c>
      <c r="C27" s="365" t="inlineStr">
        <is>
          <t>Шкаф ЦК ПС - 1 комплект</t>
        </is>
      </c>
      <c r="D27" s="153" t="inlineStr">
        <is>
          <t>02-08-02</t>
        </is>
      </c>
      <c r="E27" s="136" t="inlineStr">
        <is>
          <t xml:space="preserve"> ПС 330 кВ. Мурманская. АСУ ТП.  </t>
        </is>
      </c>
      <c r="F27" s="149" t="n"/>
      <c r="G27" s="149">
        <f>611/1000*7.24</f>
        <v/>
      </c>
      <c r="H27" s="149">
        <f>976455/1000*4.78</f>
        <v/>
      </c>
      <c r="I27" s="145" t="n"/>
      <c r="J27" s="151">
        <f>SUM(F27:I27)</f>
        <v/>
      </c>
      <c r="K27" s="193" t="n"/>
    </row>
    <row r="28" ht="63" customHeight="1">
      <c r="B28" s="364" t="n"/>
      <c r="C28" s="364" t="n"/>
      <c r="D28" s="153" t="inlineStr">
        <is>
          <t>02-13-01</t>
        </is>
      </c>
      <c r="E28" s="136" t="inlineStr">
        <is>
          <t xml:space="preserve"> ПС 330 кВ Мурманская.  Кабельное хозяйство. Контрольный  кабель </t>
        </is>
      </c>
      <c r="F28" s="149" t="n"/>
      <c r="G28" s="149">
        <f>31531/1000*7.24</f>
        <v/>
      </c>
      <c r="H28" s="149" t="n"/>
      <c r="I28" s="145" t="n"/>
      <c r="J28" s="151">
        <f>SUM(F28:I28)</f>
        <v/>
      </c>
    </row>
    <row r="29">
      <c r="B29" s="218" t="inlineStr">
        <is>
          <t>Всего по объекту:</t>
        </is>
      </c>
      <c r="C29" s="361" t="n"/>
      <c r="D29" s="361" t="n"/>
      <c r="E29" s="362" t="n"/>
      <c r="F29" s="150" t="n"/>
      <c r="G29" s="150">
        <f>SUM(G27:G28)</f>
        <v/>
      </c>
      <c r="H29" s="150">
        <f>SUM(H27:H28)</f>
        <v/>
      </c>
      <c r="I29" s="144" t="n"/>
      <c r="J29" s="152">
        <f>SUM(F29:I29)</f>
        <v/>
      </c>
    </row>
    <row r="30" ht="28.5" customHeight="1">
      <c r="B30" s="218" t="inlineStr">
        <is>
          <t>Всего по объекту в сопоставимом уровне цен 4 кв. 2019 г:</t>
        </is>
      </c>
      <c r="C30" s="361" t="n"/>
      <c r="D30" s="361" t="n"/>
      <c r="E30" s="362" t="n"/>
      <c r="F30" s="150" t="n"/>
      <c r="G30" s="150">
        <f>G29</f>
        <v/>
      </c>
      <c r="H30" s="150">
        <f>H29</f>
        <v/>
      </c>
      <c r="I30" s="144" t="n"/>
      <c r="J30" s="152">
        <f>SUM(F30:I30)</f>
        <v/>
      </c>
    </row>
    <row r="32">
      <c r="B32" s="230" t="inlineStr">
        <is>
          <t>*</t>
        </is>
      </c>
      <c r="C32" s="132" t="inlineStr">
        <is>
          <t xml:space="preserve"> - стоимость с учетом исключения затрат на корректровку по транспортировке  свыше 30 км.</t>
        </is>
      </c>
    </row>
    <row r="34">
      <c r="B34" s="132" t="inlineStr">
        <is>
          <t>Составил ______________________        А.Р. Маркова</t>
        </is>
      </c>
    </row>
    <row r="35">
      <c r="B35" s="133" t="inlineStr">
        <is>
          <t xml:space="preserve">                         (подпись, инициалы, фамилия)</t>
        </is>
      </c>
    </row>
    <row r="37">
      <c r="B37" s="132" t="inlineStr">
        <is>
          <t>Проверил ______________________        А.В. Костянецкая</t>
        </is>
      </c>
    </row>
    <row r="38">
      <c r="B38" s="133" t="inlineStr">
        <is>
          <t xml:space="preserve">                        (подпись, инициалы, фамилия)</t>
        </is>
      </c>
    </row>
    <row r="53" hidden="1"/>
    <row r="54" hidden="1"/>
    <row r="55" hidden="1"/>
    <row r="56" hidden="1"/>
    <row r="57" hidden="1">
      <c r="B57" s="223" t="inlineStr">
        <is>
          <t>№ п/п</t>
        </is>
      </c>
      <c r="C57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57" s="223" t="inlineStr">
        <is>
          <t>Объект-представитель 2</t>
        </is>
      </c>
      <c r="E57" s="361" t="n"/>
      <c r="F57" s="361" t="n"/>
      <c r="G57" s="361" t="n"/>
      <c r="H57" s="361" t="n"/>
      <c r="I57" s="361" t="n"/>
      <c r="J57" s="362" t="n"/>
    </row>
    <row r="58" hidden="1">
      <c r="B58" s="363" t="n"/>
      <c r="C58" s="363" t="n"/>
      <c r="D58" s="223" t="inlineStr">
        <is>
          <t>Номер сметы</t>
        </is>
      </c>
      <c r="E58" s="223" t="inlineStr">
        <is>
          <t>Наименование сметы</t>
        </is>
      </c>
      <c r="F58" s="223" t="inlineStr">
        <is>
          <t>Сметная стоимость в уровне цен 4 кв. 2020 г., тыс. руб.</t>
        </is>
      </c>
      <c r="G58" s="361" t="n"/>
      <c r="H58" s="361" t="n"/>
      <c r="I58" s="361" t="n"/>
      <c r="J58" s="362" t="n"/>
    </row>
    <row r="59" hidden="1" ht="31.5" customHeight="1">
      <c r="B59" s="364" t="n"/>
      <c r="C59" s="364" t="n"/>
      <c r="D59" s="364" t="n"/>
      <c r="E59" s="364" t="n"/>
      <c r="F59" s="223" t="inlineStr">
        <is>
          <t>Строительные работы</t>
        </is>
      </c>
      <c r="G59" s="223" t="inlineStr">
        <is>
          <t>Монтажные работы</t>
        </is>
      </c>
      <c r="H59" s="223" t="inlineStr">
        <is>
          <t>Оборудование</t>
        </is>
      </c>
      <c r="I59" s="223" t="inlineStr">
        <is>
          <t>Прочее</t>
        </is>
      </c>
      <c r="J59" s="223" t="inlineStr">
        <is>
          <t>Всего</t>
        </is>
      </c>
    </row>
    <row r="60" hidden="1" ht="244.5" customHeight="1">
      <c r="B60" s="154" t="n">
        <v>1</v>
      </c>
      <c r="C60" s="156" t="inlineStr">
        <is>
          <t>П220н-4.2т - 10 шт;
П220н-4.2т+6 - 1 шт;
П220н-4.2т-7.5 - 1 шт;
П220н-4.1 - 129 шт;
П220н-4.1-7.5 - 7 шт;
П220н-4.1+6 - 1 шт;
У220н-2.2 - 5 шт;
У220н-2.2+5 - 9 шт;
У220н-2.2+9 - 8 шт;
У220н-2.2+14 - 14 шт;
У220н-2.2т+5 - 4 шт;
У220н-2.2т+9 - 4 шт;
У220н-2.2т+14 - 7 шт.
Общая масса 2370, 56т</t>
        </is>
      </c>
      <c r="D60" s="153" t="inlineStr">
        <is>
          <t>02-01-02</t>
        </is>
      </c>
      <c r="E60" s="136" t="inlineStr">
        <is>
          <t>Конструктивно-строительные решения</t>
        </is>
      </c>
      <c r="F60" s="149">
        <f>14802540.18/1000*8.46</f>
        <v/>
      </c>
      <c r="G60" s="145" t="n"/>
      <c r="H60" s="145" t="n"/>
      <c r="I60" s="145" t="n"/>
      <c r="J60" s="151">
        <f>SUM(F60:I60)</f>
        <v/>
      </c>
    </row>
    <row r="61" hidden="1">
      <c r="B61" s="218" t="inlineStr">
        <is>
          <t>Всего по объекту:</t>
        </is>
      </c>
      <c r="C61" s="361" t="n"/>
      <c r="D61" s="361" t="n"/>
      <c r="E61" s="362" t="n"/>
      <c r="F61" s="150">
        <f>SUM(F60:F60)</f>
        <v/>
      </c>
      <c r="G61" s="144" t="n"/>
      <c r="H61" s="144" t="n"/>
      <c r="I61" s="144" t="n"/>
      <c r="J61" s="152">
        <f>SUM(F61:I61)</f>
        <v/>
      </c>
    </row>
    <row r="62" hidden="1" ht="28.5" customHeight="1">
      <c r="B62" s="218" t="inlineStr">
        <is>
          <t>Всего по объекту в сопоставимом уровне цен 4 кв. 2020 г:</t>
        </is>
      </c>
      <c r="C62" s="361" t="n"/>
      <c r="D62" s="361" t="n"/>
      <c r="E62" s="362" t="n"/>
      <c r="F62" s="150">
        <f>F61</f>
        <v/>
      </c>
      <c r="G62" s="144" t="n"/>
      <c r="H62" s="144" t="n"/>
      <c r="I62" s="144" t="n"/>
      <c r="J62" s="152">
        <f>SUM(F62:I62)</f>
        <v/>
      </c>
    </row>
    <row r="63" hidden="1"/>
  </sheetData>
  <mergeCells count="40">
    <mergeCell ref="B27:B28"/>
    <mergeCell ref="C57:C59"/>
    <mergeCell ref="D9:J9"/>
    <mergeCell ref="B12:B13"/>
    <mergeCell ref="F10:J10"/>
    <mergeCell ref="C17:C19"/>
    <mergeCell ref="B30:E30"/>
    <mergeCell ref="B15:E15"/>
    <mergeCell ref="F25:J25"/>
    <mergeCell ref="C9:C11"/>
    <mergeCell ref="D24:J24"/>
    <mergeCell ref="B24:B26"/>
    <mergeCell ref="E10:E11"/>
    <mergeCell ref="B4:K4"/>
    <mergeCell ref="C12:C13"/>
    <mergeCell ref="B62:E62"/>
    <mergeCell ref="B7:K7"/>
    <mergeCell ref="F18:J18"/>
    <mergeCell ref="C24:C26"/>
    <mergeCell ref="B6:J6"/>
    <mergeCell ref="B22:E22"/>
    <mergeCell ref="D18:D19"/>
    <mergeCell ref="B21:E21"/>
    <mergeCell ref="C27:C28"/>
    <mergeCell ref="D25:D26"/>
    <mergeCell ref="D57:J57"/>
    <mergeCell ref="D58:D59"/>
    <mergeCell ref="B14:E14"/>
    <mergeCell ref="F58:J58"/>
    <mergeCell ref="B61:E61"/>
    <mergeCell ref="B17:B19"/>
    <mergeCell ref="B3:J3"/>
    <mergeCell ref="D10:D11"/>
    <mergeCell ref="B57:B59"/>
    <mergeCell ref="E25:E26"/>
    <mergeCell ref="D17:J17"/>
    <mergeCell ref="E18:E19"/>
    <mergeCell ref="B29:E29"/>
    <mergeCell ref="B9:B11"/>
    <mergeCell ref="E58:E59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0"/>
  <sheetViews>
    <sheetView tabSelected="1" view="pageBreakPreview" topLeftCell="A4" zoomScaleSheetLayoutView="100" workbookViewId="0">
      <selection activeCell="A7" sqref="A7:A8"/>
    </sheetView>
  </sheetViews>
  <sheetFormatPr baseColWidth="8" defaultColWidth="9.140625" defaultRowHeight="15.75"/>
  <cols>
    <col width="9.140625" customWidth="1" style="189" min="1" max="1"/>
    <col width="12.5703125" customWidth="1" style="132" min="2" max="2"/>
    <col width="22.42578125" customWidth="1" style="142" min="3" max="3"/>
    <col width="49.7109375" customWidth="1" style="184" min="4" max="4"/>
    <col width="10.140625" customWidth="1" style="185" min="5" max="5"/>
    <col width="20.7109375" customWidth="1" style="184" min="6" max="6"/>
    <col width="16.140625" customWidth="1" style="184" min="7" max="7"/>
    <col width="16.7109375" customWidth="1" style="132" min="8" max="8"/>
    <col width="9.140625" customWidth="1" style="132" min="9" max="9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>
      <c r="A4" s="142" t="n"/>
    </row>
    <row r="5" ht="30.6" customHeight="1">
      <c r="A5" s="224" t="inlineStr">
        <is>
          <t>Наименование разрабатываемого показателя УНЦ - Шкаф ЦК ПС</t>
        </is>
      </c>
    </row>
    <row r="6">
      <c r="A6" s="142" t="n"/>
      <c r="B6" s="146" t="n"/>
      <c r="D6" s="185" t="n"/>
      <c r="F6" s="185" t="n"/>
      <c r="G6" s="185" t="n"/>
      <c r="H6" s="146" t="n"/>
    </row>
    <row r="7" ht="38.25" customHeight="1">
      <c r="A7" s="223" t="inlineStr">
        <is>
          <t>п/п</t>
        </is>
      </c>
      <c r="B7" s="223" t="inlineStr">
        <is>
          <t>№ЛСР</t>
        </is>
      </c>
      <c r="C7" s="223" t="inlineStr">
        <is>
          <t>Код ресурса</t>
        </is>
      </c>
      <c r="D7" s="223" t="inlineStr">
        <is>
          <t>Наименование ресурса</t>
        </is>
      </c>
      <c r="E7" s="227" t="inlineStr">
        <is>
          <t>Ед. изм.</t>
        </is>
      </c>
      <c r="F7" s="223" t="inlineStr">
        <is>
          <t>Кол-во единиц по данным объекта-представителя</t>
        </is>
      </c>
      <c r="G7" s="223" t="inlineStr">
        <is>
          <t>Сметная стоимость в ценах на 01.01.2000 (руб.)</t>
        </is>
      </c>
      <c r="H7" s="362" t="n"/>
    </row>
    <row r="8" ht="40.5" customHeight="1">
      <c r="A8" s="364" t="n"/>
      <c r="B8" s="364" t="n"/>
      <c r="C8" s="364" t="n"/>
      <c r="D8" s="364" t="n"/>
      <c r="E8" s="364" t="n"/>
      <c r="F8" s="364" t="n"/>
      <c r="G8" s="225" t="inlineStr">
        <is>
          <t>на ед.изм.</t>
        </is>
      </c>
      <c r="H8" s="225" t="inlineStr">
        <is>
          <t>общая</t>
        </is>
      </c>
    </row>
    <row r="9">
      <c r="A9" s="344" t="n">
        <v>1</v>
      </c>
      <c r="B9" s="344" t="n"/>
      <c r="C9" s="344" t="n">
        <v>2</v>
      </c>
      <c r="D9" s="345" t="n">
        <v>3</v>
      </c>
      <c r="E9" s="345" t="n">
        <v>4</v>
      </c>
      <c r="F9" s="345" t="n">
        <v>5</v>
      </c>
      <c r="G9" s="345" t="n">
        <v>6</v>
      </c>
      <c r="H9" s="344" t="n">
        <v>7</v>
      </c>
    </row>
    <row r="10" customFormat="1" s="147">
      <c r="A10" s="357" t="inlineStr">
        <is>
          <t>Затраты труда рабочих</t>
        </is>
      </c>
      <c r="B10" s="366" t="n"/>
      <c r="C10" s="366" t="n"/>
      <c r="D10" s="366" t="n"/>
      <c r="E10" s="367" t="n"/>
      <c r="F10" s="349" t="n">
        <v>300.624</v>
      </c>
      <c r="G10" s="349" t="n"/>
      <c r="H10" s="349">
        <f>SUM(H11:H12)</f>
        <v/>
      </c>
    </row>
    <row r="11">
      <c r="A11" s="338" t="n">
        <v>1</v>
      </c>
      <c r="B11" s="350" t="n"/>
      <c r="C11" s="351" t="inlineStr">
        <is>
          <t>1-3-8</t>
        </is>
      </c>
      <c r="D11" s="341" t="inlineStr">
        <is>
          <t>Затраты труда рабочих (ср 3,8)</t>
        </is>
      </c>
      <c r="E11" s="352" t="inlineStr">
        <is>
          <t>чел.-ч</t>
        </is>
      </c>
      <c r="F11" s="340" t="n">
        <v>295.68</v>
      </c>
      <c r="G11" s="341" t="n">
        <v>9.4</v>
      </c>
      <c r="H11" s="342">
        <f>ROUND(F11*G11,2)</f>
        <v/>
      </c>
    </row>
    <row r="12">
      <c r="A12" s="338" t="n">
        <v>2</v>
      </c>
      <c r="B12" s="350" t="n"/>
      <c r="C12" s="351" t="inlineStr">
        <is>
          <t>1-4-2</t>
        </is>
      </c>
      <c r="D12" s="341" t="inlineStr">
        <is>
          <t>Затраты труда рабочих (ср 4,2)</t>
        </is>
      </c>
      <c r="E12" s="352" t="inlineStr">
        <is>
          <t>чел.-ч</t>
        </is>
      </c>
      <c r="F12" s="340" t="n">
        <v>4.944</v>
      </c>
      <c r="G12" s="341" t="n">
        <v>9.92</v>
      </c>
      <c r="H12" s="342">
        <f>ROUND(F12*G12,2)</f>
        <v/>
      </c>
    </row>
    <row r="13">
      <c r="A13" s="357" t="inlineStr">
        <is>
          <t>Затраты труда машинистов</t>
        </is>
      </c>
      <c r="B13" s="366" t="n"/>
      <c r="C13" s="366" t="n"/>
      <c r="D13" s="366" t="n"/>
      <c r="E13" s="367" t="n"/>
      <c r="F13" s="353" t="n">
        <v>9.869999999999999</v>
      </c>
      <c r="G13" s="349" t="n"/>
      <c r="H13" s="349">
        <f>H14</f>
        <v/>
      </c>
    </row>
    <row r="14">
      <c r="A14" s="338" t="n">
        <v>3</v>
      </c>
      <c r="B14" s="347" t="inlineStr">
        <is>
          <t> </t>
        </is>
      </c>
      <c r="C14" s="313" t="n">
        <v>2</v>
      </c>
      <c r="D14" s="354" t="inlineStr">
        <is>
          <t>Затраты труда машинистов</t>
        </is>
      </c>
      <c r="E14" s="338" t="inlineStr">
        <is>
          <t>чел.-ч</t>
        </is>
      </c>
      <c r="F14" s="340" t="n">
        <v>9.869999999999999</v>
      </c>
      <c r="G14" s="342" t="n"/>
      <c r="H14" s="342" t="n">
        <v>123.9</v>
      </c>
    </row>
    <row r="15" customFormat="1" s="147">
      <c r="A15" s="357" t="inlineStr">
        <is>
          <t>Машины и механизмы</t>
        </is>
      </c>
      <c r="B15" s="366" t="n"/>
      <c r="C15" s="366" t="n"/>
      <c r="D15" s="366" t="n"/>
      <c r="E15" s="367" t="n"/>
      <c r="F15" s="355" t="n"/>
      <c r="G15" s="349" t="n"/>
      <c r="H15" s="349">
        <f>SUM(H16:H20)</f>
        <v/>
      </c>
    </row>
    <row r="16" ht="25.5" customHeight="1">
      <c r="A16" s="338" t="n">
        <v>4</v>
      </c>
      <c r="B16" s="347" t="inlineStr">
        <is>
          <t> </t>
        </is>
      </c>
      <c r="C16" s="340" t="inlineStr">
        <is>
          <t>91.05.05-015</t>
        </is>
      </c>
      <c r="D16" s="341" t="inlineStr">
        <is>
          <t>Краны на автомобильном ходу, грузоподъемность 16 т</t>
        </is>
      </c>
      <c r="E16" s="340" t="inlineStr">
        <is>
          <t>маш.-ч.</t>
        </is>
      </c>
      <c r="F16" s="340" t="n">
        <v>4.936</v>
      </c>
      <c r="G16" s="341" t="n">
        <v>115.4</v>
      </c>
      <c r="H16" s="342">
        <f>ROUND(F16*G16,2)</f>
        <v/>
      </c>
      <c r="J16" s="368" t="n"/>
      <c r="K16" s="190" t="n"/>
    </row>
    <row r="17" customFormat="1" s="147">
      <c r="A17" s="338" t="n">
        <v>5</v>
      </c>
      <c r="B17" s="347" t="inlineStr">
        <is>
          <t> </t>
        </is>
      </c>
      <c r="C17" s="340" t="inlineStr">
        <is>
          <t>91.14.02-001</t>
        </is>
      </c>
      <c r="D17" s="341" t="inlineStr">
        <is>
          <t>Автомобили бортовые, грузоподъемность до 5 т</t>
        </is>
      </c>
      <c r="E17" s="340" t="inlineStr">
        <is>
          <t>маш.-ч.</t>
        </is>
      </c>
      <c r="F17" s="340" t="n">
        <v>4.936</v>
      </c>
      <c r="G17" s="341" t="n">
        <v>65.7</v>
      </c>
      <c r="H17" s="342">
        <f>ROUND(F17*G17,2)</f>
        <v/>
      </c>
      <c r="K17" s="190" t="n"/>
    </row>
    <row r="18" ht="25.5" customFormat="1" customHeight="1" s="147">
      <c r="A18" s="338" t="n">
        <v>6</v>
      </c>
      <c r="B18" s="347" t="inlineStr">
        <is>
          <t> </t>
        </is>
      </c>
      <c r="C18" s="340" t="inlineStr">
        <is>
          <t>91.06.03-061</t>
        </is>
      </c>
      <c r="D18" s="341" t="inlineStr">
        <is>
          <t>Лебедки электрические тяговым усилием до 12,26 кН (1,25 т)</t>
        </is>
      </c>
      <c r="E18" s="340" t="inlineStr">
        <is>
          <t>маш.-ч.</t>
        </is>
      </c>
      <c r="F18" s="340" t="n">
        <v>70.14</v>
      </c>
      <c r="G18" s="341" t="n">
        <v>3.28</v>
      </c>
      <c r="H18" s="342">
        <f>ROUND(F18*G18,2)</f>
        <v/>
      </c>
      <c r="K18" s="190" t="n"/>
    </row>
    <row r="19" customFormat="1" s="147">
      <c r="A19" s="338" t="n">
        <v>7</v>
      </c>
      <c r="B19" s="347" t="inlineStr">
        <is>
          <t> </t>
        </is>
      </c>
      <c r="C19" s="340" t="inlineStr">
        <is>
          <t>91.06.01-003</t>
        </is>
      </c>
      <c r="D19" s="341" t="inlineStr">
        <is>
          <t>Домкраты гидравлические, грузоподъемность 63-100 т</t>
        </is>
      </c>
      <c r="E19" s="340" t="inlineStr">
        <is>
          <t>маш.-ч.</t>
        </is>
      </c>
      <c r="F19" s="340" t="n">
        <v>70.14</v>
      </c>
      <c r="G19" s="341" t="n">
        <v>0.9</v>
      </c>
      <c r="H19" s="342">
        <f>ROUND(F19*G19,2)</f>
        <v/>
      </c>
      <c r="K19" s="190" t="n"/>
      <c r="M19" s="196" t="n"/>
    </row>
    <row r="20" ht="25.5" customFormat="1" customHeight="1" s="147">
      <c r="A20" s="338" t="n">
        <v>8</v>
      </c>
      <c r="B20" s="347" t="inlineStr">
        <is>
          <t> </t>
        </is>
      </c>
      <c r="C20" s="340" t="inlineStr">
        <is>
          <t>91.17.04-233</t>
        </is>
      </c>
      <c r="D20" s="341" t="inlineStr">
        <is>
          <t>Установки для сварки ручной дуговой (постоянного тока)</t>
        </is>
      </c>
      <c r="E20" s="340" t="inlineStr">
        <is>
          <t>маш.-ч.</t>
        </is>
      </c>
      <c r="F20" s="340" t="n">
        <v>1.856</v>
      </c>
      <c r="G20" s="341" t="n">
        <v>8.1</v>
      </c>
      <c r="H20" s="342">
        <f>ROUND(F20*G20,2)</f>
        <v/>
      </c>
      <c r="K20" s="190" t="n"/>
    </row>
    <row r="21" customFormat="1" s="147">
      <c r="A21" s="356" t="inlineStr">
        <is>
          <t xml:space="preserve">Оборудование </t>
        </is>
      </c>
      <c r="B21" s="366" t="n"/>
      <c r="C21" s="366" t="n"/>
      <c r="D21" s="366" t="n"/>
      <c r="E21" s="366" t="n"/>
      <c r="F21" s="366" t="n"/>
      <c r="G21" s="367" t="n"/>
      <c r="H21" s="357">
        <f>SUM(H22:H22)</f>
        <v/>
      </c>
      <c r="K21" s="190" t="n"/>
    </row>
    <row r="22" ht="24" customFormat="1" customHeight="1" s="147">
      <c r="A22" s="358" t="n">
        <v>9</v>
      </c>
      <c r="B22" s="329" t="n"/>
      <c r="C22" s="340" t="inlineStr">
        <is>
          <t>Прайс из СД ОП</t>
        </is>
      </c>
      <c r="D22" s="359" t="inlineStr">
        <is>
          <t>Шкаф ЦК</t>
        </is>
      </c>
      <c r="E22" s="340" t="inlineStr">
        <is>
          <t>шт</t>
        </is>
      </c>
      <c r="F22" s="340" t="n">
        <v>1</v>
      </c>
      <c r="G22" s="360" t="n">
        <v>633481</v>
      </c>
      <c r="H22" s="360">
        <f>ROUND(F22*G22,2)</f>
        <v/>
      </c>
      <c r="K22" s="190" t="n"/>
    </row>
    <row r="23">
      <c r="A23" s="357" t="inlineStr">
        <is>
          <t>Материалы</t>
        </is>
      </c>
      <c r="B23" s="366" t="n"/>
      <c r="C23" s="366" t="n"/>
      <c r="D23" s="366" t="n"/>
      <c r="E23" s="367" t="n"/>
      <c r="F23" s="357" t="n"/>
      <c r="G23" s="349" t="n"/>
      <c r="H23" s="349">
        <f>SUM(H24:H34)</f>
        <v/>
      </c>
    </row>
    <row r="24">
      <c r="A24" s="338" t="n">
        <v>10</v>
      </c>
      <c r="B24" s="347" t="n"/>
      <c r="C24" s="340" t="inlineStr">
        <is>
          <t>21.1.08.03-0586</t>
        </is>
      </c>
      <c r="D24" s="341" t="inlineStr">
        <is>
          <t>Кабель контрольный КВВГЭнг(A)-LS 10х1,5</t>
        </is>
      </c>
      <c r="E24" s="340" t="inlineStr">
        <is>
          <t>1000 м</t>
        </is>
      </c>
      <c r="F24" s="340" t="n">
        <v>0.20808</v>
      </c>
      <c r="G24" s="341" t="n">
        <v>50350.83</v>
      </c>
      <c r="H24" s="342">
        <f>ROUND(F24*G24,2)</f>
        <v/>
      </c>
      <c r="J24" s="190" t="n"/>
    </row>
    <row r="25" ht="25.5" customHeight="1">
      <c r="A25" s="338" t="n">
        <v>11</v>
      </c>
      <c r="B25" s="347" t="n"/>
      <c r="C25" s="340" t="inlineStr">
        <is>
          <t>10.3.02.03-0011</t>
        </is>
      </c>
      <c r="D25" s="341" t="inlineStr">
        <is>
          <t>Припои оловянно-свинцовые бессурьмянистые, марка ПОС30</t>
        </is>
      </c>
      <c r="E25" s="340" t="inlineStr">
        <is>
          <t>т</t>
        </is>
      </c>
      <c r="F25" s="340" t="n">
        <v>0.00525</v>
      </c>
      <c r="G25" s="341" t="n">
        <v>68040</v>
      </c>
      <c r="H25" s="342">
        <f>ROUND(F25*G25,2)</f>
        <v/>
      </c>
      <c r="J25" s="190" t="n"/>
    </row>
    <row r="26">
      <c r="A26" s="338" t="n">
        <v>12</v>
      </c>
      <c r="B26" s="347" t="n"/>
      <c r="C26" s="340" t="inlineStr">
        <is>
          <t>01.7.15.14-0165</t>
        </is>
      </c>
      <c r="D26" s="341" t="inlineStr">
        <is>
          <t>Шурупы с полукруглой головкой 4x40 мм</t>
        </is>
      </c>
      <c r="E26" s="340" t="inlineStr">
        <is>
          <t>т</t>
        </is>
      </c>
      <c r="F26" s="340" t="n">
        <v>0.01302</v>
      </c>
      <c r="G26" s="341" t="n">
        <v>12435.48</v>
      </c>
      <c r="H26" s="342">
        <f>ROUND(F26*G26,2)</f>
        <v/>
      </c>
      <c r="J26" s="190" t="n"/>
    </row>
    <row r="27">
      <c r="A27" s="338" t="n">
        <v>13</v>
      </c>
      <c r="B27" s="347" t="n"/>
      <c r="C27" s="340" t="inlineStr">
        <is>
          <t>14.4.03.03-0002</t>
        </is>
      </c>
      <c r="D27" s="341" t="inlineStr">
        <is>
          <t>Лак битумный БТ-123</t>
        </is>
      </c>
      <c r="E27" s="340" t="inlineStr">
        <is>
          <t>т</t>
        </is>
      </c>
      <c r="F27" s="340" t="n">
        <v>0.01512</v>
      </c>
      <c r="G27" s="341" t="n">
        <v>7833.33</v>
      </c>
      <c r="H27" s="342">
        <f>ROUND(F27*G27,2)</f>
        <v/>
      </c>
      <c r="J27" s="190" t="n"/>
    </row>
    <row r="28" ht="25.5" customHeight="1">
      <c r="A28" s="338" t="n">
        <v>14</v>
      </c>
      <c r="B28" s="347" t="n"/>
      <c r="C28" s="340" t="inlineStr">
        <is>
          <t>999-9950</t>
        </is>
      </c>
      <c r="D28" s="341" t="inlineStr">
        <is>
          <t>Вспомогательные ненормируемые материальные ресурсы</t>
        </is>
      </c>
      <c r="E28" s="340" t="inlineStr">
        <is>
          <t>руб</t>
        </is>
      </c>
      <c r="F28" s="340" t="n">
        <v>56.56796</v>
      </c>
      <c r="G28" s="341" t="n">
        <v>1</v>
      </c>
      <c r="H28" s="342">
        <f>ROUND(F28*G28,2)</f>
        <v/>
      </c>
      <c r="J28" s="190" t="n"/>
    </row>
    <row r="29">
      <c r="A29" s="338" t="n">
        <v>15</v>
      </c>
      <c r="B29" s="347" t="n"/>
      <c r="C29" s="340" t="inlineStr">
        <is>
          <t>01.7.06.07-0002</t>
        </is>
      </c>
      <c r="D29" s="341" t="inlineStr">
        <is>
          <t>Лента монтажная, тип ЛМ-5</t>
        </is>
      </c>
      <c r="E29" s="340" t="inlineStr">
        <is>
          <t>10 м</t>
        </is>
      </c>
      <c r="F29" s="340" t="n">
        <v>5.145</v>
      </c>
      <c r="G29" s="341" t="n">
        <v>6.9</v>
      </c>
      <c r="H29" s="342">
        <f>ROUND(F29*G29,2)</f>
        <v/>
      </c>
      <c r="J29" s="190" t="n"/>
    </row>
    <row r="30">
      <c r="A30" s="338" t="n">
        <v>16</v>
      </c>
      <c r="B30" s="347" t="n"/>
      <c r="C30" s="340" t="inlineStr">
        <is>
          <t>01.7.15.03-0042</t>
        </is>
      </c>
      <c r="D30" s="341" t="inlineStr">
        <is>
          <t>Болты с гайками и шайбами строительные</t>
        </is>
      </c>
      <c r="E30" s="340" t="inlineStr">
        <is>
          <t>кг</t>
        </is>
      </c>
      <c r="F30" s="340" t="n">
        <v>0.408</v>
      </c>
      <c r="G30" s="341" t="n">
        <v>9.039999999999999</v>
      </c>
      <c r="H30" s="342">
        <f>ROUND(F30*G30,2)</f>
        <v/>
      </c>
      <c r="J30" s="190" t="n"/>
    </row>
    <row r="31">
      <c r="A31" s="338" t="n">
        <v>17</v>
      </c>
      <c r="B31" s="347" t="n"/>
      <c r="C31" s="340" t="inlineStr">
        <is>
          <t>14.4.02.09-0001</t>
        </is>
      </c>
      <c r="D31" s="341" t="inlineStr">
        <is>
          <t>Краска</t>
        </is>
      </c>
      <c r="E31" s="340" t="inlineStr">
        <is>
          <t>кг</t>
        </is>
      </c>
      <c r="F31" s="340" t="n">
        <v>0.12</v>
      </c>
      <c r="G31" s="341" t="n">
        <v>28.58</v>
      </c>
      <c r="H31" s="342">
        <f>ROUND(F31*G31,2)</f>
        <v/>
      </c>
      <c r="J31" s="190" t="n"/>
    </row>
    <row r="32">
      <c r="A32" s="338" t="n">
        <v>18</v>
      </c>
      <c r="B32" s="347" t="n"/>
      <c r="C32" s="340" t="inlineStr">
        <is>
          <t>20.1.02.23-0082</t>
        </is>
      </c>
      <c r="D32" s="341" t="inlineStr">
        <is>
          <t>Перемычки гибкие, тип ПГС-50</t>
        </is>
      </c>
      <c r="E32" s="340" t="inlineStr">
        <is>
          <t>10 шт</t>
        </is>
      </c>
      <c r="F32" s="340" t="n">
        <v>0.08</v>
      </c>
      <c r="G32" s="341" t="n">
        <v>39</v>
      </c>
      <c r="H32" s="342">
        <f>ROUND(F32*G32,2)</f>
        <v/>
      </c>
      <c r="J32" s="190" t="n"/>
    </row>
    <row r="33">
      <c r="A33" s="338" t="n">
        <v>19</v>
      </c>
      <c r="B33" s="347" t="n"/>
      <c r="C33" s="340" t="inlineStr">
        <is>
          <t>01.7.11.07-0034</t>
        </is>
      </c>
      <c r="D33" s="341" t="inlineStr">
        <is>
          <t>Электроды сварочные Э42А, диаметр 4 мм</t>
        </is>
      </c>
      <c r="E33" s="340" t="inlineStr">
        <is>
          <t>кг</t>
        </is>
      </c>
      <c r="F33" s="340" t="n">
        <v>0.16</v>
      </c>
      <c r="G33" s="341" t="n">
        <v>10.56</v>
      </c>
      <c r="H33" s="342">
        <f>ROUND(F33*G33,2)</f>
        <v/>
      </c>
      <c r="J33" s="190" t="n"/>
    </row>
    <row r="34" ht="25.5" customHeight="1">
      <c r="A34" s="338" t="n">
        <v>20</v>
      </c>
      <c r="B34" s="347" t="n"/>
      <c r="C34" s="340" t="inlineStr">
        <is>
          <t>08.3.07.01-0076</t>
        </is>
      </c>
      <c r="D34" s="341" t="inlineStr">
        <is>
          <t>Прокат полосовой, горячекатаный, марка стали Ст3сп, ширина 50-200 мм, толщина 4-5 мм</t>
        </is>
      </c>
      <c r="E34" s="340" t="inlineStr">
        <is>
          <t>т</t>
        </is>
      </c>
      <c r="F34" s="340" t="n">
        <v>0.00032</v>
      </c>
      <c r="G34" s="341" t="n">
        <v>5000</v>
      </c>
      <c r="H34" s="342">
        <f>ROUND(F34*G34,2)</f>
        <v/>
      </c>
      <c r="J34" s="190" t="n"/>
    </row>
    <row r="36">
      <c r="B36" s="132" t="inlineStr">
        <is>
          <t>Составил ______________________        А.Р. Маркова</t>
        </is>
      </c>
    </row>
    <row r="37">
      <c r="B37" s="133" t="inlineStr">
        <is>
          <t xml:space="preserve">                         (подпись, инициалы, фамилия)</t>
        </is>
      </c>
    </row>
    <row r="39">
      <c r="B39" s="132" t="inlineStr">
        <is>
          <t>Проверил ______________________        А.В. Костянецкая</t>
        </is>
      </c>
    </row>
    <row r="40">
      <c r="B40" s="133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1:G21"/>
    <mergeCell ref="C7:C8"/>
    <mergeCell ref="A7:A8"/>
    <mergeCell ref="B7:B8"/>
    <mergeCell ref="D7:D8"/>
    <mergeCell ref="A23:E23"/>
    <mergeCell ref="E7:E8"/>
    <mergeCell ref="A13:E13"/>
    <mergeCell ref="A5:H5"/>
    <mergeCell ref="F7:F8"/>
  </mergeCells>
  <pageMargins left="0.7086614173228347" right="0.7086614173228347" top="0.7480314960629921" bottom="0.7480314960629921" header="0.3149606299212598" footer="0.3149606299212598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19" workbookViewId="0">
      <selection activeCell="E41" sqref="B10:E41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8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28" t="inlineStr">
        <is>
          <t>Наименование разрабатываемого показателя УНЦ — Шкаф ЦК ПС</t>
        </is>
      </c>
    </row>
    <row r="8">
      <c r="B8" s="229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>
      <c r="B10" s="313" t="inlineStr">
        <is>
          <t>Наименование</t>
        </is>
      </c>
      <c r="C10" s="313" t="inlineStr">
        <is>
          <t>Сметная стоимость в ценах на 01.01.2023
 (руб.)</t>
        </is>
      </c>
      <c r="D10" s="313" t="inlineStr">
        <is>
          <t>Удельный вес, 
(в СМР)</t>
        </is>
      </c>
      <c r="E10" s="313" t="inlineStr">
        <is>
          <t>Удельный вес, % 
(от всего по РМ)</t>
        </is>
      </c>
    </row>
    <row r="11">
      <c r="B11" s="332" t="inlineStr">
        <is>
          <t>Оплата труда рабочих</t>
        </is>
      </c>
      <c r="C11" s="333">
        <f>'Прил.5 Расчет СМР и ОБ'!J15</f>
        <v/>
      </c>
      <c r="D11" s="334">
        <f>C11/$C$24</f>
        <v/>
      </c>
      <c r="E11" s="334">
        <f>C11/$C$40</f>
        <v/>
      </c>
    </row>
    <row r="12">
      <c r="B12" s="332" t="inlineStr">
        <is>
          <t>Эксплуатация машин основных</t>
        </is>
      </c>
      <c r="C12" s="333">
        <f>'Прил.5 Расчет СМР и ОБ'!J23</f>
        <v/>
      </c>
      <c r="D12" s="334">
        <f>C12/$C$24</f>
        <v/>
      </c>
      <c r="E12" s="334">
        <f>C12/$C$40</f>
        <v/>
      </c>
    </row>
    <row r="13">
      <c r="B13" s="332" t="inlineStr">
        <is>
          <t>Эксплуатация машин прочих</t>
        </is>
      </c>
      <c r="C13" s="333">
        <f>'Прил.5 Расчет СМР и ОБ'!J26</f>
        <v/>
      </c>
      <c r="D13" s="334">
        <f>C13/$C$24</f>
        <v/>
      </c>
      <c r="E13" s="334">
        <f>C13/$C$40</f>
        <v/>
      </c>
    </row>
    <row r="14">
      <c r="B14" s="332" t="inlineStr">
        <is>
          <t>ЭКСПЛУАТАЦИЯ МАШИН, ВСЕГО:</t>
        </is>
      </c>
      <c r="C14" s="333">
        <f>C13+C12</f>
        <v/>
      </c>
      <c r="D14" s="334">
        <f>C14/$C$24</f>
        <v/>
      </c>
      <c r="E14" s="334">
        <f>C14/$C$40</f>
        <v/>
      </c>
    </row>
    <row r="15">
      <c r="B15" s="332" t="inlineStr">
        <is>
          <t>в том числе зарплата машинистов</t>
        </is>
      </c>
      <c r="C15" s="333">
        <f>'Прил.5 Расчет СМР и ОБ'!J17</f>
        <v/>
      </c>
      <c r="D15" s="334">
        <f>C15/$C$24</f>
        <v/>
      </c>
      <c r="E15" s="334">
        <f>C15/$C$40</f>
        <v/>
      </c>
    </row>
    <row r="16">
      <c r="B16" s="332" t="inlineStr">
        <is>
          <t>Материалы основные</t>
        </is>
      </c>
      <c r="C16" s="333">
        <f>'Прил.5 Расчет СМР и ОБ'!J38</f>
        <v/>
      </c>
      <c r="D16" s="334">
        <f>C16/$C$24</f>
        <v/>
      </c>
      <c r="E16" s="334">
        <f>C16/$C$40</f>
        <v/>
      </c>
    </row>
    <row r="17">
      <c r="B17" s="332" t="inlineStr">
        <is>
          <t>Материалы прочие</t>
        </is>
      </c>
      <c r="C17" s="333">
        <f>'Прил.5 Расчет СМР и ОБ'!J49</f>
        <v/>
      </c>
      <c r="D17" s="334">
        <f>C17/$C$24</f>
        <v/>
      </c>
      <c r="E17" s="334">
        <f>C17/$C$40</f>
        <v/>
      </c>
      <c r="G17" s="369" t="n"/>
    </row>
    <row r="18">
      <c r="B18" s="332" t="inlineStr">
        <is>
          <t>МАТЕРИАЛЫ, ВСЕГО:</t>
        </is>
      </c>
      <c r="C18" s="333">
        <f>C17+C16</f>
        <v/>
      </c>
      <c r="D18" s="334">
        <f>C18/$C$24</f>
        <v/>
      </c>
      <c r="E18" s="334">
        <f>C18/$C$40</f>
        <v/>
      </c>
    </row>
    <row r="19">
      <c r="B19" s="332" t="inlineStr">
        <is>
          <t>ИТОГО</t>
        </is>
      </c>
      <c r="C19" s="333">
        <f>C18+C14+C11</f>
        <v/>
      </c>
      <c r="D19" s="334" t="n"/>
      <c r="E19" s="332" t="n"/>
    </row>
    <row r="20">
      <c r="B20" s="332" t="inlineStr">
        <is>
          <t>Сметная прибыль, руб.</t>
        </is>
      </c>
      <c r="C20" s="333">
        <f>ROUND(C21*(C11+C15),2)</f>
        <v/>
      </c>
      <c r="D20" s="334">
        <f>C20/$C$24</f>
        <v/>
      </c>
      <c r="E20" s="334">
        <f>C20/$C$40</f>
        <v/>
      </c>
    </row>
    <row r="21">
      <c r="B21" s="332" t="inlineStr">
        <is>
          <t>Сметная прибыль, %</t>
        </is>
      </c>
      <c r="C21" s="335">
        <f>'Прил.5 Расчет СМР и ОБ'!D53</f>
        <v/>
      </c>
      <c r="D21" s="334" t="n"/>
      <c r="E21" s="332" t="n"/>
    </row>
    <row r="22">
      <c r="B22" s="332" t="inlineStr">
        <is>
          <t>Накладные расходы, руб.</t>
        </is>
      </c>
      <c r="C22" s="333">
        <f>ROUND(C23*(C11+C15),2)</f>
        <v/>
      </c>
      <c r="D22" s="334">
        <f>C22/$C$24</f>
        <v/>
      </c>
      <c r="E22" s="334">
        <f>C22/$C$40</f>
        <v/>
      </c>
    </row>
    <row r="23">
      <c r="B23" s="332" t="inlineStr">
        <is>
          <t>Накладные расходы, %</t>
        </is>
      </c>
      <c r="C23" s="335">
        <f>'Прил.5 Расчет СМР и ОБ'!D52</f>
        <v/>
      </c>
      <c r="D23" s="334" t="n"/>
      <c r="E23" s="332" t="n"/>
    </row>
    <row r="24">
      <c r="B24" s="332" t="inlineStr">
        <is>
          <t>ВСЕГО СМР с НР и СП</t>
        </is>
      </c>
      <c r="C24" s="333">
        <f>C19+C20+C22</f>
        <v/>
      </c>
      <c r="D24" s="334">
        <f>C24/$C$24</f>
        <v/>
      </c>
      <c r="E24" s="334">
        <f>C24/$C$40</f>
        <v/>
      </c>
    </row>
    <row r="25" ht="25.5" customHeight="1">
      <c r="B25" s="332" t="inlineStr">
        <is>
          <t>ВСЕГО стоимость оборудования, в том числе</t>
        </is>
      </c>
      <c r="C25" s="333">
        <f>'Прил.5 Расчет СМР и ОБ'!J33</f>
        <v/>
      </c>
      <c r="D25" s="334" t="n"/>
      <c r="E25" s="334">
        <f>C25/$C$40</f>
        <v/>
      </c>
    </row>
    <row r="26" ht="25.5" customHeight="1">
      <c r="B26" s="332" t="inlineStr">
        <is>
          <t>стоимость оборудования технологического</t>
        </is>
      </c>
      <c r="C26" s="333">
        <f>'Прил.5 Расчет СМР и ОБ'!J34</f>
        <v/>
      </c>
      <c r="D26" s="334" t="n"/>
      <c r="E26" s="334">
        <f>C26/$C$40</f>
        <v/>
      </c>
    </row>
    <row r="27">
      <c r="B27" s="332" t="inlineStr">
        <is>
          <t>ИТОГО (СМР + ОБОРУДОВАНИЕ)</t>
        </is>
      </c>
      <c r="C27" s="336">
        <f>C24+C25</f>
        <v/>
      </c>
      <c r="D27" s="334" t="n"/>
      <c r="E27" s="334">
        <f>C27/$C$40</f>
        <v/>
      </c>
    </row>
    <row r="28" ht="33" customHeight="1">
      <c r="B28" s="332" t="inlineStr">
        <is>
          <t>ПРОЧ. ЗАТР., УЧТЕННЫЕ ПОКАЗАТЕЛЕМ,  в том числе</t>
        </is>
      </c>
      <c r="C28" s="332" t="n"/>
      <c r="D28" s="332" t="n"/>
      <c r="E28" s="332" t="n"/>
      <c r="F28" s="160" t="n"/>
    </row>
    <row r="29" ht="25.5" customHeight="1">
      <c r="B29" s="332" t="inlineStr">
        <is>
          <t>Временные здания и сооружения - 3,9%</t>
        </is>
      </c>
      <c r="C29" s="336">
        <f>ROUND(C24*3.9%,2)</f>
        <v/>
      </c>
      <c r="D29" s="332" t="n"/>
      <c r="E29" s="334">
        <f>C29/$C$40</f>
        <v/>
      </c>
    </row>
    <row r="30" ht="38.25" customHeight="1">
      <c r="B30" s="332" t="inlineStr">
        <is>
          <t>Дополнительные затраты при производстве строительно-монтажных работ в зимнее время - 2,1%</t>
        </is>
      </c>
      <c r="C30" s="336">
        <f>ROUND((C24+C29)*2.1%,2)</f>
        <v/>
      </c>
      <c r="D30" s="332" t="n"/>
      <c r="E30" s="334">
        <f>C30/$C$40</f>
        <v/>
      </c>
      <c r="F30" s="160" t="n"/>
    </row>
    <row r="31">
      <c r="B31" s="332" t="inlineStr">
        <is>
          <t>Пусконаладочные работы</t>
        </is>
      </c>
      <c r="C31" s="337" t="n">
        <v>56144.1</v>
      </c>
      <c r="D31" s="332" t="n"/>
      <c r="E31" s="334">
        <f>C31/$C$40</f>
        <v/>
      </c>
    </row>
    <row r="32" ht="25.5" customHeight="1">
      <c r="B32" s="332" t="inlineStr">
        <is>
          <t>Затраты по перевозке работников к месту работы и обратно</t>
        </is>
      </c>
      <c r="C32" s="336" t="n">
        <v>0</v>
      </c>
      <c r="D32" s="332" t="n"/>
      <c r="E32" s="334">
        <f>C32/$C$40</f>
        <v/>
      </c>
    </row>
    <row r="33" ht="25.5" customHeight="1">
      <c r="B33" s="332" t="inlineStr">
        <is>
          <t>Затраты, связанные с осуществлением работ вахтовым методом</t>
        </is>
      </c>
      <c r="C33" s="336" t="n">
        <v>0</v>
      </c>
      <c r="D33" s="332" t="n"/>
      <c r="E33" s="334">
        <f>C33/$C$40</f>
        <v/>
      </c>
    </row>
    <row r="34" ht="51" customHeight="1">
      <c r="B34" s="3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36" t="n">
        <v>0</v>
      </c>
      <c r="D34" s="332" t="n"/>
      <c r="E34" s="334">
        <f>C34/$C$40</f>
        <v/>
      </c>
      <c r="H34" s="163" t="n"/>
    </row>
    <row r="35" ht="76.5" customHeight="1">
      <c r="B35" s="3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36" t="n">
        <v>0</v>
      </c>
      <c r="D35" s="332" t="n"/>
      <c r="E35" s="334">
        <f>C35/$C$40</f>
        <v/>
      </c>
    </row>
    <row r="36" ht="25.5" customHeight="1">
      <c r="B36" s="332" t="inlineStr">
        <is>
          <t>Строительный контроль и содержание службы заказчика - 2,14%</t>
        </is>
      </c>
      <c r="C36" s="336">
        <f>ROUND((C27+C32+C33+C34+C35+C29+C31+C30)*2.14%,2)</f>
        <v/>
      </c>
      <c r="D36" s="332" t="n"/>
      <c r="E36" s="334">
        <f>C36/$C$40</f>
        <v/>
      </c>
      <c r="G36" s="194" t="n"/>
      <c r="L36" s="160" t="n"/>
    </row>
    <row r="37">
      <c r="B37" s="332" t="inlineStr">
        <is>
          <t>Авторский надзор - 0,2%</t>
        </is>
      </c>
      <c r="C37" s="336">
        <f>ROUND((C27+C32+C33+C34+C35+C29+C31+C30)*0.2%,2)</f>
        <v/>
      </c>
      <c r="D37" s="332" t="n"/>
      <c r="E37" s="334">
        <f>C37/$C$40</f>
        <v/>
      </c>
      <c r="G37" s="194" t="n"/>
      <c r="L37" s="160" t="n"/>
    </row>
    <row r="38" ht="38.25" customHeight="1">
      <c r="B38" s="332" t="inlineStr">
        <is>
          <t>ИТОГО (СМР+ОБОРУДОВАНИЕ+ПРОЧ. ЗАТР., УЧТЕННЫЕ ПОКАЗАТЕЛЕМ)</t>
        </is>
      </c>
      <c r="C38" s="333">
        <f>C27+C32+C33+C34+C35+C29+C31+C30+C36+C37</f>
        <v/>
      </c>
      <c r="D38" s="332" t="n"/>
      <c r="E38" s="334">
        <f>C38/$C$40</f>
        <v/>
      </c>
    </row>
    <row r="39" ht="13.5" customHeight="1">
      <c r="B39" s="332" t="inlineStr">
        <is>
          <t>Непредвиденные расходы</t>
        </is>
      </c>
      <c r="C39" s="333">
        <f>ROUND(C38*3%,2)</f>
        <v/>
      </c>
      <c r="D39" s="332" t="n"/>
      <c r="E39" s="334">
        <f>C39/$C$38</f>
        <v/>
      </c>
    </row>
    <row r="40">
      <c r="B40" s="332" t="inlineStr">
        <is>
          <t>ВСЕГО:</t>
        </is>
      </c>
      <c r="C40" s="333">
        <f>C39+C38</f>
        <v/>
      </c>
      <c r="D40" s="332" t="n"/>
      <c r="E40" s="334">
        <f>C40/$C$40</f>
        <v/>
      </c>
    </row>
    <row r="41">
      <c r="B41" s="332" t="inlineStr">
        <is>
          <t>ИТОГО ПОКАЗАТЕЛЬ НА ЕД. ИЗМ.</t>
        </is>
      </c>
      <c r="C41" s="333">
        <f>C40/'Прил.5 Расчет СМР и ОБ'!E56</f>
        <v/>
      </c>
      <c r="D41" s="332" t="n"/>
      <c r="E41" s="332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2"/>
  <sheetViews>
    <sheetView view="pageBreakPreview" zoomScaleSheetLayoutView="100" workbookViewId="0">
      <selection activeCell="C44" sqref="C44"/>
    </sheetView>
  </sheetViews>
  <sheetFormatPr baseColWidth="8" defaultColWidth="9.140625" defaultRowHeight="15" outlineLevelRow="1"/>
  <cols>
    <col width="5.7109375" customWidth="1" style="12" min="1" max="1"/>
    <col width="22.5703125" customWidth="1" style="176" min="2" max="2"/>
    <col width="39.140625" customWidth="1" style="178" min="3" max="3"/>
    <col width="10.7109375" customWidth="1" style="176" min="4" max="4"/>
    <col width="12.7109375" customWidth="1" style="176" min="5" max="5"/>
    <col width="15" customWidth="1" style="179" min="6" max="6"/>
    <col width="14.7109375" customWidth="1" style="179" min="7" max="7"/>
    <col width="12.7109375" customWidth="1" style="179" min="8" max="8"/>
    <col width="13.85546875" customWidth="1" style="179" min="9" max="9"/>
    <col width="17.5703125" customWidth="1" style="179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8" t="inlineStr">
        <is>
          <t>Расчет стоимости СМР и оборудования</t>
        </is>
      </c>
    </row>
    <row r="5" ht="12.75" customFormat="1" customHeight="1" s="4">
      <c r="A5" s="208" t="n"/>
      <c r="B5" s="208" t="n"/>
      <c r="C5" s="177" t="n"/>
      <c r="D5" s="208" t="n"/>
      <c r="E5" s="208" t="n"/>
      <c r="F5" s="208" t="n"/>
      <c r="G5" s="208" t="n"/>
      <c r="H5" s="208" t="n"/>
      <c r="I5" s="208" t="n"/>
      <c r="J5" s="208" t="n"/>
    </row>
    <row r="6" ht="26.45" customFormat="1" customHeight="1" s="4">
      <c r="A6" s="127" t="inlineStr">
        <is>
          <t>Наименование разрабатываемого показателя УНЦ</t>
        </is>
      </c>
      <c r="B6" s="237" t="n"/>
      <c r="C6" s="211" t="n"/>
      <c r="D6" s="237" t="inlineStr">
        <is>
          <t>Шкаф ЦК ПС</t>
        </is>
      </c>
    </row>
    <row r="7" ht="12.75" customFormat="1" customHeight="1" s="4">
      <c r="A7" s="211" t="inlineStr">
        <is>
          <t>Единица измерения  — 1 ед</t>
        </is>
      </c>
      <c r="I7" s="228" t="n"/>
      <c r="J7" s="228" t="n"/>
    </row>
    <row r="8" ht="13.5" customFormat="1" customHeight="1" s="4">
      <c r="A8" s="211" t="n"/>
      <c r="I8" s="158" t="n"/>
      <c r="J8" s="158" t="n"/>
    </row>
    <row r="9" ht="13.15" customFormat="1" customHeight="1" s="4">
      <c r="B9" s="1" t="n"/>
      <c r="C9" s="229" t="n"/>
      <c r="D9" s="1" t="n"/>
      <c r="E9" s="1" t="n"/>
      <c r="F9" s="158" t="n"/>
      <c r="G9" s="158" t="n"/>
      <c r="H9" s="158" t="n"/>
      <c r="I9" s="158" t="n"/>
      <c r="J9" s="158" t="n"/>
    </row>
    <row r="10" ht="27" customHeight="1">
      <c r="A10" s="233" t="inlineStr">
        <is>
          <t>№ пп.</t>
        </is>
      </c>
      <c r="B10" s="233" t="inlineStr">
        <is>
          <t>Код ресурса</t>
        </is>
      </c>
      <c r="C10" s="234" t="inlineStr">
        <is>
          <t>Наименование</t>
        </is>
      </c>
      <c r="D10" s="233" t="inlineStr">
        <is>
          <t>Ед. изм.</t>
        </is>
      </c>
      <c r="E10" s="233" t="inlineStr">
        <is>
          <t>Кол-во единиц по проектным данным</t>
        </is>
      </c>
      <c r="F10" s="233" t="inlineStr">
        <is>
          <t>Сметная стоимость в ценах на 01.01.2000 (руб.)</t>
        </is>
      </c>
      <c r="G10" s="362" t="n"/>
      <c r="H10" s="233" t="inlineStr">
        <is>
          <t>Удельный вес, %</t>
        </is>
      </c>
      <c r="I10" s="233" t="inlineStr">
        <is>
          <t>Сметная стоимость в ценах на 01.01.2023 (руб.)</t>
        </is>
      </c>
      <c r="J10" s="362" t="n"/>
      <c r="M10" s="12" t="n"/>
      <c r="N10" s="12" t="n"/>
    </row>
    <row r="11" ht="28.5" customHeight="1">
      <c r="A11" s="364" t="n"/>
      <c r="B11" s="364" t="n"/>
      <c r="C11" s="364" t="n"/>
      <c r="D11" s="364" t="n"/>
      <c r="E11" s="364" t="n"/>
      <c r="F11" s="233" t="inlineStr">
        <is>
          <t>на ед. изм.</t>
        </is>
      </c>
      <c r="G11" s="233" t="inlineStr">
        <is>
          <t>общая</t>
        </is>
      </c>
      <c r="H11" s="364" t="n"/>
      <c r="I11" s="233" t="inlineStr">
        <is>
          <t>на ед. изм.</t>
        </is>
      </c>
      <c r="J11" s="233" t="inlineStr">
        <is>
          <t>общая</t>
        </is>
      </c>
      <c r="M11" s="12" t="n"/>
      <c r="N11" s="12" t="n"/>
    </row>
    <row r="12">
      <c r="A12" s="233" t="n">
        <v>1</v>
      </c>
      <c r="B12" s="233" t="n">
        <v>2</v>
      </c>
      <c r="C12" s="234" t="n">
        <v>3</v>
      </c>
      <c r="D12" s="233" t="n">
        <v>4</v>
      </c>
      <c r="E12" s="233" t="n">
        <v>5</v>
      </c>
      <c r="F12" s="233" t="n">
        <v>6</v>
      </c>
      <c r="G12" s="233" t="n">
        <v>7</v>
      </c>
      <c r="H12" s="233" t="n">
        <v>8</v>
      </c>
      <c r="I12" s="235" t="n">
        <v>9</v>
      </c>
      <c r="J12" s="235" t="n">
        <v>10</v>
      </c>
      <c r="M12" s="12" t="n"/>
      <c r="N12" s="12" t="n"/>
    </row>
    <row r="13">
      <c r="A13" s="233" t="n"/>
      <c r="B13" s="242" t="inlineStr">
        <is>
          <t>Затраты труда рабочих-строителей</t>
        </is>
      </c>
      <c r="C13" s="361" t="n"/>
      <c r="D13" s="361" t="n"/>
      <c r="E13" s="361" t="n"/>
      <c r="F13" s="361" t="n"/>
      <c r="G13" s="361" t="n"/>
      <c r="H13" s="362" t="n"/>
      <c r="I13" s="180" t="n"/>
      <c r="J13" s="180" t="n"/>
    </row>
    <row r="14" ht="25.5" customHeight="1">
      <c r="A14" s="233" t="n">
        <v>1</v>
      </c>
      <c r="B14" s="126" t="inlineStr">
        <is>
          <t>1-3-8</t>
        </is>
      </c>
      <c r="C14" s="234" t="inlineStr">
        <is>
          <t>Затраты труда рабочих-строителей среднего разряда (3,8)</t>
        </is>
      </c>
      <c r="D14" s="233" t="inlineStr">
        <is>
          <t>чел.-ч.</t>
        </is>
      </c>
      <c r="E14" s="370">
        <f>G14/F14</f>
        <v/>
      </c>
      <c r="F14" s="27" t="n">
        <v>9.4</v>
      </c>
      <c r="G14" s="27">
        <f>'Прил. 3'!H10</f>
        <v/>
      </c>
      <c r="H14" s="119">
        <f>G14/G15</f>
        <v/>
      </c>
      <c r="I14" s="27">
        <f>ФОТр.тек.!E13</f>
        <v/>
      </c>
      <c r="J14" s="27">
        <f>ROUND(I14*E14,2)</f>
        <v/>
      </c>
    </row>
    <row r="15" ht="25.5" customFormat="1" customHeight="1" s="12">
      <c r="A15" s="233" t="n"/>
      <c r="B15" s="233" t="n"/>
      <c r="C15" s="242" t="inlineStr">
        <is>
          <t>Итого по разделу "Затраты труда рабочих-строителей"</t>
        </is>
      </c>
      <c r="D15" s="233" t="inlineStr">
        <is>
          <t>чел.-ч.</t>
        </is>
      </c>
      <c r="E15" s="370">
        <f>SUM(E14:E14)</f>
        <v/>
      </c>
      <c r="F15" s="27" t="n"/>
      <c r="G15" s="27">
        <f>SUM(G14:G14)</f>
        <v/>
      </c>
      <c r="H15" s="245" t="n">
        <v>1</v>
      </c>
      <c r="I15" s="180" t="n"/>
      <c r="J15" s="27">
        <f>SUM(J14:J14)</f>
        <v/>
      </c>
    </row>
    <row r="16" ht="14.25" customFormat="1" customHeight="1" s="12">
      <c r="A16" s="233" t="n"/>
      <c r="B16" s="234" t="inlineStr">
        <is>
          <t>Затраты труда машинистов</t>
        </is>
      </c>
      <c r="C16" s="361" t="n"/>
      <c r="D16" s="361" t="n"/>
      <c r="E16" s="361" t="n"/>
      <c r="F16" s="361" t="n"/>
      <c r="G16" s="361" t="n"/>
      <c r="H16" s="362" t="n"/>
      <c r="I16" s="180" t="n"/>
      <c r="J16" s="180" t="n"/>
    </row>
    <row r="17" ht="14.25" customFormat="1" customHeight="1" s="12">
      <c r="A17" s="233" t="n">
        <v>2</v>
      </c>
      <c r="B17" s="233" t="n">
        <v>2</v>
      </c>
      <c r="C17" s="234" t="inlineStr">
        <is>
          <t>Затраты труда машинистов</t>
        </is>
      </c>
      <c r="D17" s="233" t="inlineStr">
        <is>
          <t>чел.-ч.</t>
        </is>
      </c>
      <c r="E17" s="370" t="n">
        <v>9.869999999999999</v>
      </c>
      <c r="F17" s="27">
        <f>G17/E17</f>
        <v/>
      </c>
      <c r="G17" s="27">
        <f>'Прил. 3'!H13</f>
        <v/>
      </c>
      <c r="H17" s="245" t="n">
        <v>1</v>
      </c>
      <c r="I17" s="27">
        <f>ROUND(F17*'Прил. 10'!D11,2)</f>
        <v/>
      </c>
      <c r="J17" s="27">
        <f>ROUND(I17*E17,2)</f>
        <v/>
      </c>
    </row>
    <row r="18" ht="14.25" customFormat="1" customHeight="1" s="12">
      <c r="A18" s="233" t="n"/>
      <c r="B18" s="242" t="inlineStr">
        <is>
          <t>Машины и механизмы</t>
        </is>
      </c>
      <c r="C18" s="361" t="n"/>
      <c r="D18" s="361" t="n"/>
      <c r="E18" s="361" t="n"/>
      <c r="F18" s="361" t="n"/>
      <c r="G18" s="361" t="n"/>
      <c r="H18" s="362" t="n"/>
      <c r="I18" s="180" t="n"/>
      <c r="J18" s="180" t="n"/>
    </row>
    <row r="19" ht="14.25" customFormat="1" customHeight="1" s="12">
      <c r="A19" s="233" t="n"/>
      <c r="B19" s="238" t="inlineStr">
        <is>
          <t>Основные машины и механизмы</t>
        </is>
      </c>
      <c r="C19" s="371" t="n"/>
      <c r="D19" s="371" t="n"/>
      <c r="E19" s="371" t="n"/>
      <c r="F19" s="371" t="n"/>
      <c r="G19" s="371" t="n"/>
      <c r="H19" s="372" t="n"/>
      <c r="I19" s="181" t="n"/>
      <c r="J19" s="181" t="n"/>
    </row>
    <row r="20" ht="25.5" customFormat="1" customHeight="1" s="12">
      <c r="A20" s="231" t="n">
        <v>3</v>
      </c>
      <c r="B20" s="172" t="inlineStr">
        <is>
          <t>91.05.05-015</t>
        </is>
      </c>
      <c r="C20" s="173" t="inlineStr">
        <is>
          <t>Краны на автомобильном ходу, грузоподъемность 16 т</t>
        </is>
      </c>
      <c r="D20" s="172" t="inlineStr">
        <is>
          <t>маш.-ч.</t>
        </is>
      </c>
      <c r="E20" s="373" t="n">
        <v>4.936</v>
      </c>
      <c r="F20" s="173" t="n">
        <v>115.4</v>
      </c>
      <c r="G20" s="244">
        <f>ROUND(E20*F20,2)</f>
        <v/>
      </c>
      <c r="H20" s="119">
        <f>G20/$G$27</f>
        <v/>
      </c>
      <c r="I20" s="174">
        <f>ROUND(F20*'Прил. 10'!$D$12,2)</f>
        <v/>
      </c>
      <c r="J20" s="174">
        <f>ROUND(I20*E20,2)</f>
        <v/>
      </c>
    </row>
    <row r="21" ht="25.5" customFormat="1" customHeight="1" s="12">
      <c r="A21" s="231" t="n">
        <v>4</v>
      </c>
      <c r="B21" s="172" t="inlineStr">
        <is>
          <t>91.14.02-001</t>
        </is>
      </c>
      <c r="C21" s="173" t="inlineStr">
        <is>
          <t>Автомобили бортовые, грузоподъемность до 5 т</t>
        </is>
      </c>
      <c r="D21" s="172" t="inlineStr">
        <is>
          <t>маш.-ч.</t>
        </is>
      </c>
      <c r="E21" s="373" t="n">
        <v>4.936</v>
      </c>
      <c r="F21" s="173" t="n">
        <v>65.7</v>
      </c>
      <c r="G21" s="244">
        <f>ROUND(E21*F21,2)</f>
        <v/>
      </c>
      <c r="H21" s="119">
        <f>G21/$G$27</f>
        <v/>
      </c>
      <c r="I21" s="174">
        <f>ROUND(F21*'Прил. 10'!$D$12,2)</f>
        <v/>
      </c>
      <c r="J21" s="174">
        <f>ROUND(I21*E21,2)</f>
        <v/>
      </c>
      <c r="L21" s="24" t="n"/>
    </row>
    <row r="22" ht="25.5" customFormat="1" customHeight="1" s="12">
      <c r="A22" s="231" t="n">
        <v>5</v>
      </c>
      <c r="B22" s="172" t="inlineStr">
        <is>
          <t>91.06.03-061</t>
        </is>
      </c>
      <c r="C22" s="173" t="inlineStr">
        <is>
          <t>Лебедки электрические тяговым усилием до 12,26 кН (1,25 т)</t>
        </is>
      </c>
      <c r="D22" s="172" t="inlineStr">
        <is>
          <t>маш.-ч.</t>
        </is>
      </c>
      <c r="E22" s="373" t="n">
        <v>70.14</v>
      </c>
      <c r="F22" s="173" t="n">
        <v>3.28</v>
      </c>
      <c r="G22" s="244">
        <f>ROUND(E22*F22,2)</f>
        <v/>
      </c>
      <c r="H22" s="119">
        <f>G22/$G$27</f>
        <v/>
      </c>
      <c r="I22" s="174">
        <f>ROUND(F22*'Прил. 10'!$D$12,2)</f>
        <v/>
      </c>
      <c r="J22" s="174">
        <f>ROUND(I22*E22,2)</f>
        <v/>
      </c>
    </row>
    <row r="23" ht="14.25" customFormat="1" customHeight="1" s="12">
      <c r="A23" s="236" t="n"/>
      <c r="B23" s="236" t="n"/>
      <c r="C23" s="130" t="inlineStr">
        <is>
          <t>Итого основные машины и механизмы</t>
        </is>
      </c>
      <c r="D23" s="236" t="n"/>
      <c r="E23" s="374" t="n"/>
      <c r="F23" s="122" t="n"/>
      <c r="G23" s="122">
        <f>G20+G21+G22</f>
        <v/>
      </c>
      <c r="H23" s="120">
        <f>G23/G27</f>
        <v/>
      </c>
      <c r="I23" s="121" t="n"/>
      <c r="J23" s="122">
        <f>J20+J21+J22</f>
        <v/>
      </c>
    </row>
    <row r="24" outlineLevel="1" ht="25.5" customFormat="1" customHeight="1" s="12">
      <c r="A24" s="233" t="n">
        <v>6</v>
      </c>
      <c r="B24" s="172" t="inlineStr">
        <is>
          <t>91.06.01-003</t>
        </is>
      </c>
      <c r="C24" s="173" t="inlineStr">
        <is>
          <t>Домкраты гидравлические, грузоподъемность 63-100 т</t>
        </is>
      </c>
      <c r="D24" s="172" t="inlineStr">
        <is>
          <t>маш.-ч.</t>
        </is>
      </c>
      <c r="E24" s="373" t="n">
        <v>70.14</v>
      </c>
      <c r="F24" s="173" t="n">
        <v>0.9</v>
      </c>
      <c r="G24" s="27">
        <f>ROUND(E24*F24,2)</f>
        <v/>
      </c>
      <c r="H24" s="119">
        <f>G24/$G$27</f>
        <v/>
      </c>
      <c r="I24" s="27">
        <f>ROUND(F24*'Прил. 10'!$D$12,2)</f>
        <v/>
      </c>
      <c r="J24" s="27">
        <f>ROUND(I24*E24,2)</f>
        <v/>
      </c>
    </row>
    <row r="25" outlineLevel="1" ht="25.5" customFormat="1" customHeight="1" s="12">
      <c r="A25" s="233" t="n">
        <v>7</v>
      </c>
      <c r="B25" s="172" t="inlineStr">
        <is>
          <t>91.17.04-233</t>
        </is>
      </c>
      <c r="C25" s="173" t="inlineStr">
        <is>
          <t>Установки для сварки ручной дуговой (постоянного тока)</t>
        </is>
      </c>
      <c r="D25" s="172" t="inlineStr">
        <is>
          <t>маш.-ч.</t>
        </is>
      </c>
      <c r="E25" s="373" t="n">
        <v>1.856</v>
      </c>
      <c r="F25" s="173" t="n">
        <v>8.1</v>
      </c>
      <c r="G25" s="27">
        <f>ROUND(E25*F25,2)</f>
        <v/>
      </c>
      <c r="H25" s="119">
        <f>G25/$G$27</f>
        <v/>
      </c>
      <c r="I25" s="27">
        <f>ROUND(F25*'Прил. 10'!$D$12,2)</f>
        <v/>
      </c>
      <c r="J25" s="27">
        <f>ROUND(I25*E25,2)</f>
        <v/>
      </c>
    </row>
    <row r="26" ht="14.25" customFormat="1" customHeight="1" s="12">
      <c r="A26" s="233" t="n"/>
      <c r="B26" s="233" t="n"/>
      <c r="C26" s="234" t="inlineStr">
        <is>
          <t>Итого прочие машины и механизмы</t>
        </is>
      </c>
      <c r="D26" s="233" t="n"/>
      <c r="E26" s="243" t="n"/>
      <c r="F26" s="27" t="n"/>
      <c r="G26" s="121">
        <f>SUM(G24:G25)</f>
        <v/>
      </c>
      <c r="H26" s="175">
        <f>G26/G27</f>
        <v/>
      </c>
      <c r="I26" s="122" t="n"/>
      <c r="J26" s="122">
        <f>SUM(J24:J25)</f>
        <v/>
      </c>
    </row>
    <row r="27" ht="25.5" customFormat="1" customHeight="1" s="12">
      <c r="A27" s="233" t="n"/>
      <c r="B27" s="233" t="n"/>
      <c r="C27" s="242" t="inlineStr">
        <is>
          <t>Итого по разделу «Машины и механизмы»</t>
        </is>
      </c>
      <c r="D27" s="233" t="n"/>
      <c r="E27" s="243" t="n"/>
      <c r="F27" s="27" t="n"/>
      <c r="G27" s="27">
        <f>G23+G26</f>
        <v/>
      </c>
      <c r="H27" s="120" t="n">
        <v>1</v>
      </c>
      <c r="I27" s="121" t="n"/>
      <c r="J27" s="122">
        <f>J26+J23</f>
        <v/>
      </c>
    </row>
    <row r="28" ht="14.25" customFormat="1" customHeight="1" s="12">
      <c r="A28" s="233" t="n"/>
      <c r="B28" s="242" t="inlineStr">
        <is>
          <t>Оборудование</t>
        </is>
      </c>
      <c r="C28" s="361" t="n"/>
      <c r="D28" s="361" t="n"/>
      <c r="E28" s="361" t="n"/>
      <c r="F28" s="361" t="n"/>
      <c r="G28" s="361" t="n"/>
      <c r="H28" s="362" t="n"/>
      <c r="I28" s="180" t="n"/>
      <c r="J28" s="180" t="n"/>
    </row>
    <row r="29">
      <c r="A29" s="233" t="n"/>
      <c r="B29" s="234" t="inlineStr">
        <is>
          <t>Основное оборудование</t>
        </is>
      </c>
      <c r="C29" s="361" t="n"/>
      <c r="D29" s="361" t="n"/>
      <c r="E29" s="361" t="n"/>
      <c r="F29" s="361" t="n"/>
      <c r="G29" s="361" t="n"/>
      <c r="H29" s="362" t="n"/>
      <c r="I29" s="181" t="n"/>
      <c r="J29" s="181" t="n"/>
    </row>
    <row r="30">
      <c r="A30" s="233" t="n">
        <v>8</v>
      </c>
      <c r="B30" s="172" t="inlineStr">
        <is>
          <t>БЦ.54.12</t>
        </is>
      </c>
      <c r="C30" s="197" t="inlineStr">
        <is>
          <t>Шкаф ЦК</t>
        </is>
      </c>
      <c r="D30" s="170" t="inlineStr">
        <is>
          <t>шт</t>
        </is>
      </c>
      <c r="E30" s="375" t="n">
        <v>1</v>
      </c>
      <c r="F30" s="244">
        <f>ROUND(I30/'Прил. 10'!$D$14,2)</f>
        <v/>
      </c>
      <c r="G30" s="192">
        <f>ROUND(E30*F30,2)</f>
        <v/>
      </c>
      <c r="H30" s="119">
        <f>G30/$G$33</f>
        <v/>
      </c>
      <c r="I30" s="207" t="n">
        <v>1705000</v>
      </c>
      <c r="J30" s="122">
        <f>ROUND(I30*E30,2)</f>
        <v/>
      </c>
    </row>
    <row r="31">
      <c r="A31" s="233" t="n"/>
      <c r="B31" s="233" t="n"/>
      <c r="C31" s="234" t="inlineStr">
        <is>
          <t>Итого основное оборудование</t>
        </is>
      </c>
      <c r="D31" s="233" t="n"/>
      <c r="E31" s="370" t="n"/>
      <c r="F31" s="244" t="n"/>
      <c r="G31" s="27">
        <f>G30</f>
        <v/>
      </c>
      <c r="H31" s="120" t="n">
        <v>0</v>
      </c>
      <c r="I31" s="121" t="n"/>
      <c r="J31" s="122">
        <f>J30</f>
        <v/>
      </c>
    </row>
    <row r="32">
      <c r="A32" s="233" t="n"/>
      <c r="B32" s="233" t="n"/>
      <c r="C32" s="234" t="inlineStr">
        <is>
          <t>Итого прочее оборудование</t>
        </is>
      </c>
      <c r="D32" s="233" t="n"/>
      <c r="E32" s="370" t="n"/>
      <c r="F32" s="244" t="n"/>
      <c r="G32" s="27" t="n">
        <v>0</v>
      </c>
      <c r="H32" s="245" t="n">
        <v>0</v>
      </c>
      <c r="I32" s="123" t="n"/>
      <c r="J32" s="27" t="n">
        <v>0</v>
      </c>
    </row>
    <row r="33">
      <c r="A33" s="233" t="n"/>
      <c r="B33" s="233" t="n"/>
      <c r="C33" s="242" t="inlineStr">
        <is>
          <t>Итого по разделу «Оборудование»</t>
        </is>
      </c>
      <c r="D33" s="233" t="n"/>
      <c r="E33" s="243" t="n"/>
      <c r="F33" s="244" t="n"/>
      <c r="G33" s="27">
        <f>G31+G32</f>
        <v/>
      </c>
      <c r="H33" s="245" t="n">
        <v>0</v>
      </c>
      <c r="I33" s="123" t="n"/>
      <c r="J33" s="27">
        <f>J32+J31</f>
        <v/>
      </c>
    </row>
    <row r="34" ht="25.5" customHeight="1">
      <c r="A34" s="233" t="n"/>
      <c r="B34" s="233" t="n"/>
      <c r="C34" s="234" t="inlineStr">
        <is>
          <t>в том числе технологическое оборудование</t>
        </is>
      </c>
      <c r="D34" s="233" t="n"/>
      <c r="E34" s="375" t="n"/>
      <c r="F34" s="244" t="n"/>
      <c r="G34" s="27">
        <f>'Прил.6 Расчет ОБ'!G12</f>
        <v/>
      </c>
      <c r="H34" s="245" t="n"/>
      <c r="I34" s="123" t="n"/>
      <c r="J34" s="27">
        <f>ROUND(G34*'Прил. 10'!D14,2)</f>
        <v/>
      </c>
    </row>
    <row r="35" ht="14.25" customFormat="1" customHeight="1" s="12">
      <c r="A35" s="235" t="n"/>
      <c r="B35" s="306" t="inlineStr">
        <is>
          <t>Материалы</t>
        </is>
      </c>
      <c r="C35" s="371" t="n"/>
      <c r="D35" s="371" t="n"/>
      <c r="E35" s="371" t="n"/>
      <c r="F35" s="371" t="n"/>
      <c r="G35" s="371" t="n"/>
      <c r="H35" s="372" t="n"/>
      <c r="I35" s="181" t="n"/>
      <c r="J35" s="181" t="n"/>
    </row>
    <row r="36" ht="14.25" customFormat="1" customHeight="1" s="12">
      <c r="A36" s="313" t="n"/>
      <c r="B36" s="325" t="inlineStr">
        <is>
          <t>Основные материалы</t>
        </is>
      </c>
      <c r="C36" s="366" t="n"/>
      <c r="D36" s="366" t="n"/>
      <c r="E36" s="366" t="n"/>
      <c r="F36" s="366" t="n"/>
      <c r="G36" s="366" t="n"/>
      <c r="H36" s="367" t="n"/>
      <c r="I36" s="317" t="n"/>
      <c r="J36" s="317" t="n"/>
    </row>
    <row r="37" ht="25.5" customFormat="1" customHeight="1" s="12">
      <c r="A37" s="313" t="n">
        <v>9</v>
      </c>
      <c r="B37" s="318" t="inlineStr">
        <is>
          <t>21.1.08.03-0586</t>
        </is>
      </c>
      <c r="C37" s="319" t="inlineStr">
        <is>
          <t>Кабель контрольный КВВГЭнг(A)-LS 10х1,5</t>
        </is>
      </c>
      <c r="D37" s="318" t="inlineStr">
        <is>
          <t>1000 м</t>
        </is>
      </c>
      <c r="E37" s="376" t="n">
        <v>0.20808</v>
      </c>
      <c r="F37" s="319" t="n">
        <v>50350.83</v>
      </c>
      <c r="G37" s="321">
        <f>ROUND(E37*F37,2)</f>
        <v/>
      </c>
      <c r="H37" s="322">
        <f>G37/$G$50</f>
        <v/>
      </c>
      <c r="I37" s="323">
        <f>284.68*'Прил. 10'!$D$13</f>
        <v/>
      </c>
      <c r="J37" s="323">
        <f>ROUND(I37*E37,2)</f>
        <v/>
      </c>
    </row>
    <row r="38" ht="14.25" customFormat="1" customHeight="1" s="12">
      <c r="A38" s="313" t="n"/>
      <c r="B38" s="324" t="n"/>
      <c r="C38" s="325" t="inlineStr">
        <is>
          <t>Итого основные материалы</t>
        </is>
      </c>
      <c r="D38" s="313" t="n"/>
      <c r="E38" s="377" t="n"/>
      <c r="F38" s="323" t="n"/>
      <c r="G38" s="323">
        <f>SUM(G37:G37)</f>
        <v/>
      </c>
      <c r="H38" s="322">
        <f>G38/$G$50</f>
        <v/>
      </c>
      <c r="I38" s="323" t="n"/>
      <c r="J38" s="323">
        <f>SUM(J37:J37)</f>
        <v/>
      </c>
    </row>
    <row r="39" outlineLevel="1" ht="25.5" customFormat="1" customHeight="1" s="12">
      <c r="A39" s="313" t="n">
        <v>10</v>
      </c>
      <c r="B39" s="318" t="inlineStr">
        <is>
          <t>10.3.02.03-0011</t>
        </is>
      </c>
      <c r="C39" s="319" t="inlineStr">
        <is>
          <t>Припои оловянно-свинцовые бессурьмянистые, марка ПОС30</t>
        </is>
      </c>
      <c r="D39" s="318" t="inlineStr">
        <is>
          <t>т</t>
        </is>
      </c>
      <c r="E39" s="376" t="n">
        <v>0.00525</v>
      </c>
      <c r="F39" s="319" t="n">
        <v>68040</v>
      </c>
      <c r="G39" s="321">
        <f>ROUND(E39*F39,2)</f>
        <v/>
      </c>
      <c r="H39" s="322">
        <f>G39/$G$50</f>
        <v/>
      </c>
      <c r="I39" s="323">
        <f>ROUND(F39*'Прил. 10'!$D$13,2)</f>
        <v/>
      </c>
      <c r="J39" s="323">
        <f>ROUND(I39*E39,2)</f>
        <v/>
      </c>
    </row>
    <row r="40" outlineLevel="1" ht="14.25" customFormat="1" customHeight="1" s="12">
      <c r="A40" s="313" t="n">
        <v>11</v>
      </c>
      <c r="B40" s="318" t="inlineStr">
        <is>
          <t>01.7.15.14-0165</t>
        </is>
      </c>
      <c r="C40" s="319" t="inlineStr">
        <is>
          <t>Шурупы с полукруглой головкой 4x40 мм</t>
        </is>
      </c>
      <c r="D40" s="318" t="inlineStr">
        <is>
          <t>т</t>
        </is>
      </c>
      <c r="E40" s="376" t="n">
        <v>0.01302</v>
      </c>
      <c r="F40" s="319" t="n">
        <v>12435.48</v>
      </c>
      <c r="G40" s="321">
        <f>ROUND(E40*F40,2)</f>
        <v/>
      </c>
      <c r="H40" s="322">
        <f>G40/$G$50</f>
        <v/>
      </c>
      <c r="I40" s="323">
        <f>ROUND(F40*'Прил. 10'!$D$13,2)</f>
        <v/>
      </c>
      <c r="J40" s="323">
        <f>ROUND(I40*E40,2)</f>
        <v/>
      </c>
    </row>
    <row r="41" outlineLevel="1" ht="14.25" customFormat="1" customHeight="1" s="12">
      <c r="A41" s="313" t="n">
        <v>12</v>
      </c>
      <c r="B41" s="318" t="inlineStr">
        <is>
          <t>14.4.03.03-0002</t>
        </is>
      </c>
      <c r="C41" s="319" t="inlineStr">
        <is>
          <t>Лак битумный БТ-123</t>
        </is>
      </c>
      <c r="D41" s="318" t="inlineStr">
        <is>
          <t>т</t>
        </is>
      </c>
      <c r="E41" s="376" t="n">
        <v>0.01512</v>
      </c>
      <c r="F41" s="319" t="n">
        <v>7833.33</v>
      </c>
      <c r="G41" s="321">
        <f>ROUND(E41*F41,2)</f>
        <v/>
      </c>
      <c r="H41" s="322">
        <f>G41/$G$50</f>
        <v/>
      </c>
      <c r="I41" s="323">
        <f>ROUND(F41*'Прил. 10'!$D$13,2)</f>
        <v/>
      </c>
      <c r="J41" s="323">
        <f>ROUND(I41*E41,2)</f>
        <v/>
      </c>
    </row>
    <row r="42" outlineLevel="1" ht="25.5" customFormat="1" customHeight="1" s="12">
      <c r="A42" s="313" t="n">
        <v>13</v>
      </c>
      <c r="B42" s="318" t="inlineStr">
        <is>
          <t>999-9950</t>
        </is>
      </c>
      <c r="C42" s="319" t="inlineStr">
        <is>
          <t>Вспомогательные ненормируемые материальные ресурсы</t>
        </is>
      </c>
      <c r="D42" s="318" t="inlineStr">
        <is>
          <t>руб</t>
        </is>
      </c>
      <c r="E42" s="376" t="n">
        <v>56.56796</v>
      </c>
      <c r="F42" s="319" t="n">
        <v>1</v>
      </c>
      <c r="G42" s="321">
        <f>ROUND(E42*F42,2)</f>
        <v/>
      </c>
      <c r="H42" s="322">
        <f>G42/$G$50</f>
        <v/>
      </c>
      <c r="I42" s="323">
        <f>ROUND(F42*'Прил. 10'!$D$13,2)</f>
        <v/>
      </c>
      <c r="J42" s="323">
        <f>ROUND(I42*E42,2)</f>
        <v/>
      </c>
    </row>
    <row r="43" outlineLevel="1" ht="14.25" customFormat="1" customHeight="1" s="12">
      <c r="A43" s="313" t="n">
        <v>14</v>
      </c>
      <c r="B43" s="318" t="inlineStr">
        <is>
          <t>01.7.06.07-0002</t>
        </is>
      </c>
      <c r="C43" s="319" t="inlineStr">
        <is>
          <t>Лента монтажная, тип ЛМ-5</t>
        </is>
      </c>
      <c r="D43" s="318" t="inlineStr">
        <is>
          <t>10 м</t>
        </is>
      </c>
      <c r="E43" s="376" t="n">
        <v>5.145</v>
      </c>
      <c r="F43" s="319" t="n">
        <v>6.9</v>
      </c>
      <c r="G43" s="321">
        <f>ROUND(E43*F43,2)</f>
        <v/>
      </c>
      <c r="H43" s="322">
        <f>G43/$G$50</f>
        <v/>
      </c>
      <c r="I43" s="323">
        <f>ROUND(F43*'Прил. 10'!$D$13,2)</f>
        <v/>
      </c>
      <c r="J43" s="323">
        <f>ROUND(I43*E43,2)</f>
        <v/>
      </c>
    </row>
    <row r="44" outlineLevel="1" ht="14.25" customFormat="1" customHeight="1" s="12">
      <c r="A44" s="313" t="n">
        <v>15</v>
      </c>
      <c r="B44" s="318" t="inlineStr">
        <is>
          <t>01.7.15.03-0042</t>
        </is>
      </c>
      <c r="C44" s="319" t="inlineStr">
        <is>
          <t>Болты с гайками и шайбами строительные</t>
        </is>
      </c>
      <c r="D44" s="318" t="inlineStr">
        <is>
          <t>кг</t>
        </is>
      </c>
      <c r="E44" s="376" t="n">
        <v>0.408</v>
      </c>
      <c r="F44" s="319" t="n">
        <v>9.039999999999999</v>
      </c>
      <c r="G44" s="321">
        <f>ROUND(E44*F44,2)</f>
        <v/>
      </c>
      <c r="H44" s="322">
        <f>G44/$G$50</f>
        <v/>
      </c>
      <c r="I44" s="323">
        <f>ROUND(F44*'Прил. 10'!$D$13,2)</f>
        <v/>
      </c>
      <c r="J44" s="323">
        <f>ROUND(I44*E44,2)</f>
        <v/>
      </c>
    </row>
    <row r="45" outlineLevel="1" ht="14.25" customFormat="1" customHeight="1" s="12">
      <c r="A45" s="313" t="n">
        <v>16</v>
      </c>
      <c r="B45" s="318" t="inlineStr">
        <is>
          <t>14.4.02.09-0001</t>
        </is>
      </c>
      <c r="C45" s="319" t="inlineStr">
        <is>
          <t>Краска</t>
        </is>
      </c>
      <c r="D45" s="318" t="inlineStr">
        <is>
          <t>кг</t>
        </is>
      </c>
      <c r="E45" s="376" t="n">
        <v>0.12</v>
      </c>
      <c r="F45" s="319" t="n">
        <v>28.58</v>
      </c>
      <c r="G45" s="321">
        <f>ROUND(E45*F45,2)</f>
        <v/>
      </c>
      <c r="H45" s="322">
        <f>G45/$G$50</f>
        <v/>
      </c>
      <c r="I45" s="323">
        <f>ROUND(F45*'Прил. 10'!$D$13,2)</f>
        <v/>
      </c>
      <c r="J45" s="323">
        <f>ROUND(I45*E45,2)</f>
        <v/>
      </c>
    </row>
    <row r="46" outlineLevel="1" ht="14.25" customFormat="1" customHeight="1" s="12">
      <c r="A46" s="313" t="n">
        <v>17</v>
      </c>
      <c r="B46" s="318" t="inlineStr">
        <is>
          <t>20.1.02.23-0082</t>
        </is>
      </c>
      <c r="C46" s="319" t="inlineStr">
        <is>
          <t>Перемычки гибкие, тип ПГС-50</t>
        </is>
      </c>
      <c r="D46" s="318" t="inlineStr">
        <is>
          <t>10 шт</t>
        </is>
      </c>
      <c r="E46" s="376" t="n">
        <v>0.08</v>
      </c>
      <c r="F46" s="319" t="n">
        <v>39</v>
      </c>
      <c r="G46" s="321">
        <f>ROUND(E46*F46,2)</f>
        <v/>
      </c>
      <c r="H46" s="322">
        <f>G46/$G$50</f>
        <v/>
      </c>
      <c r="I46" s="323">
        <f>ROUND(F46*'Прил. 10'!$D$13,2)</f>
        <v/>
      </c>
      <c r="J46" s="323">
        <f>ROUND(I46*E46,2)</f>
        <v/>
      </c>
    </row>
    <row r="47" outlineLevel="1" ht="25.5" customFormat="1" customHeight="1" s="12">
      <c r="A47" s="313" t="n">
        <v>18</v>
      </c>
      <c r="B47" s="318" t="inlineStr">
        <is>
          <t>01.7.11.07-0034</t>
        </is>
      </c>
      <c r="C47" s="319" t="inlineStr">
        <is>
          <t>Электроды сварочные Э42А, диаметр 4 мм</t>
        </is>
      </c>
      <c r="D47" s="318" t="inlineStr">
        <is>
          <t>кг</t>
        </is>
      </c>
      <c r="E47" s="376" t="n">
        <v>0.16</v>
      </c>
      <c r="F47" s="319" t="n">
        <v>10.56</v>
      </c>
      <c r="G47" s="321">
        <f>ROUND(E47*F47,2)</f>
        <v/>
      </c>
      <c r="H47" s="322">
        <f>G47/$G$50</f>
        <v/>
      </c>
      <c r="I47" s="323">
        <f>ROUND(F47*'Прил. 10'!$D$13,2)</f>
        <v/>
      </c>
      <c r="J47" s="323">
        <f>ROUND(I47*E47,2)</f>
        <v/>
      </c>
    </row>
    <row r="48" outlineLevel="1" ht="38.25" customFormat="1" customHeight="1" s="12">
      <c r="A48" s="313" t="n">
        <v>19</v>
      </c>
      <c r="B48" s="318" t="inlineStr">
        <is>
          <t>08.3.07.01-0076</t>
        </is>
      </c>
      <c r="C48" s="319" t="inlineStr">
        <is>
          <t>Прокат полосовой, горячекатаный, марка стали Ст3сп, ширина 50-200 мм, толщина 4-5 мм</t>
        </is>
      </c>
      <c r="D48" s="318" t="inlineStr">
        <is>
          <t>т</t>
        </is>
      </c>
      <c r="E48" s="376" t="n">
        <v>0.00032</v>
      </c>
      <c r="F48" s="319" t="n">
        <v>5000</v>
      </c>
      <c r="G48" s="321">
        <f>ROUND(E48*F48,2)</f>
        <v/>
      </c>
      <c r="H48" s="322">
        <f>G48/$G$50</f>
        <v/>
      </c>
      <c r="I48" s="323">
        <f>ROUND(F48*'Прил. 10'!$D$13,2)</f>
        <v/>
      </c>
      <c r="J48" s="323">
        <f>ROUND(I48*E48,2)</f>
        <v/>
      </c>
    </row>
    <row r="49" ht="14.25" customFormat="1" customHeight="1" s="12">
      <c r="A49" s="313" t="n"/>
      <c r="B49" s="313" t="n"/>
      <c r="C49" s="325" t="inlineStr">
        <is>
          <t>Итого прочие материалы</t>
        </is>
      </c>
      <c r="D49" s="313" t="n"/>
      <c r="E49" s="327" t="n"/>
      <c r="F49" s="328" t="n"/>
      <c r="G49" s="323">
        <f>SUM(G39:G48)</f>
        <v/>
      </c>
      <c r="H49" s="322">
        <f>G49/$G$50</f>
        <v/>
      </c>
      <c r="I49" s="323" t="n"/>
      <c r="J49" s="323">
        <f>SUM(J39:J48)</f>
        <v/>
      </c>
    </row>
    <row r="50" ht="14.25" customFormat="1" customHeight="1" s="12">
      <c r="A50" s="313" t="n"/>
      <c r="B50" s="313" t="n"/>
      <c r="C50" s="329" t="inlineStr">
        <is>
          <t>Итого по разделу «Материалы»</t>
        </is>
      </c>
      <c r="D50" s="313" t="n"/>
      <c r="E50" s="327" t="n"/>
      <c r="F50" s="328" t="n"/>
      <c r="G50" s="323">
        <f>G38+G49</f>
        <v/>
      </c>
      <c r="H50" s="322">
        <f>G50/$G$50</f>
        <v/>
      </c>
      <c r="I50" s="323" t="n"/>
      <c r="J50" s="323">
        <f>J38+J49</f>
        <v/>
      </c>
    </row>
    <row r="51" ht="14.25" customFormat="1" customHeight="1" s="12">
      <c r="A51" s="313" t="n"/>
      <c r="B51" s="313" t="n"/>
      <c r="C51" s="325" t="inlineStr">
        <is>
          <t>ИТОГО ПО РМ</t>
        </is>
      </c>
      <c r="D51" s="313" t="n"/>
      <c r="E51" s="327" t="n"/>
      <c r="F51" s="328" t="n"/>
      <c r="G51" s="323">
        <f>G15+G27+G50</f>
        <v/>
      </c>
      <c r="H51" s="322" t="n"/>
      <c r="I51" s="323" t="n"/>
      <c r="J51" s="323">
        <f>J15+J27+J50</f>
        <v/>
      </c>
    </row>
    <row r="52" ht="14.25" customFormat="1" customHeight="1" s="12">
      <c r="A52" s="313" t="n"/>
      <c r="B52" s="313" t="n"/>
      <c r="C52" s="325" t="inlineStr">
        <is>
          <t>Накладные расходы</t>
        </is>
      </c>
      <c r="D52" s="330">
        <f>ROUND(G52/(G$17+$G$15),2)</f>
        <v/>
      </c>
      <c r="E52" s="327" t="n"/>
      <c r="F52" s="328" t="n"/>
      <c r="G52" s="323" t="n">
        <v>2862</v>
      </c>
      <c r="H52" s="322" t="n"/>
      <c r="I52" s="323" t="n"/>
      <c r="J52" s="323">
        <f>ROUND(D52*(J15+J17),2)</f>
        <v/>
      </c>
    </row>
    <row r="53" ht="14.25" customFormat="1" customHeight="1" s="12">
      <c r="A53" s="313" t="n"/>
      <c r="B53" s="313" t="n"/>
      <c r="C53" s="325" t="inlineStr">
        <is>
          <t>Сметная прибыль</t>
        </is>
      </c>
      <c r="D53" s="330">
        <f>ROUND(G53/(G$15+G$17),2)</f>
        <v/>
      </c>
      <c r="E53" s="327" t="n"/>
      <c r="F53" s="328" t="n"/>
      <c r="G53" s="323" t="n">
        <v>1505</v>
      </c>
      <c r="H53" s="322" t="n"/>
      <c r="I53" s="323" t="n"/>
      <c r="J53" s="323">
        <f>ROUND(D53*(J15+J17),2)</f>
        <v/>
      </c>
    </row>
    <row r="54" ht="14.25" customFormat="1" customHeight="1" s="12">
      <c r="A54" s="313" t="n"/>
      <c r="B54" s="313" t="n"/>
      <c r="C54" s="325" t="inlineStr">
        <is>
          <t>Итого СМР (с НР и СП)</t>
        </is>
      </c>
      <c r="D54" s="313" t="n"/>
      <c r="E54" s="327" t="n"/>
      <c r="F54" s="328" t="n"/>
      <c r="G54" s="323">
        <f>G15+G27+G50+G52+G53</f>
        <v/>
      </c>
      <c r="H54" s="322" t="n"/>
      <c r="I54" s="323" t="n"/>
      <c r="J54" s="323">
        <f>J15+J27+J50+J52+J53</f>
        <v/>
      </c>
    </row>
    <row r="55" ht="14.25" customFormat="1" customHeight="1" s="12">
      <c r="A55" s="313" t="n"/>
      <c r="B55" s="313" t="n"/>
      <c r="C55" s="325" t="inlineStr">
        <is>
          <t>ВСЕГО СМР + ОБОРУДОВАНИЕ</t>
        </is>
      </c>
      <c r="D55" s="313" t="n"/>
      <c r="E55" s="327" t="n"/>
      <c r="F55" s="328" t="n"/>
      <c r="G55" s="323">
        <f>G54+G33</f>
        <v/>
      </c>
      <c r="H55" s="322" t="n"/>
      <c r="I55" s="323" t="n"/>
      <c r="J55" s="323">
        <f>J54+J33</f>
        <v/>
      </c>
    </row>
    <row r="56" ht="34.5" customFormat="1" customHeight="1" s="12">
      <c r="A56" s="313" t="n"/>
      <c r="B56" s="313" t="n"/>
      <c r="C56" s="325" t="inlineStr">
        <is>
          <t>ИТОГО ПОКАЗАТЕЛЬ НА ЕД. ИЗМ.</t>
        </is>
      </c>
      <c r="D56" s="313" t="inlineStr">
        <is>
          <t>ед.</t>
        </is>
      </c>
      <c r="E56" s="378" t="n">
        <v>1</v>
      </c>
      <c r="F56" s="328" t="n"/>
      <c r="G56" s="323">
        <f>G55/E56</f>
        <v/>
      </c>
      <c r="H56" s="322" t="n"/>
      <c r="I56" s="323" t="n"/>
      <c r="J56" s="323">
        <f>J55/E56</f>
        <v/>
      </c>
    </row>
    <row r="58" ht="14.25" customFormat="1" customHeight="1" s="12">
      <c r="A58" s="4" t="inlineStr">
        <is>
          <t>Составил ______________________    А.Р. Маркова</t>
        </is>
      </c>
      <c r="B58" s="176" t="n"/>
      <c r="C58" s="178" t="n"/>
      <c r="D58" s="176" t="n"/>
      <c r="E58" s="176" t="n"/>
      <c r="F58" s="179" t="n"/>
      <c r="G58" s="179" t="n"/>
      <c r="H58" s="179" t="n"/>
      <c r="I58" s="179" t="n"/>
      <c r="J58" s="179" t="n"/>
    </row>
    <row r="59" ht="14.25" customFormat="1" customHeight="1" s="12">
      <c r="A59" s="28" t="inlineStr">
        <is>
          <t xml:space="preserve">                         (подпись, инициалы, фамилия)</t>
        </is>
      </c>
      <c r="B59" s="176" t="n"/>
      <c r="C59" s="178" t="n"/>
      <c r="D59" s="176" t="n"/>
      <c r="E59" s="176" t="n"/>
      <c r="F59" s="179" t="n"/>
      <c r="G59" s="179" t="n"/>
      <c r="H59" s="179" t="n"/>
      <c r="I59" s="179" t="n"/>
      <c r="J59" s="179" t="n"/>
    </row>
    <row r="60" ht="14.25" customFormat="1" customHeight="1" s="12">
      <c r="A60" s="4" t="n"/>
      <c r="B60" s="176" t="n"/>
      <c r="C60" s="178" t="n"/>
      <c r="D60" s="176" t="n"/>
      <c r="E60" s="176" t="n"/>
      <c r="F60" s="179" t="n"/>
      <c r="G60" s="179" t="n"/>
      <c r="H60" s="179" t="n"/>
      <c r="I60" s="179" t="n"/>
      <c r="J60" s="179" t="n"/>
    </row>
    <row r="61" ht="14.25" customFormat="1" customHeight="1" s="12">
      <c r="A61" s="4" t="inlineStr">
        <is>
          <t>Проверил ______________________        А.В. Костянецкая</t>
        </is>
      </c>
      <c r="B61" s="176" t="n"/>
      <c r="C61" s="178" t="n"/>
      <c r="D61" s="176" t="n"/>
      <c r="E61" s="176" t="n"/>
      <c r="F61" s="179" t="n"/>
      <c r="G61" s="179" t="n"/>
      <c r="H61" s="179" t="n"/>
      <c r="I61" s="179" t="n"/>
      <c r="J61" s="179" t="n"/>
    </row>
    <row r="62" ht="14.25" customFormat="1" customHeight="1" s="12">
      <c r="A62" s="28" t="inlineStr">
        <is>
          <t xml:space="preserve">                        (подпись, инициалы, фамилия)</t>
        </is>
      </c>
      <c r="B62" s="176" t="n"/>
      <c r="C62" s="178" t="n"/>
      <c r="D62" s="176" t="n"/>
      <c r="E62" s="176" t="n"/>
      <c r="F62" s="179" t="n"/>
      <c r="G62" s="179" t="n"/>
      <c r="H62" s="179" t="n"/>
      <c r="I62" s="179" t="n"/>
      <c r="J62" s="17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0" t="inlineStr">
        <is>
          <t>Приложение №6</t>
        </is>
      </c>
    </row>
    <row r="2" ht="21.75" customHeight="1">
      <c r="A2" s="250" t="n"/>
      <c r="B2" s="250" t="n"/>
      <c r="C2" s="250" t="n"/>
      <c r="D2" s="250" t="n"/>
      <c r="E2" s="250" t="n"/>
      <c r="F2" s="250" t="n"/>
      <c r="G2" s="250" t="n"/>
    </row>
    <row r="3">
      <c r="A3" s="208" t="inlineStr">
        <is>
          <t>Расчет стоимости оборудования</t>
        </is>
      </c>
    </row>
    <row r="4" ht="25.5" customHeight="1">
      <c r="A4" s="211" t="inlineStr">
        <is>
          <t>Наименование разрабатываемого показателя УНЦ — Шкаф ЦК ПС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5" t="inlineStr">
        <is>
          <t>№ пп.</t>
        </is>
      </c>
      <c r="B6" s="233" t="inlineStr">
        <is>
          <t>Код ресурса</t>
        </is>
      </c>
      <c r="C6" s="233" t="inlineStr">
        <is>
          <t>Наименование</t>
        </is>
      </c>
      <c r="D6" s="233" t="inlineStr">
        <is>
          <t>Ед. изм.</t>
        </is>
      </c>
      <c r="E6" s="233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362" t="n"/>
    </row>
    <row r="7">
      <c r="A7" s="364" t="n"/>
      <c r="B7" s="364" t="n"/>
      <c r="C7" s="364" t="n"/>
      <c r="D7" s="364" t="n"/>
      <c r="E7" s="364" t="n"/>
      <c r="F7" s="233" t="inlineStr">
        <is>
          <t>на ед. изм.</t>
        </is>
      </c>
      <c r="G7" s="233" t="inlineStr">
        <is>
          <t>общая</t>
        </is>
      </c>
    </row>
    <row r="8">
      <c r="A8" s="233" t="n">
        <v>1</v>
      </c>
      <c r="B8" s="233" t="n">
        <v>2</v>
      </c>
      <c r="C8" s="233" t="n">
        <v>3</v>
      </c>
      <c r="D8" s="233" t="n">
        <v>4</v>
      </c>
      <c r="E8" s="233" t="n">
        <v>5</v>
      </c>
      <c r="F8" s="233" t="n">
        <v>6</v>
      </c>
      <c r="G8" s="233" t="n">
        <v>7</v>
      </c>
    </row>
    <row r="9" ht="15" customHeight="1">
      <c r="A9" s="100" t="n"/>
      <c r="B9" s="234" t="inlineStr">
        <is>
          <t>ИНЖЕНЕРНОЕ ОБОРУДОВАНИЕ</t>
        </is>
      </c>
      <c r="C9" s="361" t="n"/>
      <c r="D9" s="361" t="n"/>
      <c r="E9" s="361" t="n"/>
      <c r="F9" s="361" t="n"/>
      <c r="G9" s="362" t="n"/>
    </row>
    <row r="10" ht="27" customHeight="1">
      <c r="A10" s="233" t="n"/>
      <c r="B10" s="242" t="n"/>
      <c r="C10" s="234" t="inlineStr">
        <is>
          <t>ИТОГО ИНЖЕНЕРНОЕ ОБОРУДОВАНИЕ</t>
        </is>
      </c>
      <c r="D10" s="242" t="n"/>
      <c r="E10" s="101" t="n"/>
      <c r="F10" s="244" t="n"/>
      <c r="G10" s="244" t="n">
        <v>0</v>
      </c>
    </row>
    <row r="11">
      <c r="A11" s="233" t="n"/>
      <c r="B11" s="234" t="inlineStr">
        <is>
          <t>ТЕХНОЛОГИЧЕСКОЕ ОБОРУДОВАНИЕ</t>
        </is>
      </c>
      <c r="C11" s="361" t="n"/>
      <c r="D11" s="361" t="n"/>
      <c r="E11" s="361" t="n"/>
      <c r="F11" s="361" t="n"/>
      <c r="G11" s="362" t="n"/>
    </row>
    <row r="12" ht="25.5" customHeight="1">
      <c r="A12" s="233" t="n">
        <v>1</v>
      </c>
      <c r="B12" s="233">
        <f>'Прил.5 Расчет СМР и ОБ'!B30</f>
        <v/>
      </c>
      <c r="C12" s="234">
        <f>'Прил.5 Расчет СМР и ОБ'!C30</f>
        <v/>
      </c>
      <c r="D12" s="233">
        <f>'Прил.5 Расчет СМР и ОБ'!D30</f>
        <v/>
      </c>
      <c r="E12" s="375">
        <f>'Прил.5 Расчет СМР и ОБ'!E30</f>
        <v/>
      </c>
      <c r="F12" s="254">
        <f>'Прил.5 Расчет СМР и ОБ'!F30</f>
        <v/>
      </c>
      <c r="G12" s="27">
        <f>F12*E12</f>
        <v/>
      </c>
    </row>
    <row r="13" ht="19.5" customHeight="1">
      <c r="A13" s="233" t="n"/>
      <c r="B13" s="234" t="n"/>
      <c r="C13" s="234" t="inlineStr">
        <is>
          <t>Всего по разделу «Оборудование»</t>
        </is>
      </c>
      <c r="D13" s="234" t="n"/>
      <c r="E13" s="254" t="n"/>
      <c r="F13" s="244" t="n"/>
      <c r="G13" s="27">
        <f>G10+G12</f>
        <v/>
      </c>
    </row>
    <row r="14">
      <c r="A14" s="25" t="n"/>
      <c r="B14" s="102" t="n"/>
      <c r="C14" s="25" t="n"/>
      <c r="D14" s="25" t="n"/>
      <c r="E14" s="25" t="n"/>
      <c r="F14" s="25" t="n"/>
      <c r="G14" s="25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25" t="n"/>
      <c r="E15" s="25" t="n"/>
      <c r="F15" s="25" t="n"/>
      <c r="G15" s="25" t="n"/>
    </row>
    <row r="16">
      <c r="A16" s="28" t="inlineStr">
        <is>
          <t xml:space="preserve">                         (подпись, инициалы, фамилия)</t>
        </is>
      </c>
      <c r="B16" s="12" t="n"/>
      <c r="C16" s="12" t="n"/>
      <c r="D16" s="25" t="n"/>
      <c r="E16" s="25" t="n"/>
      <c r="F16" s="25" t="n"/>
      <c r="G16" s="25" t="n"/>
    </row>
    <row r="17">
      <c r="A17" s="4" t="n"/>
      <c r="B17" s="12" t="n"/>
      <c r="C17" s="12" t="n"/>
      <c r="D17" s="25" t="n"/>
      <c r="E17" s="25" t="n"/>
      <c r="F17" s="25" t="n"/>
      <c r="G17" s="25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5" t="n"/>
      <c r="E18" s="25" t="n"/>
      <c r="F18" s="25" t="n"/>
      <c r="G18" s="25" t="n"/>
    </row>
    <row r="19">
      <c r="A19" s="28" t="inlineStr">
        <is>
          <t xml:space="preserve">                        (подпись, инициалы, фамилия)</t>
        </is>
      </c>
      <c r="B19" s="12" t="n"/>
      <c r="C19" s="12" t="n"/>
      <c r="D19" s="25" t="n"/>
      <c r="E19" s="25" t="n"/>
      <c r="F19" s="25" t="n"/>
      <c r="G19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0" t="inlineStr">
        <is>
          <t>Приложение №7</t>
        </is>
      </c>
    </row>
    <row r="2">
      <c r="A2" s="250" t="n"/>
      <c r="B2" s="250" t="n"/>
      <c r="C2" s="250" t="n"/>
      <c r="D2" s="250" t="n"/>
    </row>
    <row r="3" ht="24.75" customHeight="1">
      <c r="A3" s="208" t="inlineStr">
        <is>
          <t>Расчет показателя УНЦ</t>
        </is>
      </c>
    </row>
    <row r="4" ht="24.75" customHeight="1">
      <c r="A4" s="208" t="n"/>
      <c r="B4" s="208" t="n"/>
      <c r="C4" s="208" t="n"/>
      <c r="D4" s="208" t="n"/>
    </row>
    <row r="5" ht="24.6" customHeight="1">
      <c r="A5" s="211" t="inlineStr">
        <is>
          <t xml:space="preserve">Наименование разрабатываемого показателя УНЦ - </t>
        </is>
      </c>
      <c r="D5" s="211">
        <f>'Прил.5 Расчет СМР и ОБ'!D6:J6</f>
        <v/>
      </c>
    </row>
    <row r="6" ht="19.9" customHeight="1">
      <c r="A6" s="211" t="inlineStr">
        <is>
          <t>Единица измерения  — 1 ед</t>
        </is>
      </c>
      <c r="D6" s="211" t="n"/>
    </row>
    <row r="7">
      <c r="A7" s="4" t="n"/>
      <c r="B7" s="4" t="n"/>
      <c r="C7" s="4" t="n"/>
      <c r="D7" s="4" t="n"/>
    </row>
    <row r="8" ht="14.45" customHeight="1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>
      <c r="A9" s="364" t="n"/>
      <c r="B9" s="364" t="n"/>
      <c r="C9" s="364" t="n"/>
      <c r="D9" s="364" t="n"/>
    </row>
    <row r="10">
      <c r="A10" s="233" t="n">
        <v>1</v>
      </c>
      <c r="B10" s="233" t="n">
        <v>2</v>
      </c>
      <c r="C10" s="233" t="n">
        <v>3</v>
      </c>
      <c r="D10" s="233" t="n">
        <v>4</v>
      </c>
    </row>
    <row r="11" ht="41.45" customHeight="1">
      <c r="A11" s="233" t="inlineStr">
        <is>
          <t>А5-01</t>
        </is>
      </c>
      <c r="B11" s="233" t="inlineStr">
        <is>
          <t xml:space="preserve">УНЦ систем АСУТП и ТМ </t>
        </is>
      </c>
      <c r="C11" s="159">
        <f>D5</f>
        <v/>
      </c>
      <c r="D11" s="3">
        <f>'Прил.4 РМ'!C41/1000</f>
        <v/>
      </c>
      <c r="E11" s="158" t="n"/>
    </row>
    <row r="12">
      <c r="A12" s="25" t="n"/>
      <c r="B12" s="102" t="n"/>
      <c r="C12" s="25" t="n"/>
      <c r="D12" s="25" t="n"/>
    </row>
    <row r="13">
      <c r="A13" s="4" t="inlineStr">
        <is>
          <t>Составил ______________________      А.Р. Маркова</t>
        </is>
      </c>
      <c r="B13" s="12" t="n"/>
      <c r="C13" s="12" t="n"/>
      <c r="D13" s="25" t="n"/>
    </row>
    <row r="14">
      <c r="A14" s="2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2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view="pageBreakPreview" zoomScale="115" zoomScaleNormal="85" zoomScaleSheetLayoutView="115" workbookViewId="0">
      <selection activeCell="B22" sqref="B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15" t="inlineStr">
        <is>
          <t>Приложение № 10</t>
        </is>
      </c>
    </row>
    <row r="5" ht="18.75" customHeight="1">
      <c r="B5" s="113" t="n"/>
    </row>
    <row r="6" ht="15.75" customHeight="1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6" t="n"/>
    </row>
    <row r="8">
      <c r="B8" s="256" t="n"/>
      <c r="C8" s="256" t="n"/>
      <c r="D8" s="256" t="n"/>
      <c r="E8" s="256" t="n"/>
    </row>
    <row r="9" ht="47.25" customHeight="1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>
      <c r="B10" s="223" t="n">
        <v>1</v>
      </c>
      <c r="C10" s="223" t="n">
        <v>2</v>
      </c>
      <c r="D10" s="223" t="n">
        <v>3</v>
      </c>
    </row>
    <row r="11" ht="45" customHeight="1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29.25" customHeight="1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13.47</v>
      </c>
    </row>
    <row r="13" ht="29.25" customHeight="1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8.039999999999999</v>
      </c>
    </row>
    <row r="14" ht="30.75" customHeight="1">
      <c r="B14" s="223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3" t="n">
        <v>6.26</v>
      </c>
    </row>
    <row r="15" ht="89.25" customHeight="1">
      <c r="B15" s="223" t="inlineStr">
        <is>
          <t>Временные здания и сооружения</t>
        </is>
      </c>
      <c r="C15" s="22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4.5" customHeight="1">
      <c r="B17" s="223" t="n"/>
      <c r="C17" s="223" t="n"/>
      <c r="D17" s="223" t="n"/>
    </row>
    <row r="18" ht="31.5" customHeight="1">
      <c r="B18" s="223" t="inlineStr">
        <is>
          <t>Строительный контроль</t>
        </is>
      </c>
      <c r="C18" s="223" t="inlineStr">
        <is>
          <t>Постановление Правительства РФ от 21.06.10 г. № 468</t>
        </is>
      </c>
      <c r="D18" s="116" t="n">
        <v>0.0214</v>
      </c>
    </row>
    <row r="19" ht="31.5" customHeight="1">
      <c r="B19" s="223" t="inlineStr">
        <is>
          <t>Авторский надзор - 0,2%</t>
        </is>
      </c>
      <c r="C19" s="223" t="inlineStr">
        <is>
          <t>Приказ от 4.08.2020 № 421/пр п.173</t>
        </is>
      </c>
      <c r="D19" s="116" t="n">
        <v>0.002</v>
      </c>
    </row>
    <row r="20" ht="24" customHeight="1">
      <c r="B20" s="223" t="inlineStr">
        <is>
          <t>Непредвиденные расходы</t>
        </is>
      </c>
      <c r="C20" s="223" t="inlineStr">
        <is>
          <t>Приказ от 4.08.2020 № 421/пр п.179</t>
        </is>
      </c>
      <c r="D20" s="116" t="n">
        <v>0.03</v>
      </c>
    </row>
    <row r="21" ht="18.75" customHeight="1">
      <c r="B21" s="114" t="n"/>
    </row>
    <row r="23">
      <c r="B23" s="4" t="inlineStr">
        <is>
          <t>Составил ______________________        А.Р. Маркова</t>
        </is>
      </c>
      <c r="C23" s="12" t="n"/>
    </row>
    <row r="24">
      <c r="B24" s="28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28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6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32" t="n"/>
      <c r="C4" s="132" t="n"/>
      <c r="D4" s="132" t="n"/>
      <c r="E4" s="132" t="n"/>
      <c r="F4" s="132" t="n"/>
      <c r="G4" s="132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32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32" t="n"/>
    </row>
    <row r="7" ht="110.25" customHeight="1">
      <c r="A7" s="200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3" t="inlineStr">
        <is>
          <t>С1ср</t>
        </is>
      </c>
      <c r="D7" s="223" t="inlineStr">
        <is>
          <t>-</t>
        </is>
      </c>
      <c r="E7" s="56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2" t="n"/>
    </row>
    <row r="8" ht="31.5" customHeight="1">
      <c r="A8" s="200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23" t="inlineStr">
        <is>
          <t>tср</t>
        </is>
      </c>
      <c r="D8" s="223" t="inlineStr">
        <is>
          <t>1973ч/12мес.</t>
        </is>
      </c>
      <c r="E8" s="201">
        <f>1973/12</f>
        <v/>
      </c>
      <c r="F8" s="227" t="inlineStr">
        <is>
          <t>Производственный календарь 2023 год
(40-часов.неделя)</t>
        </is>
      </c>
      <c r="G8" s="202" t="n"/>
    </row>
    <row r="9" ht="15.75" customHeight="1">
      <c r="A9" s="200" t="inlineStr">
        <is>
          <t>1.3</t>
        </is>
      </c>
      <c r="B9" s="227" t="inlineStr">
        <is>
          <t>Коэффициент увеличения</t>
        </is>
      </c>
      <c r="C9" s="223" t="inlineStr">
        <is>
          <t>Кув</t>
        </is>
      </c>
      <c r="D9" s="223" t="inlineStr">
        <is>
          <t>-</t>
        </is>
      </c>
      <c r="E9" s="201" t="n">
        <v>1</v>
      </c>
      <c r="F9" s="227" t="n"/>
      <c r="G9" s="202" t="n"/>
    </row>
    <row r="10" ht="15.75" customHeight="1">
      <c r="A10" s="200" t="inlineStr">
        <is>
          <t>1.4</t>
        </is>
      </c>
      <c r="B10" s="227" t="inlineStr">
        <is>
          <t>Средний разряд работ</t>
        </is>
      </c>
      <c r="C10" s="223" t="n"/>
      <c r="D10" s="223" t="n"/>
      <c r="E10" s="379" t="n">
        <v>3.8</v>
      </c>
      <c r="F10" s="227" t="inlineStr">
        <is>
          <t>РТМ</t>
        </is>
      </c>
      <c r="G10" s="202" t="n"/>
    </row>
    <row r="11" ht="78.75" customHeight="1">
      <c r="A11" s="200" t="inlineStr">
        <is>
          <t>1.5</t>
        </is>
      </c>
      <c r="B11" s="227" t="inlineStr">
        <is>
          <t>Тарифный коэффициент среднего разряда работ</t>
        </is>
      </c>
      <c r="C11" s="223" t="inlineStr">
        <is>
          <t>КТ</t>
        </is>
      </c>
      <c r="D11" s="223" t="inlineStr">
        <is>
          <t>-</t>
        </is>
      </c>
      <c r="E11" s="380" t="n">
        <v>1.308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2" t="n"/>
    </row>
    <row r="12" ht="78.75" customHeight="1">
      <c r="A12" s="200" t="inlineStr">
        <is>
          <t>1.6</t>
        </is>
      </c>
      <c r="B12" s="136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81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1" t="inlineStr">
        <is>
          <t>1.7</t>
        </is>
      </c>
      <c r="B13" s="302" t="inlineStr">
        <is>
          <t>Размер средств на оплату труда рабочих-строителей в текущем уровне цен (ФОТр.тек.), руб/чел.-ч</t>
        </is>
      </c>
      <c r="C13" s="303" t="inlineStr">
        <is>
          <t>ФОТр.тек.</t>
        </is>
      </c>
      <c r="D13" s="303" t="inlineStr">
        <is>
          <t>(С1ср/tср*КТ*Т*Кув)*Кинф</t>
        </is>
      </c>
      <c r="E13" s="304">
        <f>((E7*E9/E8)*E11)*E12</f>
        <v/>
      </c>
      <c r="F13" s="3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2025-01-24T11:52:32Z</dcterms:modified>
  <cp:lastModifiedBy>Dmitry Petrakov</cp:lastModifiedBy>
  <cp:lastPrinted>2023-11-30T18:16:30Z</cp:lastPrinted>
</cp:coreProperties>
</file>