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center" vertical="center" wrapText="1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9" fontId="1" fillId="0" borderId="3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4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/>
    </xf>
    <xf numFmtId="43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169" fontId="20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20" fillId="0" borderId="1" applyAlignment="1" pivotButton="0" quotePrefix="0" xfId="0">
      <alignment vertical="center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2" zoomScaleNormal="10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127" min="1" max="2"/>
    <col width="51.7109375" customWidth="1" style="127" min="3" max="3"/>
    <col width="47" customWidth="1" style="127" min="4" max="4"/>
    <col width="37.42578125" customWidth="1" style="127" min="5" max="5"/>
    <col width="9.140625" customWidth="1" style="127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" customHeight="1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0" t="n"/>
      <c r="C6" s="150" t="n"/>
      <c r="D6" s="150" t="n"/>
    </row>
    <row r="7" ht="35.25" customHeight="1">
      <c r="B7" s="246" t="inlineStr">
        <is>
          <t>Наименование разрабатываемого показателя УНЦ - Шкаф серверного оборудования основной типа ШСО 1</t>
        </is>
      </c>
    </row>
    <row r="8" ht="31.5" customHeight="1">
      <c r="B8" s="128" t="inlineStr">
        <is>
          <t xml:space="preserve">Сопоставимый уровень цен: </t>
        </is>
      </c>
      <c r="C8" s="128" t="n"/>
      <c r="D8" s="233">
        <f>D22</f>
        <v/>
      </c>
    </row>
    <row r="9" ht="15.75" customHeight="1">
      <c r="B9" s="247" t="inlineStr">
        <is>
          <t>Единица измерения  — 1 ед</t>
        </is>
      </c>
    </row>
    <row r="10">
      <c r="B10" s="247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36" t="n"/>
    </row>
    <row r="12" ht="31.5" customHeight="1">
      <c r="B12" s="250" t="n">
        <v>1</v>
      </c>
      <c r="C12" s="257" t="inlineStr">
        <is>
          <t>Наименование объекта-представителя</t>
        </is>
      </c>
      <c r="D12" s="257" t="inlineStr">
        <is>
          <t>ПС 220 кВ Звезда с заходами ВЛ 220 кВ Береговая-2-Перевал. Корректировка</t>
        </is>
      </c>
    </row>
    <row r="13">
      <c r="B13" s="250" t="n">
        <v>2</v>
      </c>
      <c r="C13" s="257" t="inlineStr">
        <is>
          <t>Наименование субъекта Российской Федерации</t>
        </is>
      </c>
      <c r="D13" s="250" t="inlineStr">
        <is>
          <t>Приморский край</t>
        </is>
      </c>
    </row>
    <row r="14">
      <c r="B14" s="250" t="n">
        <v>3</v>
      </c>
      <c r="C14" s="257" t="inlineStr">
        <is>
          <t>Климатический район и подрайон</t>
        </is>
      </c>
      <c r="D14" s="250" t="inlineStr">
        <is>
          <t>IIг</t>
        </is>
      </c>
    </row>
    <row r="15">
      <c r="B15" s="250" t="n">
        <v>4</v>
      </c>
      <c r="C15" s="257" t="inlineStr">
        <is>
          <t>Мощность объекта</t>
        </is>
      </c>
      <c r="D15" s="250" t="n">
        <v>1</v>
      </c>
    </row>
    <row r="16" ht="63" customHeight="1">
      <c r="B16" s="25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ШСО 1 - 1 комплект</t>
        </is>
      </c>
    </row>
    <row r="17" ht="63" customHeight="1">
      <c r="B17" s="25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D18+D19+D20+D21</f>
        <v/>
      </c>
      <c r="E17" s="149" t="n"/>
    </row>
    <row r="18">
      <c r="B18" s="135" t="inlineStr">
        <is>
          <t>6.1</t>
        </is>
      </c>
      <c r="C18" s="257" t="inlineStr">
        <is>
          <t>строительно-монтажные работы</t>
        </is>
      </c>
      <c r="D18" s="225">
        <f>'Прил.2 Расч стоим'!G13+'Прил.2 Расч стоим'!F13</f>
        <v/>
      </c>
    </row>
    <row r="19">
      <c r="B19" s="135" t="inlineStr">
        <is>
          <t>6.2</t>
        </is>
      </c>
      <c r="C19" s="257" t="inlineStr">
        <is>
          <t>оборудование и инвентарь</t>
        </is>
      </c>
      <c r="D19" s="225">
        <f>'Прил.2 Расч стоим'!H13</f>
        <v/>
      </c>
    </row>
    <row r="20">
      <c r="B20" s="135" t="inlineStr">
        <is>
          <t>6.3</t>
        </is>
      </c>
      <c r="C20" s="257" t="inlineStr">
        <is>
          <t>пусконаладочные работы</t>
        </is>
      </c>
      <c r="D20" s="225" t="n">
        <v>0</v>
      </c>
    </row>
    <row r="21">
      <c r="B21" s="135" t="inlineStr">
        <is>
          <t>6.4</t>
        </is>
      </c>
      <c r="C21" s="134" t="inlineStr">
        <is>
          <t>прочие и лимитированные затраты</t>
        </is>
      </c>
      <c r="D21" s="225">
        <f>D18*0.039+(D18*0.039+D18)*0.032</f>
        <v/>
      </c>
    </row>
    <row r="22">
      <c r="B22" s="250" t="n">
        <v>7</v>
      </c>
      <c r="C22" s="134" t="inlineStr">
        <is>
          <t>Сопоставимый уровень цен</t>
        </is>
      </c>
      <c r="D22" s="226" t="inlineStr">
        <is>
          <t>3 кв. 2016 г.</t>
        </is>
      </c>
      <c r="E22" s="132" t="n"/>
    </row>
    <row r="23" ht="78.75" customHeight="1">
      <c r="B23" s="250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  <c r="E23" s="149" t="n"/>
    </row>
    <row r="24" ht="31.5" customHeight="1">
      <c r="B24" s="25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  <c r="E24" s="132" t="n"/>
    </row>
    <row r="25">
      <c r="B25" s="250" t="n">
        <v>10</v>
      </c>
      <c r="C25" s="257" t="inlineStr">
        <is>
          <t>Примечание</t>
        </is>
      </c>
      <c r="D25" s="250" t="n"/>
    </row>
    <row r="26">
      <c r="B26" s="130" t="n"/>
      <c r="C26" s="129" t="n"/>
      <c r="D26" s="129" t="n"/>
    </row>
    <row r="27" ht="37.5" customHeight="1">
      <c r="B27" s="128" t="n"/>
    </row>
    <row r="28">
      <c r="B28" s="127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1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C17" sqref="C17"/>
    </sheetView>
  </sheetViews>
  <sheetFormatPr baseColWidth="8" defaultColWidth="9.140625" defaultRowHeight="15.7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24.85546875" customWidth="1" style="127" min="5" max="5"/>
    <col width="15.5703125" customWidth="1" style="127" min="6" max="6"/>
    <col width="14.85546875" customWidth="1" style="127" min="7" max="7"/>
    <col width="16.7109375" customWidth="1" style="127" min="8" max="8"/>
    <col width="13" customWidth="1" style="127" min="9" max="10"/>
    <col width="18" customWidth="1" style="127" min="11" max="11"/>
    <col width="14.140625" customWidth="1" style="127" min="12" max="12"/>
  </cols>
  <sheetData>
    <row r="3">
      <c r="B3" s="244" t="inlineStr">
        <is>
          <t>Приложение № 2</t>
        </is>
      </c>
      <c r="K3" s="128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31.5" customHeight="1">
      <c r="B6" s="251">
        <f>'Прил.1 Сравнит табл'!B7:D7</f>
        <v/>
      </c>
      <c r="K6" s="168" t="n"/>
    </row>
    <row r="7">
      <c r="B7" s="247">
        <f>'Прил.1 Сравнит табл'!B9:D9</f>
        <v/>
      </c>
    </row>
    <row r="8" ht="18.75" customHeight="1">
      <c r="B8" s="113" t="n"/>
    </row>
    <row r="9" ht="15.75" customHeight="1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50" t="n"/>
      <c r="F9" s="350" t="n"/>
      <c r="G9" s="350" t="n"/>
      <c r="H9" s="350" t="n"/>
      <c r="I9" s="350" t="n"/>
      <c r="J9" s="351" t="n"/>
    </row>
    <row r="10" ht="15.75" customHeight="1">
      <c r="B10" s="352" t="n"/>
      <c r="C10" s="352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3 кв. 2016 г., тыс. руб.</t>
        </is>
      </c>
      <c r="G10" s="350" t="n"/>
      <c r="H10" s="350" t="n"/>
      <c r="I10" s="350" t="n"/>
      <c r="J10" s="351" t="n"/>
    </row>
    <row r="11" ht="31.5" customHeight="1">
      <c r="B11" s="353" t="n"/>
      <c r="C11" s="353" t="n"/>
      <c r="D11" s="353" t="n"/>
      <c r="E11" s="353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</row>
    <row r="12" ht="31.5" customHeight="1">
      <c r="B12" s="227" t="n">
        <v>1</v>
      </c>
      <c r="C12" s="140">
        <f>'Прил.1 Сравнит табл'!D16</f>
        <v/>
      </c>
      <c r="D12" s="228" t="inlineStr">
        <is>
          <t>02-05-03</t>
        </is>
      </c>
      <c r="E12" s="257" t="inlineStr">
        <is>
          <t>АСУ ТП. Приобретение и монтаж оборудования</t>
        </is>
      </c>
      <c r="F12" s="229" t="n"/>
      <c r="G12" s="229" t="n">
        <v>74.8720352</v>
      </c>
      <c r="H12" s="229" t="n">
        <v>10775.5592484</v>
      </c>
      <c r="I12" s="229" t="n"/>
      <c r="J12" s="230">
        <f>SUM(F12:I12)</f>
        <v/>
      </c>
      <c r="K12" s="231" t="n"/>
      <c r="L12" s="231" t="n"/>
    </row>
    <row r="13" ht="15" customHeight="1">
      <c r="B13" s="249" t="inlineStr">
        <is>
          <t>Всего по объекту:</t>
        </is>
      </c>
      <c r="C13" s="350" t="n"/>
      <c r="D13" s="350" t="n"/>
      <c r="E13" s="351" t="n"/>
      <c r="F13" s="232">
        <f>SUM(F12:F12)</f>
        <v/>
      </c>
      <c r="G13" s="232">
        <f>SUM(G12:G12)</f>
        <v/>
      </c>
      <c r="H13" s="232">
        <f>SUM(H12:H12)</f>
        <v/>
      </c>
      <c r="I13" s="232" t="n"/>
      <c r="J13" s="232">
        <f>SUM(F13:I13)</f>
        <v/>
      </c>
      <c r="K13" s="231" t="n"/>
      <c r="L13" s="231" t="n"/>
    </row>
    <row r="14" ht="15.75" customHeight="1">
      <c r="B14" s="249" t="inlineStr">
        <is>
          <t>Всего по объекту в сопоставимом уровне цен 3 кв. 2016 г. :</t>
        </is>
      </c>
      <c r="C14" s="350" t="n"/>
      <c r="D14" s="350" t="n"/>
      <c r="E14" s="351" t="n"/>
      <c r="F14" s="232">
        <f>F13</f>
        <v/>
      </c>
      <c r="G14" s="232">
        <f>G13</f>
        <v/>
      </c>
      <c r="H14" s="232">
        <f>H13</f>
        <v/>
      </c>
      <c r="I14" s="232">
        <f>'Прил.1 Сравнит табл'!D21</f>
        <v/>
      </c>
      <c r="J14" s="232">
        <f>SUM(F14:I14)</f>
        <v/>
      </c>
      <c r="L14" s="231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9"/>
  <sheetViews>
    <sheetView view="pageBreakPreview" topLeftCell="A28" zoomScaleSheetLayoutView="100" workbookViewId="0">
      <selection activeCell="E60" sqref="E60"/>
    </sheetView>
  </sheetViews>
  <sheetFormatPr baseColWidth="8" defaultColWidth="9.140625" defaultRowHeight="15.75"/>
  <cols>
    <col width="9.140625" customWidth="1" style="127" min="1" max="1"/>
    <col width="12.5703125" customWidth="1" style="127" min="2" max="2"/>
    <col width="22.42578125" customWidth="1" style="127" min="3" max="3"/>
    <col width="49.7109375" customWidth="1" style="127" min="4" max="4"/>
    <col width="10.140625" customWidth="1" style="127" min="5" max="5"/>
    <col width="20.7109375" customWidth="1" style="127" min="6" max="6"/>
    <col width="20" customWidth="1" style="127" min="7" max="7"/>
    <col width="16.7109375" customWidth="1" style="127" min="8" max="8"/>
    <col width="12.140625" customWidth="1" style="127" min="9" max="9"/>
    <col width="13.42578125" customWidth="1" style="127" min="10" max="10"/>
    <col width="15" customWidth="1" style="127" min="11" max="11"/>
    <col width="9.140625" customWidth="1" style="127" min="12" max="12"/>
    <col width="13.5703125" customWidth="1" style="127" min="13" max="13"/>
    <col width="9.140625" customWidth="1" style="127" min="14" max="14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52" t="n"/>
      <c r="B4" s="152" t="n"/>
      <c r="C4" s="262" t="n"/>
    </row>
    <row r="5">
      <c r="A5" s="247" t="n"/>
    </row>
    <row r="6">
      <c r="A6" s="251" t="inlineStr">
        <is>
          <t>Наименование разрабатываемого показателя УНЦ -  Шкаф серверного оборудования основной типа ШСО 1</t>
        </is>
      </c>
    </row>
    <row r="7">
      <c r="A7" s="138" t="n"/>
      <c r="B7" s="138" t="n"/>
      <c r="C7" s="138" t="n"/>
      <c r="D7" s="138" t="n"/>
      <c r="E7" s="138" t="n"/>
      <c r="F7" s="138" t="n"/>
      <c r="G7" s="138" t="n"/>
      <c r="H7" s="138" t="n"/>
    </row>
    <row r="8" ht="38.25" customHeight="1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51" t="n"/>
    </row>
    <row r="9" ht="40.5" customHeight="1">
      <c r="A9" s="353" t="n"/>
      <c r="B9" s="353" t="n"/>
      <c r="C9" s="353" t="n"/>
      <c r="D9" s="353" t="n"/>
      <c r="E9" s="353" t="n"/>
      <c r="F9" s="353" t="n"/>
      <c r="G9" s="250" t="inlineStr">
        <is>
          <t>на ед.изм.</t>
        </is>
      </c>
      <c r="H9" s="250" t="inlineStr">
        <is>
          <t>общая</t>
        </is>
      </c>
    </row>
    <row r="10">
      <c r="A10" s="140" t="n">
        <v>1</v>
      </c>
      <c r="B10" s="140" t="n"/>
      <c r="C10" s="140" t="n">
        <v>2</v>
      </c>
      <c r="D10" s="140" t="inlineStr">
        <is>
          <t>З</t>
        </is>
      </c>
      <c r="E10" s="140" t="n">
        <v>4</v>
      </c>
      <c r="F10" s="140" t="n">
        <v>5</v>
      </c>
      <c r="G10" s="140" t="n">
        <v>6</v>
      </c>
      <c r="H10" s="140" t="n">
        <v>7</v>
      </c>
    </row>
    <row r="11" customFormat="1" s="139">
      <c r="A11" s="255" t="inlineStr">
        <is>
          <t>Затраты труда рабочих</t>
        </is>
      </c>
      <c r="B11" s="350" t="n"/>
      <c r="C11" s="350" t="n"/>
      <c r="D11" s="350" t="n"/>
      <c r="E11" s="351" t="n"/>
      <c r="F11" s="354" t="n">
        <v>46.59</v>
      </c>
      <c r="G11" s="184" t="n"/>
      <c r="H11" s="184">
        <f>SUM(H12:H14)</f>
        <v/>
      </c>
      <c r="I11" s="355" t="n"/>
      <c r="J11" s="355" t="n"/>
      <c r="M11" s="127" t="n"/>
      <c r="N11" s="127" t="n"/>
    </row>
    <row r="12">
      <c r="A12" s="153" t="inlineStr">
        <is>
          <t>1</t>
        </is>
      </c>
      <c r="B12" s="180" t="n"/>
      <c r="C12" s="153" t="inlineStr">
        <is>
          <t>1-3-6</t>
        </is>
      </c>
      <c r="D12" s="271" t="inlineStr">
        <is>
          <t>Затраты труда рабочих (средний разряд работы 3,6)</t>
        </is>
      </c>
      <c r="E12" s="272" t="inlineStr">
        <is>
          <t>чел.-ч</t>
        </is>
      </c>
      <c r="F12" s="153" t="n">
        <v>30.4</v>
      </c>
      <c r="G12" s="26" t="n">
        <v>9.18</v>
      </c>
      <c r="H12" s="26">
        <f>ROUND(F12*G12,2)</f>
        <v/>
      </c>
    </row>
    <row r="13">
      <c r="A13" s="153" t="inlineStr">
        <is>
          <t>2</t>
        </is>
      </c>
      <c r="B13" s="180" t="n"/>
      <c r="C13" s="153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272" t="inlineStr">
        <is>
          <t>чел.-ч</t>
        </is>
      </c>
      <c r="F13" s="153" t="n">
        <v>8.98</v>
      </c>
      <c r="G13" s="26" t="n">
        <v>9.4</v>
      </c>
      <c r="H13" s="26">
        <f>ROUND(F13*G13,2)</f>
        <v/>
      </c>
    </row>
    <row r="14">
      <c r="A14" s="153" t="inlineStr">
        <is>
          <t>3</t>
        </is>
      </c>
      <c r="B14" s="180" t="n"/>
      <c r="C14" s="153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272" t="inlineStr">
        <is>
          <t>чел.-ч</t>
        </is>
      </c>
      <c r="F14" s="153" t="n">
        <v>7.21</v>
      </c>
      <c r="G14" s="26" t="n">
        <v>8.859999999999999</v>
      </c>
      <c r="H14" s="26">
        <f>ROUND(F14*G14,2)</f>
        <v/>
      </c>
    </row>
    <row r="15" ht="15.75" customHeight="1">
      <c r="A15" s="261" t="inlineStr">
        <is>
          <t>Затраты труда машинистов</t>
        </is>
      </c>
      <c r="B15" s="350" t="n"/>
      <c r="C15" s="350" t="n"/>
      <c r="D15" s="350" t="n"/>
      <c r="E15" s="351" t="n"/>
      <c r="F15" s="181" t="n"/>
      <c r="G15" s="185" t="n"/>
      <c r="H15" s="184">
        <f>H16</f>
        <v/>
      </c>
    </row>
    <row r="16">
      <c r="A16" s="272" t="n">
        <v>4</v>
      </c>
      <c r="B16" s="256" t="n"/>
      <c r="C16" s="153" t="n">
        <v>2</v>
      </c>
      <c r="D16" s="271" t="inlineStr">
        <is>
          <t>Затраты труда машинистов</t>
        </is>
      </c>
      <c r="E16" s="272" t="inlineStr">
        <is>
          <t>чел.-ч</t>
        </is>
      </c>
      <c r="F16" s="177" t="n">
        <v>0.16</v>
      </c>
      <c r="G16" s="26" t="n">
        <v>0</v>
      </c>
      <c r="H16" s="26" t="n">
        <v>2.03</v>
      </c>
    </row>
    <row r="17" customFormat="1" s="139">
      <c r="A17" s="255" t="inlineStr">
        <is>
          <t>Машины и механизмы</t>
        </is>
      </c>
      <c r="B17" s="350" t="n"/>
      <c r="C17" s="350" t="n"/>
      <c r="D17" s="350" t="n"/>
      <c r="E17" s="351" t="n"/>
      <c r="F17" s="356" t="n"/>
      <c r="G17" s="185" t="n"/>
      <c r="H17" s="186">
        <f>SUM(H18:H21)</f>
        <v/>
      </c>
      <c r="I17" s="355" t="n"/>
      <c r="J17" s="355" t="n"/>
      <c r="M17" s="127" t="n"/>
      <c r="N17" s="127" t="n"/>
    </row>
    <row r="18" ht="25.5" customFormat="1" customHeight="1" s="139">
      <c r="A18" s="7" t="n">
        <v>5</v>
      </c>
      <c r="B18" s="255" t="n"/>
      <c r="C18" s="153" t="inlineStr">
        <is>
          <t>91.05.05-015</t>
        </is>
      </c>
      <c r="D18" s="271" t="inlineStr">
        <is>
          <t>Краны на автомобильном ходу, грузоподъемность 16 т</t>
        </is>
      </c>
      <c r="E18" s="272" t="inlineStr">
        <is>
          <t>маш.час</t>
        </is>
      </c>
      <c r="F18" s="153" t="n">
        <v>0.09</v>
      </c>
      <c r="G18" s="26" t="n">
        <v>115.4</v>
      </c>
      <c r="H18" s="26">
        <f>ROUND(F18*G18,2)</f>
        <v/>
      </c>
      <c r="I18" s="235" t="n"/>
      <c r="J18" s="235" t="n"/>
      <c r="K18" s="127" t="n"/>
      <c r="L18" s="235" t="n"/>
      <c r="M18" s="127" t="n"/>
      <c r="N18" s="127" t="n"/>
    </row>
    <row r="19" customFormat="1" s="139">
      <c r="A19" s="272" t="n">
        <v>6</v>
      </c>
      <c r="B19" s="256" t="n"/>
      <c r="C19" s="153" t="inlineStr">
        <is>
          <t>91.14.02-001</t>
        </is>
      </c>
      <c r="D19" s="271" t="inlineStr">
        <is>
          <t>Автомобили бортовые, грузоподъемность до 5 т</t>
        </is>
      </c>
      <c r="E19" s="272" t="inlineStr">
        <is>
          <t>маш.час</t>
        </is>
      </c>
      <c r="F19" s="153" t="n">
        <v>0.07000000000000001</v>
      </c>
      <c r="G19" s="26" t="n">
        <v>65.70999999999999</v>
      </c>
      <c r="H19" s="26">
        <f>ROUND(F19*G19,2)</f>
        <v/>
      </c>
      <c r="I19" s="235" t="n"/>
      <c r="J19" s="235" t="n"/>
      <c r="L19" s="235" t="n"/>
      <c r="M19" s="127" t="n"/>
      <c r="N19" s="127" t="n"/>
    </row>
    <row r="20">
      <c r="A20" s="7" t="n">
        <v>7</v>
      </c>
      <c r="B20" s="256" t="n"/>
      <c r="C20" s="153" t="inlineStr">
        <is>
          <t>91.21.19-031</t>
        </is>
      </c>
      <c r="D20" s="271" t="inlineStr">
        <is>
          <t>Станки сверлильные</t>
        </is>
      </c>
      <c r="E20" s="272" t="inlineStr">
        <is>
          <t>маш.час</t>
        </is>
      </c>
      <c r="F20" s="153" t="n">
        <v>0.92</v>
      </c>
      <c r="G20" s="26" t="n">
        <v>2.36</v>
      </c>
      <c r="H20" s="26">
        <f>ROUND(F20*G20,2)</f>
        <v/>
      </c>
      <c r="I20" s="235" t="n"/>
      <c r="J20" s="235" t="n"/>
      <c r="L20" s="235" t="n"/>
    </row>
    <row r="21" ht="25.5" customHeight="1">
      <c r="A21" s="7" t="n">
        <v>8</v>
      </c>
      <c r="B21" s="256" t="n"/>
      <c r="C21" s="153" t="inlineStr">
        <is>
          <t>91.17.04-233</t>
        </is>
      </c>
      <c r="D21" s="271" t="inlineStr">
        <is>
          <t>Установки для сварки ручной дуговой (постоянного тока)</t>
        </is>
      </c>
      <c r="E21" s="272" t="inlineStr">
        <is>
          <t>маш.час</t>
        </is>
      </c>
      <c r="F21" s="153" t="n">
        <v>0.2</v>
      </c>
      <c r="G21" s="26" t="n">
        <v>8.1</v>
      </c>
      <c r="H21" s="26">
        <f>ROUND(F21*G21,2)</f>
        <v/>
      </c>
    </row>
    <row r="22" ht="15" customHeight="1">
      <c r="A22" s="261" t="inlineStr">
        <is>
          <t>Оборудование</t>
        </is>
      </c>
      <c r="B22" s="350" t="n"/>
      <c r="C22" s="350" t="n"/>
      <c r="D22" s="350" t="n"/>
      <c r="E22" s="351" t="n"/>
      <c r="F22" s="281" t="n"/>
      <c r="G22" s="186" t="n"/>
      <c r="H22" s="186">
        <f>H23</f>
        <v/>
      </c>
      <c r="I22" s="355" t="n"/>
      <c r="J22" s="355" t="n"/>
    </row>
    <row r="23">
      <c r="A23" s="7" t="n">
        <v>9</v>
      </c>
      <c r="B23" s="255" t="n"/>
      <c r="C23" s="153" t="inlineStr">
        <is>
          <t>Прайс из СД ОП</t>
        </is>
      </c>
      <c r="D23" s="271" t="inlineStr">
        <is>
          <t>Шкаф серверного оборудования основной типа ШСО 1</t>
        </is>
      </c>
      <c r="E23" s="272" t="inlineStr">
        <is>
          <t>компл</t>
        </is>
      </c>
      <c r="F23" s="153" t="n">
        <v>1</v>
      </c>
      <c r="G23" s="142" t="n">
        <v>2517654.03</v>
      </c>
      <c r="H23" s="26">
        <f>ROUND(F23*G23,2)</f>
        <v/>
      </c>
      <c r="I23" s="236" t="n"/>
    </row>
    <row r="24">
      <c r="A24" s="255" t="inlineStr">
        <is>
          <t>Материалы</t>
        </is>
      </c>
      <c r="B24" s="350" t="n"/>
      <c r="C24" s="350" t="n"/>
      <c r="D24" s="350" t="n"/>
      <c r="E24" s="351" t="n"/>
      <c r="F24" s="181" t="n"/>
      <c r="G24" s="187" t="n"/>
      <c r="H24" s="186">
        <f>SUM(H25:H42)</f>
        <v/>
      </c>
      <c r="I24" s="355" t="n"/>
      <c r="J24" s="355" t="n"/>
    </row>
    <row r="25" ht="51" customHeight="1">
      <c r="A25" s="7" t="n">
        <v>10</v>
      </c>
      <c r="B25" s="166" t="n"/>
      <c r="C25" s="153" t="inlineStr">
        <is>
          <t>21.1.01.01-0001</t>
        </is>
      </c>
      <c r="D25" s="2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5" s="272" t="inlineStr">
        <is>
          <t>1000 м</t>
        </is>
      </c>
      <c r="F25" s="153" t="n">
        <v>0.2</v>
      </c>
      <c r="G25" s="26" t="n">
        <v>45920.85</v>
      </c>
      <c r="H25" s="26">
        <f>ROUND(F25*G25,2)</f>
        <v/>
      </c>
      <c r="I25" s="355" t="n"/>
      <c r="J25" s="355" t="n"/>
      <c r="K25" s="355" t="n"/>
    </row>
    <row r="26" ht="25.5" customHeight="1">
      <c r="A26" s="7" t="n">
        <v>11</v>
      </c>
      <c r="B26" s="166" t="n"/>
      <c r="C26" s="153" t="inlineStr">
        <is>
          <t>24.3.01.02-0002</t>
        </is>
      </c>
      <c r="D26" s="271" t="inlineStr">
        <is>
          <t>Трубы гибкие гофрированные из самозатухающего ПВХ легкие с протяжкой, диаметр 25 мм</t>
        </is>
      </c>
      <c r="E26" s="272" t="inlineStr">
        <is>
          <t>м</t>
        </is>
      </c>
      <c r="F26" s="153" t="n">
        <v>204</v>
      </c>
      <c r="G26" s="26" t="n">
        <v>3.43</v>
      </c>
      <c r="H26" s="26">
        <f>ROUND(F26*G26,2)</f>
        <v/>
      </c>
    </row>
    <row r="27" ht="38.25" customHeight="1">
      <c r="A27" s="7" t="n">
        <v>12</v>
      </c>
      <c r="B27" s="166" t="n"/>
      <c r="C27" s="153" t="inlineStr">
        <is>
          <t>08.3.06.01-0003</t>
        </is>
      </c>
      <c r="D27" s="2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27" s="272" t="inlineStr">
        <is>
          <t>т</t>
        </is>
      </c>
      <c r="F27" s="153" t="n">
        <v>0.014</v>
      </c>
      <c r="G27" s="26" t="n">
        <v>6834.81</v>
      </c>
      <c r="H27" s="26">
        <f>ROUND(F27*G27,2)</f>
        <v/>
      </c>
    </row>
    <row r="28">
      <c r="A28" s="7" t="n">
        <v>13</v>
      </c>
      <c r="B28" s="166" t="n"/>
      <c r="C28" s="153" t="inlineStr">
        <is>
          <t>07.2.07.13-0171</t>
        </is>
      </c>
      <c r="D28" s="271" t="inlineStr">
        <is>
          <t>Подкладки металлические</t>
        </is>
      </c>
      <c r="E28" s="272" t="inlineStr">
        <is>
          <t>кг</t>
        </is>
      </c>
      <c r="F28" s="153" t="n">
        <v>6</v>
      </c>
      <c r="G28" s="26" t="n">
        <v>12.6</v>
      </c>
      <c r="H28" s="26">
        <f>ROUND(F28*G28,2)</f>
        <v/>
      </c>
    </row>
    <row r="29">
      <c r="A29" s="7" t="n">
        <v>14</v>
      </c>
      <c r="B29" s="166" t="n"/>
      <c r="C29" s="153" t="inlineStr">
        <is>
          <t>01.7.15.07-0152</t>
        </is>
      </c>
      <c r="D29" s="271" t="inlineStr">
        <is>
          <t>Дюбели с шурупом, размер 6х35 мм</t>
        </is>
      </c>
      <c r="E29" s="272" t="inlineStr">
        <is>
          <t>100 шт</t>
        </is>
      </c>
      <c r="F29" s="153" t="n">
        <v>3.5</v>
      </c>
      <c r="G29" s="26" t="n">
        <v>8</v>
      </c>
      <c r="H29" s="26">
        <f>ROUND(F29*G29,2)</f>
        <v/>
      </c>
    </row>
    <row r="30" ht="25.5" customHeight="1">
      <c r="A30" s="7" t="n">
        <v>15</v>
      </c>
      <c r="B30" s="166" t="n"/>
      <c r="C30" s="153" t="inlineStr">
        <is>
          <t>01.7.06.05-0041</t>
        </is>
      </c>
      <c r="D30" s="271" t="inlineStr">
        <is>
          <t>Лента изоляционная прорезиненная односторонняя, ширина 20 мм, толщина 0,25-0,35 мм</t>
        </is>
      </c>
      <c r="E30" s="272" t="inlineStr">
        <is>
          <t>кг</t>
        </is>
      </c>
      <c r="F30" s="153" t="n">
        <v>0.32</v>
      </c>
      <c r="G30" s="26" t="n">
        <v>30.4</v>
      </c>
      <c r="H30" s="26">
        <f>ROUND(F30*G30,2)</f>
        <v/>
      </c>
    </row>
    <row r="31" ht="25.5" customHeight="1">
      <c r="A31" s="7" t="n">
        <v>16</v>
      </c>
      <c r="B31" s="166" t="n"/>
      <c r="C31" s="153" t="inlineStr">
        <is>
          <t>999-9950</t>
        </is>
      </c>
      <c r="D31" s="271" t="inlineStr">
        <is>
          <t>Вспомогательные ненормируемые ресурсы (2% от Оплаты труда рабочих)</t>
        </is>
      </c>
      <c r="E31" s="272" t="inlineStr">
        <is>
          <t>руб</t>
        </is>
      </c>
      <c r="F31" s="153" t="n">
        <v>8.539999999999999</v>
      </c>
      <c r="G31" s="26" t="n">
        <v>1</v>
      </c>
      <c r="H31" s="26">
        <f>ROUND(F31*G31,2)</f>
        <v/>
      </c>
    </row>
    <row r="32">
      <c r="A32" s="7" t="n">
        <v>17</v>
      </c>
      <c r="B32" s="166" t="n"/>
      <c r="C32" s="153" t="inlineStr">
        <is>
          <t>20.2.01.05-0001</t>
        </is>
      </c>
      <c r="D32" s="271" t="inlineStr">
        <is>
          <t>Гильзы кабельные медные ГМ 2,5</t>
        </is>
      </c>
      <c r="E32" s="272" t="inlineStr">
        <is>
          <t>100 шт</t>
        </is>
      </c>
      <c r="F32" s="153" t="n">
        <v>0.1</v>
      </c>
      <c r="G32" s="26" t="n">
        <v>66</v>
      </c>
      <c r="H32" s="26">
        <f>ROUND(F32*G32,2)</f>
        <v/>
      </c>
    </row>
    <row r="33" ht="25.5" customHeight="1">
      <c r="A33" s="7" t="n">
        <v>18</v>
      </c>
      <c r="B33" s="166" t="n"/>
      <c r="C33" s="153" t="inlineStr">
        <is>
          <t>01.7.15.03-0034</t>
        </is>
      </c>
      <c r="D33" s="271" t="inlineStr">
        <is>
          <t>Болты с гайками и шайбами оцинкованные, диаметр 12 мм</t>
        </is>
      </c>
      <c r="E33" s="272" t="inlineStr">
        <is>
          <t>кг</t>
        </is>
      </c>
      <c r="F33" s="153" t="n">
        <v>0.2378</v>
      </c>
      <c r="G33" s="26" t="n">
        <v>25.76</v>
      </c>
      <c r="H33" s="26">
        <f>ROUND(F33*G33,2)</f>
        <v/>
      </c>
    </row>
    <row r="34">
      <c r="A34" s="7" t="n">
        <v>19</v>
      </c>
      <c r="B34" s="166" t="n"/>
      <c r="C34" s="153" t="inlineStr">
        <is>
          <t>25.2.02.11-0041</t>
        </is>
      </c>
      <c r="D34" s="271" t="inlineStr">
        <is>
          <t>Рамка для надписей 55х15 мм</t>
        </is>
      </c>
      <c r="E34" s="272" t="inlineStr">
        <is>
          <t>шт</t>
        </is>
      </c>
      <c r="F34" s="153" t="n">
        <v>10</v>
      </c>
      <c r="G34" s="26" t="n">
        <v>0.27</v>
      </c>
      <c r="H34" s="26">
        <f>ROUND(F34*G34,2)</f>
        <v/>
      </c>
    </row>
    <row r="35">
      <c r="A35" s="7" t="n">
        <v>20</v>
      </c>
      <c r="B35" s="166" t="n"/>
      <c r="C35" s="153" t="inlineStr">
        <is>
          <t>01.7.11.07-0032</t>
        </is>
      </c>
      <c r="D35" s="271" t="inlineStr">
        <is>
          <t>Электроды сварочные Э42, диаметр 4 мм</t>
        </is>
      </c>
      <c r="E35" s="272" t="inlineStr">
        <is>
          <t>т</t>
        </is>
      </c>
      <c r="F35" s="153" t="n">
        <v>0.00024</v>
      </c>
      <c r="G35" s="26" t="n">
        <v>10315.01</v>
      </c>
      <c r="H35" s="26">
        <f>ROUND(F35*G35,2)</f>
        <v/>
      </c>
    </row>
    <row r="36">
      <c r="A36" s="7" t="n">
        <v>21</v>
      </c>
      <c r="B36" s="166" t="n"/>
      <c r="C36" s="153" t="inlineStr">
        <is>
          <t>20.2.02.01-0011</t>
        </is>
      </c>
      <c r="D36" s="271" t="inlineStr">
        <is>
          <t>Втулки, диаметр 17 мм</t>
        </is>
      </c>
      <c r="E36" s="272" t="inlineStr">
        <is>
          <t>1000 шт</t>
        </is>
      </c>
      <c r="F36" s="153" t="n">
        <v>0.0244</v>
      </c>
      <c r="G36" s="26" t="n">
        <v>75.40000000000001</v>
      </c>
      <c r="H36" s="26">
        <f>ROUND(F36*G36,2)</f>
        <v/>
      </c>
    </row>
    <row r="37">
      <c r="A37" s="7" t="n">
        <v>22</v>
      </c>
      <c r="B37" s="166" t="n"/>
      <c r="C37" s="153" t="inlineStr">
        <is>
          <t>01.7.07.20-0002</t>
        </is>
      </c>
      <c r="D37" s="271" t="inlineStr">
        <is>
          <t>Тальк молотый, сорт I</t>
        </is>
      </c>
      <c r="E37" s="272" t="inlineStr">
        <is>
          <t>т</t>
        </is>
      </c>
      <c r="F37" s="153" t="n">
        <v>0.00086</v>
      </c>
      <c r="G37" s="26" t="n">
        <v>1820</v>
      </c>
      <c r="H37" s="26">
        <f>ROUND(F37*G37,2)</f>
        <v/>
      </c>
    </row>
    <row r="38">
      <c r="A38" s="7" t="n">
        <v>23</v>
      </c>
      <c r="B38" s="166" t="n"/>
      <c r="C38" s="153" t="inlineStr">
        <is>
          <t>14.4.02.09-0001</t>
        </is>
      </c>
      <c r="D38" s="271" t="inlineStr">
        <is>
          <t>Краска</t>
        </is>
      </c>
      <c r="E38" s="272" t="inlineStr">
        <is>
          <t>кг</t>
        </is>
      </c>
      <c r="F38" s="153" t="n">
        <v>0.04</v>
      </c>
      <c r="G38" s="26" t="n">
        <v>28.6</v>
      </c>
      <c r="H38" s="26">
        <f>ROUND(F38*G38,2)</f>
        <v/>
      </c>
    </row>
    <row r="39">
      <c r="A39" s="7" t="n">
        <v>24</v>
      </c>
      <c r="B39" s="166" t="n"/>
      <c r="C39" s="153" t="inlineStr">
        <is>
          <t>14.4.04.09-0017</t>
        </is>
      </c>
      <c r="D39" s="271" t="inlineStr">
        <is>
          <t>Эмаль ХВ-124, защитная, зеленая</t>
        </is>
      </c>
      <c r="E39" s="272" t="inlineStr">
        <is>
          <t>т</t>
        </is>
      </c>
      <c r="F39" s="153" t="n">
        <v>2e-05</v>
      </c>
      <c r="G39" s="26" t="n">
        <v>28300.4</v>
      </c>
      <c r="H39" s="26">
        <f>ROUND(F39*G39,2)</f>
        <v/>
      </c>
    </row>
    <row r="40">
      <c r="A40" s="7" t="n">
        <v>25</v>
      </c>
      <c r="B40" s="166" t="n"/>
      <c r="C40" s="153" t="inlineStr">
        <is>
          <t>14.4.01.01-0003</t>
        </is>
      </c>
      <c r="D40" s="271" t="inlineStr">
        <is>
          <t>Грунтовка ГФ-021</t>
        </is>
      </c>
      <c r="E40" s="272" t="inlineStr">
        <is>
          <t>т</t>
        </is>
      </c>
      <c r="F40" s="153" t="n">
        <v>1e-05</v>
      </c>
      <c r="G40" s="26" t="n">
        <v>15620</v>
      </c>
      <c r="H40" s="26">
        <f>ROUND(F40*G40,2)</f>
        <v/>
      </c>
    </row>
    <row r="41">
      <c r="A41" s="7" t="n">
        <v>26</v>
      </c>
      <c r="B41" s="166" t="n"/>
      <c r="C41" s="153" t="inlineStr">
        <is>
          <t>14.5.09.07-0030</t>
        </is>
      </c>
      <c r="D41" s="271" t="inlineStr">
        <is>
          <t>Растворитель Р-4</t>
        </is>
      </c>
      <c r="E41" s="272" t="inlineStr">
        <is>
          <t>кг</t>
        </is>
      </c>
      <c r="F41" s="153" t="n">
        <v>0.01</v>
      </c>
      <c r="G41" s="26" t="n">
        <v>9.42</v>
      </c>
      <c r="H41" s="26">
        <f>ROUND(F41*G41,2)</f>
        <v/>
      </c>
    </row>
    <row r="42">
      <c r="A42" s="7" t="n">
        <v>27</v>
      </c>
      <c r="B42" s="166" t="n"/>
      <c r="C42" s="153" t="inlineStr">
        <is>
          <t>14.5.09.11-0102</t>
        </is>
      </c>
      <c r="D42" s="271" t="inlineStr">
        <is>
          <t>Уайт-спирит</t>
        </is>
      </c>
      <c r="E42" s="272" t="inlineStr">
        <is>
          <t>кг</t>
        </is>
      </c>
      <c r="F42" s="153" t="n">
        <v>0.01</v>
      </c>
      <c r="G42" s="26" t="n">
        <v>6.67</v>
      </c>
      <c r="H42" s="26">
        <f>ROUND(F42*G42,2)</f>
        <v/>
      </c>
    </row>
    <row r="43">
      <c r="C43" s="137" t="n"/>
    </row>
    <row r="45">
      <c r="B45" s="127" t="inlineStr">
        <is>
          <t>Составил ______________________    Д.А. Самуйленко</t>
        </is>
      </c>
    </row>
    <row r="46">
      <c r="B46" s="128" t="inlineStr">
        <is>
          <t xml:space="preserve">                         (подпись, инициалы, фамилия)</t>
        </is>
      </c>
    </row>
    <row r="48">
      <c r="B48" s="127" t="inlineStr">
        <is>
          <t>Проверил ______________________        А.В. Костянецкая</t>
        </is>
      </c>
    </row>
    <row r="49">
      <c r="B49" s="12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7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30.75" customHeight="1">
      <c r="B7" s="263" t="inlineStr">
        <is>
          <t>Наименование разрабатываемого показателя УНЦ — Шкаф серверного оборудования основной типа ШСО 1</t>
        </is>
      </c>
    </row>
    <row r="8">
      <c r="B8" s="264" t="inlineStr">
        <is>
          <t>Единица измерения  — 1 ед.</t>
        </is>
      </c>
    </row>
    <row r="9">
      <c r="B9" s="148" t="n"/>
      <c r="C9" s="4" t="n"/>
      <c r="D9" s="4" t="n"/>
      <c r="E9" s="4" t="n"/>
    </row>
    <row r="10" ht="51" customHeight="1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2">
        <f>'Прил.5 Расчет СМР и ОБ'!J15</f>
        <v/>
      </c>
      <c r="D11" s="143">
        <f>C11/$C$24</f>
        <v/>
      </c>
      <c r="E11" s="143">
        <f>C11/$C$40</f>
        <v/>
      </c>
    </row>
    <row r="12">
      <c r="B12" s="99" t="inlineStr">
        <is>
          <t>Эксплуатация машин основных</t>
        </is>
      </c>
      <c r="C12" s="142">
        <f>'Прил.5 Расчет СМР и ОБ'!J23</f>
        <v/>
      </c>
      <c r="D12" s="143">
        <f>C12/$C$24</f>
        <v/>
      </c>
      <c r="E12" s="143">
        <f>C12/$C$40</f>
        <v/>
      </c>
    </row>
    <row r="13">
      <c r="B13" s="99" t="inlineStr">
        <is>
          <t>Эксплуатация машин прочих</t>
        </is>
      </c>
      <c r="C13" s="142">
        <f>'Прил.5 Расчет СМР и ОБ'!J25</f>
        <v/>
      </c>
      <c r="D13" s="143">
        <f>C13/$C$24</f>
        <v/>
      </c>
      <c r="E13" s="143">
        <f>C13/$C$40</f>
        <v/>
      </c>
    </row>
    <row r="14">
      <c r="B14" s="99" t="inlineStr">
        <is>
          <t>ЭКСПЛУАТАЦИЯ МАШИН, ВСЕГО:</t>
        </is>
      </c>
      <c r="C14" s="142">
        <f>C13+C12</f>
        <v/>
      </c>
      <c r="D14" s="143">
        <f>C14/$C$24</f>
        <v/>
      </c>
      <c r="E14" s="143">
        <f>C14/$C$40</f>
        <v/>
      </c>
    </row>
    <row r="15">
      <c r="B15" s="99" t="inlineStr">
        <is>
          <t>в том числе зарплата машинистов</t>
        </is>
      </c>
      <c r="C15" s="142">
        <f>'Прил.5 Расчет СМР и ОБ'!J17</f>
        <v/>
      </c>
      <c r="D15" s="143">
        <f>C15/$C$24</f>
        <v/>
      </c>
      <c r="E15" s="143">
        <f>C15/$C$40</f>
        <v/>
      </c>
    </row>
    <row r="16">
      <c r="B16" s="99" t="inlineStr">
        <is>
          <t>Материалы основные</t>
        </is>
      </c>
      <c r="C16" s="142">
        <f>'Прил.5 Расчет СМР и ОБ'!J37</f>
        <v/>
      </c>
      <c r="D16" s="143">
        <f>C16/$C$24</f>
        <v/>
      </c>
      <c r="E16" s="143">
        <f>C16/$C$40</f>
        <v/>
      </c>
    </row>
    <row r="17">
      <c r="B17" s="99" t="inlineStr">
        <is>
          <t>Материалы прочие</t>
        </is>
      </c>
      <c r="C17" s="142">
        <f>'Прил.5 Расчет СМР и ОБ'!J55</f>
        <v/>
      </c>
      <c r="D17" s="143">
        <f>C17/$C$24</f>
        <v/>
      </c>
      <c r="E17" s="143">
        <f>C17/$C$40</f>
        <v/>
      </c>
      <c r="G17" s="357" t="n"/>
    </row>
    <row r="18">
      <c r="B18" s="99" t="inlineStr">
        <is>
          <t>МАТЕРИАЛЫ, ВСЕГО:</t>
        </is>
      </c>
      <c r="C18" s="142">
        <f>C17+C16</f>
        <v/>
      </c>
      <c r="D18" s="143">
        <f>C18/$C$24</f>
        <v/>
      </c>
      <c r="E18" s="143">
        <f>C18/$C$40</f>
        <v/>
      </c>
    </row>
    <row r="19">
      <c r="B19" s="99" t="inlineStr">
        <is>
          <t>ИТОГО</t>
        </is>
      </c>
      <c r="C19" s="142">
        <f>C18+C14+C11</f>
        <v/>
      </c>
      <c r="D19" s="143" t="n"/>
      <c r="E19" s="99" t="n"/>
    </row>
    <row r="20">
      <c r="B20" s="99" t="inlineStr">
        <is>
          <t>Сметная прибыль, руб.</t>
        </is>
      </c>
      <c r="C20" s="142">
        <f>ROUND(C21*(C11+C15),2)</f>
        <v/>
      </c>
      <c r="D20" s="143">
        <f>C20/$C$24</f>
        <v/>
      </c>
      <c r="E20" s="143">
        <f>C20/$C$40</f>
        <v/>
      </c>
    </row>
    <row r="21">
      <c r="B21" s="99" t="inlineStr">
        <is>
          <t>Сметная прибыль, %</t>
        </is>
      </c>
      <c r="C21" s="146">
        <f>'Прил.5 Расчет СМР и ОБ'!D59</f>
        <v/>
      </c>
      <c r="D21" s="143" t="n"/>
      <c r="E21" s="99" t="n"/>
    </row>
    <row r="22">
      <c r="B22" s="99" t="inlineStr">
        <is>
          <t>Накладные расходы, руб.</t>
        </is>
      </c>
      <c r="C22" s="142">
        <f>ROUND(C23*(C11+C15),2)</f>
        <v/>
      </c>
      <c r="D22" s="143">
        <f>C22/$C$24</f>
        <v/>
      </c>
      <c r="E22" s="143">
        <f>C22/$C$40</f>
        <v/>
      </c>
    </row>
    <row r="23">
      <c r="B23" s="99" t="inlineStr">
        <is>
          <t>Накладные расходы, %</t>
        </is>
      </c>
      <c r="C23" s="146">
        <f>'Прил.5 Расчет СМР и ОБ'!D58</f>
        <v/>
      </c>
      <c r="D23" s="143" t="n"/>
      <c r="E23" s="99" t="n"/>
    </row>
    <row r="24">
      <c r="B24" s="99" t="inlineStr">
        <is>
          <t>ВСЕГО СМР с НР и СП</t>
        </is>
      </c>
      <c r="C24" s="142">
        <f>C19+C20+C22</f>
        <v/>
      </c>
      <c r="D24" s="143">
        <f>C24/$C$24</f>
        <v/>
      </c>
      <c r="E24" s="143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2">
        <f>'Прил.5 Расчет СМР и ОБ'!J32</f>
        <v/>
      </c>
      <c r="D25" s="143" t="n"/>
      <c r="E25" s="143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2">
        <f>'Прил.5 Расчет СМР и ОБ'!J33</f>
        <v/>
      </c>
      <c r="D26" s="143" t="n"/>
      <c r="E26" s="143">
        <f>C26/$C$40</f>
        <v/>
      </c>
    </row>
    <row r="27">
      <c r="B27" s="99" t="inlineStr">
        <is>
          <t>ИТОГО (СМР + ОБОРУДОВАНИЕ)</t>
        </is>
      </c>
      <c r="C27" s="145">
        <f>C24+C25</f>
        <v/>
      </c>
      <c r="D27" s="143" t="n"/>
      <c r="E27" s="143">
        <f>C27/$C$40</f>
        <v/>
      </c>
      <c r="G27" s="144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5">
        <f>ROUND(C24*3.9%,2)</f>
        <v/>
      </c>
      <c r="D29" s="99" t="n"/>
      <c r="E29" s="143">
        <f>C29/$C$40</f>
        <v/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5">
        <f>ROUND((C24+C29)*2.1%,2)</f>
        <v/>
      </c>
      <c r="D30" s="99" t="n"/>
      <c r="E30" s="143">
        <f>C30/$C$40</f>
        <v/>
      </c>
    </row>
    <row r="31">
      <c r="B31" s="99" t="inlineStr">
        <is>
          <t>Пусконаладочные работы</t>
        </is>
      </c>
      <c r="C31" s="145" t="n">
        <v>316144.1</v>
      </c>
      <c r="D31" s="99" t="n"/>
      <c r="E31" s="143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5" t="n">
        <v>0</v>
      </c>
      <c r="D32" s="99" t="n"/>
      <c r="E32" s="143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5">
        <f>ROUND(C27*0%,2)</f>
        <v/>
      </c>
      <c r="D33" s="99" t="n"/>
      <c r="E33" s="143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 t="n">
        <v>0</v>
      </c>
      <c r="D34" s="99" t="n"/>
      <c r="E34" s="143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ROUND(C27*0%,2)</f>
        <v/>
      </c>
      <c r="D35" s="99" t="n"/>
      <c r="E35" s="143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99" t="n"/>
      <c r="E36" s="143">
        <f>C36/$C$40</f>
        <v/>
      </c>
      <c r="G36" s="188" t="n"/>
      <c r="L36" s="144" t="n"/>
    </row>
    <row r="37">
      <c r="B37" s="99" t="inlineStr">
        <is>
          <t>Авторский надзор - 0,2%</t>
        </is>
      </c>
      <c r="C37" s="145">
        <f>ROUND((C27+C32+C33+C34+C35+C29+C31+C30)*0.2%,2)</f>
        <v/>
      </c>
      <c r="D37" s="99" t="n"/>
      <c r="E37" s="143">
        <f>C37/$C$40</f>
        <v/>
      </c>
      <c r="G37" s="189" t="n"/>
      <c r="L37" s="144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2">
        <f>C27+C32+C33+C34+C35+C29+C31+C30+C36+C37</f>
        <v/>
      </c>
      <c r="D38" s="99" t="n"/>
      <c r="E38" s="143">
        <f>C38/$C$40</f>
        <v/>
      </c>
    </row>
    <row r="39" ht="13.5" customHeight="1">
      <c r="B39" s="99" t="inlineStr">
        <is>
          <t>Непредвиденные расходы</t>
        </is>
      </c>
      <c r="C39" s="142">
        <f>ROUND(C38*3%,2)</f>
        <v/>
      </c>
      <c r="D39" s="99" t="n"/>
      <c r="E39" s="143">
        <f>C39/$C$38</f>
        <v/>
      </c>
    </row>
    <row r="40">
      <c r="B40" s="99" t="inlineStr">
        <is>
          <t>ВСЕГО:</t>
        </is>
      </c>
      <c r="C40" s="142">
        <f>C39+C38</f>
        <v/>
      </c>
      <c r="D40" s="99" t="n"/>
      <c r="E40" s="143">
        <f>C40/$C$40</f>
        <v/>
      </c>
    </row>
    <row r="41">
      <c r="B41" s="99" t="inlineStr">
        <is>
          <t>ИТОГО ПОКАЗАТЕЛЬ НА ЕД. ИЗМ.</t>
        </is>
      </c>
      <c r="C41" s="142">
        <f>C40/'Прил.5 Расчет СМР и ОБ'!E62</f>
        <v/>
      </c>
      <c r="D41" s="99" t="n"/>
      <c r="E41" s="99" t="n"/>
    </row>
    <row r="42">
      <c r="B42" s="141" t="n"/>
      <c r="C42" s="4" t="n"/>
      <c r="D42" s="4" t="n"/>
      <c r="E42" s="4" t="n"/>
    </row>
    <row r="43">
      <c r="B43" s="141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1" t="n"/>
      <c r="C45" s="4" t="n"/>
      <c r="D45" s="4" t="n"/>
      <c r="E45" s="4" t="n"/>
    </row>
    <row r="46">
      <c r="B46" s="14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8"/>
  <sheetViews>
    <sheetView view="pageBreakPreview" topLeftCell="A35" zoomScale="85" zoomScaleSheetLayoutView="85" workbookViewId="0">
      <selection activeCell="D65" sqref="D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6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9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7" t="inlineStr">
        <is>
          <t>Расчет стоимости СМР и оборудования</t>
        </is>
      </c>
    </row>
    <row r="5" ht="12.75" customFormat="1" customHeight="1" s="4">
      <c r="A5" s="237" t="n"/>
      <c r="B5" s="237" t="n"/>
      <c r="C5" s="301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40" t="inlineStr">
        <is>
          <t>Шкаф серверного оборудования основной типа ШСО 1</t>
        </is>
      </c>
    </row>
    <row r="7" ht="12.75" customFormat="1" customHeight="1" s="4">
      <c r="A7" s="240" t="inlineStr">
        <is>
          <t>Единица измерения  — 1 ед.</t>
        </is>
      </c>
      <c r="I7" s="263" t="n"/>
      <c r="J7" s="263" t="n"/>
    </row>
    <row r="8" ht="13.5" customFormat="1" customHeight="1" s="4">
      <c r="A8" s="240" t="n"/>
    </row>
    <row r="9" ht="13.15" customFormat="1" customHeight="1" s="4"/>
    <row r="10" ht="27" customHeight="1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51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51" t="n"/>
      <c r="M10" s="12" t="n"/>
      <c r="N10" s="12" t="n"/>
    </row>
    <row r="11" ht="28.5" customHeight="1">
      <c r="A11" s="353" t="n"/>
      <c r="B11" s="353" t="n"/>
      <c r="C11" s="353" t="n"/>
      <c r="D11" s="353" t="n"/>
      <c r="E11" s="353" t="n"/>
      <c r="F11" s="272" t="inlineStr">
        <is>
          <t>на ед. изм.</t>
        </is>
      </c>
      <c r="G11" s="272" t="inlineStr">
        <is>
          <t>общая</t>
        </is>
      </c>
      <c r="H11" s="353" t="n"/>
      <c r="I11" s="272" t="inlineStr">
        <is>
          <t>на ед. изм.</t>
        </is>
      </c>
      <c r="J11" s="272" t="inlineStr">
        <is>
          <t>общая</t>
        </is>
      </c>
      <c r="M11" s="12" t="n"/>
      <c r="N11" s="12" t="n"/>
    </row>
    <row r="12">
      <c r="A12" s="272" t="n">
        <v>1</v>
      </c>
      <c r="B12" s="272" t="n">
        <v>2</v>
      </c>
      <c r="C12" s="272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77" t="n">
        <v>9</v>
      </c>
      <c r="J12" s="277" t="n">
        <v>10</v>
      </c>
      <c r="M12" s="12" t="n"/>
      <c r="N12" s="12" t="n"/>
    </row>
    <row r="13">
      <c r="A13" s="272" t="n"/>
      <c r="B13" s="270" t="inlineStr">
        <is>
          <t>Затраты труда рабочих-строителей</t>
        </is>
      </c>
      <c r="C13" s="350" t="n"/>
      <c r="D13" s="350" t="n"/>
      <c r="E13" s="350" t="n"/>
      <c r="F13" s="350" t="n"/>
      <c r="G13" s="350" t="n"/>
      <c r="H13" s="351" t="n"/>
      <c r="I13" s="120" t="n"/>
      <c r="J13" s="120" t="n"/>
    </row>
    <row r="14" ht="25.5" customHeight="1">
      <c r="A14" s="272" t="n">
        <v>1</v>
      </c>
      <c r="B14" s="153" t="inlineStr">
        <is>
          <t>1-3-6</t>
        </is>
      </c>
      <c r="C14" s="271" t="inlineStr">
        <is>
          <t>Затраты труда рабочих (средний разряд работы 3,6)</t>
        </is>
      </c>
      <c r="D14" s="272" t="inlineStr">
        <is>
          <t>чел.-ч</t>
        </is>
      </c>
      <c r="E14" s="273">
        <f>G14/F14</f>
        <v/>
      </c>
      <c r="F14" s="273" t="n">
        <v>9.18</v>
      </c>
      <c r="G14" s="358" t="n">
        <v>427.36</v>
      </c>
      <c r="H14" s="123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2">
      <c r="A15" s="272" t="n"/>
      <c r="B15" s="272" t="n"/>
      <c r="C15" s="270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273">
        <f>SUM(E14)</f>
        <v/>
      </c>
      <c r="F15" s="274" t="n"/>
      <c r="G15" s="358">
        <f>SUM(G14)</f>
        <v/>
      </c>
      <c r="H15" s="275" t="n">
        <v>1</v>
      </c>
      <c r="I15" s="160" t="n"/>
      <c r="J15" s="26">
        <f>SUM(J14)</f>
        <v/>
      </c>
    </row>
    <row r="16" ht="14.25" customFormat="1" customHeight="1" s="12">
      <c r="A16" s="272" t="n"/>
      <c r="B16" s="271" t="inlineStr">
        <is>
          <t>Затраты труда машинистов</t>
        </is>
      </c>
      <c r="C16" s="350" t="n"/>
      <c r="D16" s="350" t="n"/>
      <c r="E16" s="350" t="n"/>
      <c r="F16" s="350" t="n"/>
      <c r="G16" s="350" t="n"/>
      <c r="H16" s="351" t="n"/>
      <c r="I16" s="120" t="n"/>
      <c r="J16" s="120" t="n"/>
    </row>
    <row r="17" ht="14.25" customFormat="1" customHeight="1" s="12">
      <c r="A17" s="272" t="n">
        <v>2</v>
      </c>
      <c r="B17" s="272" t="n">
        <v>2</v>
      </c>
      <c r="C17" s="271" t="inlineStr">
        <is>
          <t>Затраты труда машинистов</t>
        </is>
      </c>
      <c r="D17" s="272" t="inlineStr">
        <is>
          <t>чел.-ч.</t>
        </is>
      </c>
      <c r="E17" s="177" t="n">
        <v>0.16</v>
      </c>
      <c r="F17" s="177">
        <f>G17/E17</f>
        <v/>
      </c>
      <c r="G17" s="358" t="n">
        <v>2.03</v>
      </c>
      <c r="H17" s="275" t="n">
        <v>1</v>
      </c>
      <c r="I17" s="26">
        <f>ROUND(F17*'Прил. 10'!$D$11,2)</f>
        <v/>
      </c>
      <c r="J17" s="26">
        <f>ROUND(I17*E17,2)</f>
        <v/>
      </c>
      <c r="K17" s="163" t="n"/>
      <c r="L17" s="164" t="n"/>
    </row>
    <row r="18" ht="14.25" customFormat="1" customHeight="1" s="12">
      <c r="A18" s="272" t="n"/>
      <c r="B18" s="270" t="inlineStr">
        <is>
          <t>Машины и механизмы</t>
        </is>
      </c>
      <c r="C18" s="350" t="n"/>
      <c r="D18" s="350" t="n"/>
      <c r="E18" s="350" t="n"/>
      <c r="F18" s="350" t="n"/>
      <c r="G18" s="350" t="n"/>
      <c r="H18" s="351" t="n"/>
      <c r="I18" s="120" t="n"/>
      <c r="J18" s="120" t="n"/>
    </row>
    <row r="19" ht="14.25" customFormat="1" customHeight="1" s="12">
      <c r="A19" s="277" t="n"/>
      <c r="B19" s="276" t="inlineStr">
        <is>
          <t>Основные машины и механизмы</t>
        </is>
      </c>
      <c r="C19" s="359" t="n"/>
      <c r="D19" s="359" t="n"/>
      <c r="E19" s="359" t="n"/>
      <c r="F19" s="359" t="n"/>
      <c r="G19" s="359" t="n"/>
      <c r="H19" s="360" t="n"/>
      <c r="I19" s="154" t="n"/>
      <c r="J19" s="154" t="n"/>
    </row>
    <row r="20" ht="25.5" customFormat="1" customHeight="1" s="12">
      <c r="A20" s="272" t="n">
        <v>3</v>
      </c>
      <c r="B20" s="153" t="inlineStr">
        <is>
          <t>91.05.05-015</t>
        </is>
      </c>
      <c r="C20" s="2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153" t="n">
        <v>0.09</v>
      </c>
      <c r="F20" s="298" t="n">
        <v>115.4</v>
      </c>
      <c r="G20" s="358">
        <f>ROUND(E20*F20,2)</f>
        <v/>
      </c>
      <c r="H20" s="123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72" t="n">
        <v>4</v>
      </c>
      <c r="B21" s="153" t="inlineStr">
        <is>
          <t>91.14.02-001</t>
        </is>
      </c>
      <c r="C21" s="2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153" t="n">
        <v>0.07000000000000001</v>
      </c>
      <c r="F21" s="298" t="n">
        <v>65.70999999999999</v>
      </c>
      <c r="G21" s="358">
        <f>ROUND(E21*F21,2)</f>
        <v/>
      </c>
      <c r="H21" s="123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72" t="n">
        <v>5</v>
      </c>
      <c r="B22" s="153" t="inlineStr">
        <is>
          <t>91.21.19-031</t>
        </is>
      </c>
      <c r="C22" s="271" t="inlineStr">
        <is>
          <t>Станки сверлильные</t>
        </is>
      </c>
      <c r="D22" s="272" t="inlineStr">
        <is>
          <t>маш.час</t>
        </is>
      </c>
      <c r="E22" s="153" t="n">
        <v>0.92</v>
      </c>
      <c r="F22" s="298" t="n">
        <v>2.36</v>
      </c>
      <c r="G22" s="358">
        <f>ROUND(E22*F22,2)</f>
        <v/>
      </c>
      <c r="H22" s="123">
        <f>G22/$G$26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12">
      <c r="A23" s="272" t="n"/>
      <c r="B23" s="153" t="n"/>
      <c r="C23" s="271" t="inlineStr">
        <is>
          <t>Итого основные машины и механизмы</t>
        </is>
      </c>
      <c r="D23" s="272" t="n"/>
      <c r="E23" s="273" t="n"/>
      <c r="F23" s="272" t="n"/>
      <c r="G23" s="358">
        <f>SUM(G20:G22)</f>
        <v/>
      </c>
      <c r="H23" s="123">
        <f>G23/G26</f>
        <v/>
      </c>
      <c r="I23" s="26" t="n"/>
      <c r="J23" s="26">
        <f>SUM(J20:J22)</f>
        <v/>
      </c>
    </row>
    <row r="24" outlineLevel="1" ht="25.5" customFormat="1" customHeight="1" s="12">
      <c r="A24" s="272" t="n">
        <v>6</v>
      </c>
      <c r="B24" s="153" t="inlineStr">
        <is>
          <t>91.17.04-233</t>
        </is>
      </c>
      <c r="C24" s="271" t="inlineStr">
        <is>
          <t>Установки для сварки ручной дуговой (постоянного тока)</t>
        </is>
      </c>
      <c r="D24" s="272" t="inlineStr">
        <is>
          <t>маш.час</t>
        </is>
      </c>
      <c r="E24" s="153" t="n">
        <v>0.2</v>
      </c>
      <c r="F24" s="298" t="n">
        <v>8.1</v>
      </c>
      <c r="G24" s="358">
        <f>ROUND(E24*F24,2)</f>
        <v/>
      </c>
      <c r="H24" s="123">
        <f>G24/$G$26</f>
        <v/>
      </c>
      <c r="I24" s="26">
        <f>ROUND(F24*'Прил. 10'!$D$12,2)</f>
        <v/>
      </c>
      <c r="J24" s="26">
        <f>ROUND(I24*E24,2)</f>
        <v/>
      </c>
    </row>
    <row r="25" ht="14.25" customFormat="1" customHeight="1" s="12">
      <c r="A25" s="272" t="n"/>
      <c r="B25" s="272" t="n"/>
      <c r="C25" s="271" t="inlineStr">
        <is>
          <t>Итого прочие машины и механизмы</t>
        </is>
      </c>
      <c r="D25" s="272" t="n"/>
      <c r="E25" s="273" t="n"/>
      <c r="F25" s="26" t="n"/>
      <c r="G25" s="358">
        <f>SUM(G24:G24)</f>
        <v/>
      </c>
      <c r="H25" s="123">
        <f>G25/G26</f>
        <v/>
      </c>
      <c r="I25" s="358" t="n"/>
      <c r="J25" s="358">
        <f>SUM(J24:J24)</f>
        <v/>
      </c>
    </row>
    <row r="26" ht="25.5" customFormat="1" customHeight="1" s="12">
      <c r="A26" s="272" t="n"/>
      <c r="B26" s="293" t="n"/>
      <c r="C26" s="156" t="inlineStr">
        <is>
          <t>Итого по разделу «Машины и механизмы»</t>
        </is>
      </c>
      <c r="D26" s="293" t="n"/>
      <c r="E26" s="157" t="n"/>
      <c r="F26" s="158" t="n"/>
      <c r="G26" s="361">
        <f>G23+G25</f>
        <v/>
      </c>
      <c r="H26" s="178">
        <f>H23+H25</f>
        <v/>
      </c>
      <c r="I26" s="362" t="n"/>
      <c r="J26" s="361">
        <f>J23+J25</f>
        <v/>
      </c>
    </row>
    <row r="27" ht="14.25" customFormat="1" customHeight="1" s="12">
      <c r="A27" s="272" t="n"/>
      <c r="B27" s="270" t="inlineStr">
        <is>
          <t>Оборудование</t>
        </is>
      </c>
      <c r="C27" s="350" t="n"/>
      <c r="D27" s="350" t="n"/>
      <c r="E27" s="350" t="n"/>
      <c r="F27" s="350" t="n"/>
      <c r="G27" s="350" t="n"/>
      <c r="H27" s="351" t="n"/>
      <c r="I27" s="120" t="n"/>
      <c r="J27" s="120" t="n"/>
    </row>
    <row r="28">
      <c r="A28" s="272" t="n"/>
      <c r="B28" s="271" t="inlineStr">
        <is>
          <t>Основное оборудование</t>
        </is>
      </c>
      <c r="C28" s="350" t="n"/>
      <c r="D28" s="350" t="n"/>
      <c r="E28" s="350" t="n"/>
      <c r="F28" s="350" t="n"/>
      <c r="G28" s="350" t="n"/>
      <c r="H28" s="351" t="n"/>
      <c r="I28" s="154" t="n"/>
      <c r="J28" s="154" t="n"/>
    </row>
    <row r="29" ht="25.5" customHeight="1">
      <c r="A29" s="266" t="n">
        <v>7</v>
      </c>
      <c r="B29" s="192" t="inlineStr">
        <is>
          <t>БЦ.33.11</t>
        </is>
      </c>
      <c r="C29" s="265" t="inlineStr">
        <is>
          <t>Шкаф серверного оборудования основной типа ШСО 1</t>
        </is>
      </c>
      <c r="D29" s="266" t="inlineStr">
        <is>
          <t>компл</t>
        </is>
      </c>
      <c r="E29" s="192" t="n">
        <v>1</v>
      </c>
      <c r="F29" s="268">
        <f>ROUND(I29/'Прил. 10'!$D$14,2)</f>
        <v/>
      </c>
      <c r="G29" s="363">
        <f>ROUND(E29*F29,2)</f>
        <v/>
      </c>
      <c r="H29" s="269" t="n">
        <v>0</v>
      </c>
      <c r="I29" s="197" t="n">
        <v>16590015</v>
      </c>
      <c r="J29" s="198">
        <f>ROUND(I29*E29,2)</f>
        <v/>
      </c>
    </row>
    <row r="30">
      <c r="A30" s="266" t="n"/>
      <c r="B30" s="266" t="n"/>
      <c r="C30" s="265" t="inlineStr">
        <is>
          <t>Итого основное оборудование</t>
        </is>
      </c>
      <c r="D30" s="266" t="n"/>
      <c r="E30" s="364" t="n"/>
      <c r="F30" s="268" t="n"/>
      <c r="G30" s="198">
        <f>SUM(G29)</f>
        <v/>
      </c>
      <c r="H30" s="200" t="n">
        <v>0</v>
      </c>
      <c r="I30" s="201" t="n"/>
      <c r="J30" s="202">
        <f>SUM(J29)</f>
        <v/>
      </c>
    </row>
    <row r="31">
      <c r="A31" s="266" t="n"/>
      <c r="B31" s="266" t="n"/>
      <c r="C31" s="265" t="inlineStr">
        <is>
          <t>Итого прочее оборудование</t>
        </is>
      </c>
      <c r="D31" s="266" t="n"/>
      <c r="E31" s="365" t="n"/>
      <c r="F31" s="268" t="n"/>
      <c r="G31" s="198" t="n">
        <v>0</v>
      </c>
      <c r="H31" s="269" t="n">
        <v>0</v>
      </c>
      <c r="I31" s="204" t="n"/>
      <c r="J31" s="205" t="n">
        <v>0</v>
      </c>
    </row>
    <row r="32">
      <c r="A32" s="266" t="n"/>
      <c r="B32" s="206" t="n"/>
      <c r="C32" s="207" t="inlineStr">
        <is>
          <t>Итого по разделу «Оборудование»</t>
        </is>
      </c>
      <c r="D32" s="206" t="n"/>
      <c r="E32" s="208" t="n"/>
      <c r="F32" s="209" t="n"/>
      <c r="G32" s="205">
        <f>G30</f>
        <v/>
      </c>
      <c r="H32" s="210" t="n">
        <v>0</v>
      </c>
      <c r="I32" s="204" t="n"/>
      <c r="J32" s="205">
        <f>J30</f>
        <v/>
      </c>
    </row>
    <row r="33" ht="25.5" customHeight="1">
      <c r="A33" s="266" t="n"/>
      <c r="B33" s="266" t="n"/>
      <c r="C33" s="265" t="inlineStr">
        <is>
          <t>в том числе технологическое оборудование</t>
        </is>
      </c>
      <c r="D33" s="266" t="n"/>
      <c r="E33" s="365" t="n"/>
      <c r="F33" s="268" t="n"/>
      <c r="G33" s="198">
        <f>G32</f>
        <v/>
      </c>
      <c r="H33" s="269" t="n"/>
      <c r="I33" s="198" t="n"/>
      <c r="J33" s="198">
        <f>J32</f>
        <v/>
      </c>
    </row>
    <row r="34" ht="14.25" customFormat="1" customHeight="1" s="12">
      <c r="A34" s="266" t="n"/>
      <c r="B34" s="285" t="inlineStr">
        <is>
          <t>Материалы</t>
        </is>
      </c>
      <c r="C34" s="350" t="n"/>
      <c r="D34" s="350" t="n"/>
      <c r="E34" s="350" t="n"/>
      <c r="F34" s="350" t="n"/>
      <c r="G34" s="350" t="n"/>
      <c r="H34" s="351" t="n"/>
      <c r="I34" s="211" t="n"/>
      <c r="J34" s="211" t="n"/>
    </row>
    <row r="35" ht="14.25" customFormat="1" customHeight="1" s="12">
      <c r="A35" s="266" t="n"/>
      <c r="B35" s="265" t="inlineStr">
        <is>
          <t>Основные материалы</t>
        </is>
      </c>
      <c r="C35" s="350" t="n"/>
      <c r="D35" s="350" t="n"/>
      <c r="E35" s="350" t="n"/>
      <c r="F35" s="350" t="n"/>
      <c r="G35" s="350" t="n"/>
      <c r="H35" s="351" t="n"/>
      <c r="I35" s="211" t="n"/>
      <c r="J35" s="211" t="n"/>
    </row>
    <row r="36" ht="63.75" customFormat="1" customHeight="1" s="12">
      <c r="A36" s="266" t="n">
        <v>8</v>
      </c>
      <c r="B36" s="192" t="inlineStr">
        <is>
          <t>21.1.01.01-0001</t>
        </is>
      </c>
      <c r="C36" s="26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6" s="266" t="inlineStr">
        <is>
          <t>1000 м</t>
        </is>
      </c>
      <c r="E36" s="192" t="n">
        <v>0.2</v>
      </c>
      <c r="F36" s="212" t="n">
        <v>45920.85</v>
      </c>
      <c r="G36" s="363">
        <f>ROUND(E36*F36,2)</f>
        <v/>
      </c>
      <c r="H36" s="269">
        <f>G36/$G$56</f>
        <v/>
      </c>
      <c r="I36" s="366">
        <f>ROUND(F36*'Прил. 10'!$D$13,2)</f>
        <v/>
      </c>
      <c r="J36" s="366">
        <f>ROUND(I36*E36,2)</f>
        <v/>
      </c>
    </row>
    <row r="37" ht="14.25" customFormat="1" customHeight="1" s="12">
      <c r="A37" s="272" t="n"/>
      <c r="B37" s="153" t="n"/>
      <c r="C37" s="276" t="inlineStr">
        <is>
          <t>Итого основные материалы</t>
        </is>
      </c>
      <c r="D37" s="277" t="n"/>
      <c r="E37" s="167" t="n"/>
      <c r="F37" s="273" t="n"/>
      <c r="G37" s="358">
        <f>SUM(G36:G36)</f>
        <v/>
      </c>
      <c r="H37" s="123">
        <f>G37/$G$56</f>
        <v/>
      </c>
      <c r="I37" s="367" t="n"/>
      <c r="J37" s="358">
        <f>SUM(J36:J36)</f>
        <v/>
      </c>
    </row>
    <row r="38" outlineLevel="1" ht="38.25" customFormat="1" customHeight="1" s="12">
      <c r="A38" s="272" t="n">
        <v>9</v>
      </c>
      <c r="B38" s="153" t="inlineStr">
        <is>
          <t>24.3.01.02-0002</t>
        </is>
      </c>
      <c r="C38" s="271" t="inlineStr">
        <is>
          <t>Трубы гибкие гофрированные из самозатухающего ПВХ легкие с протяжкой, диаметр 25 мм</t>
        </is>
      </c>
      <c r="D38" s="272" t="inlineStr">
        <is>
          <t>м</t>
        </is>
      </c>
      <c r="E38" s="153" t="n">
        <v>204</v>
      </c>
      <c r="F38" s="298" t="n">
        <v>3.43</v>
      </c>
      <c r="G38" s="358">
        <f>ROUND(E38*F38,2)</f>
        <v/>
      </c>
      <c r="H38" s="123">
        <f>G38/$G$56</f>
        <v/>
      </c>
      <c r="I38" s="368">
        <f>ROUND(F38*'Прил. 10'!$D$13,2)</f>
        <v/>
      </c>
      <c r="J38" s="368">
        <f>ROUND(I38*E38,2)</f>
        <v/>
      </c>
    </row>
    <row r="39" outlineLevel="1" ht="51" customFormat="1" customHeight="1" s="12">
      <c r="A39" s="272" t="n">
        <v>10</v>
      </c>
      <c r="B39" s="153" t="inlineStr">
        <is>
          <t>08.3.06.01-0003</t>
        </is>
      </c>
      <c r="C39" s="2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39" s="272" t="inlineStr">
        <is>
          <t>т</t>
        </is>
      </c>
      <c r="E39" s="153" t="n">
        <v>0.014</v>
      </c>
      <c r="F39" s="298" t="n">
        <v>6834.81</v>
      </c>
      <c r="G39" s="358">
        <f>ROUND(E39*F39,2)</f>
        <v/>
      </c>
      <c r="H39" s="179">
        <f>G39/$G$56</f>
        <v/>
      </c>
      <c r="I39" s="369">
        <f>ROUND(F39*'Прил. 10'!$D$13,2)</f>
        <v/>
      </c>
      <c r="J39" s="369">
        <f>ROUND(I39*E39,2)</f>
        <v/>
      </c>
    </row>
    <row r="40" outlineLevel="1" ht="14.25" customFormat="1" customHeight="1" s="12">
      <c r="A40" s="272" t="n">
        <v>11</v>
      </c>
      <c r="B40" s="153" t="inlineStr">
        <is>
          <t>07.2.07.13-0171</t>
        </is>
      </c>
      <c r="C40" s="271" t="inlineStr">
        <is>
          <t>Подкладки металлические</t>
        </is>
      </c>
      <c r="D40" s="272" t="inlineStr">
        <is>
          <t>кг</t>
        </is>
      </c>
      <c r="E40" s="153" t="n">
        <v>6</v>
      </c>
      <c r="F40" s="298" t="n">
        <v>12.6</v>
      </c>
      <c r="G40" s="358">
        <f>ROUND(E40*F40,2)</f>
        <v/>
      </c>
      <c r="H40" s="179">
        <f>G40/$G$56</f>
        <v/>
      </c>
      <c r="I40" s="369">
        <f>ROUND(F40*'Прил. 10'!$D$13,2)</f>
        <v/>
      </c>
      <c r="J40" s="369">
        <f>ROUND(I40*E40,2)</f>
        <v/>
      </c>
    </row>
    <row r="41" outlineLevel="1" ht="14.25" customFormat="1" customHeight="1" s="12">
      <c r="A41" s="272" t="n">
        <v>12</v>
      </c>
      <c r="B41" s="153" t="inlineStr">
        <is>
          <t>01.7.15.07-0152</t>
        </is>
      </c>
      <c r="C41" s="271" t="inlineStr">
        <is>
          <t>Дюбели с шурупом, размер 6х35 мм</t>
        </is>
      </c>
      <c r="D41" s="272" t="inlineStr">
        <is>
          <t>100 шт</t>
        </is>
      </c>
      <c r="E41" s="153" t="n">
        <v>3.5</v>
      </c>
      <c r="F41" s="298" t="n">
        <v>8</v>
      </c>
      <c r="G41" s="358">
        <f>ROUND(E41*F41,2)</f>
        <v/>
      </c>
      <c r="H41" s="179">
        <f>G41/$G$56</f>
        <v/>
      </c>
      <c r="I41" s="369">
        <f>ROUND(F41*'Прил. 10'!$D$13,2)</f>
        <v/>
      </c>
      <c r="J41" s="369">
        <f>ROUND(I41*E41,2)</f>
        <v/>
      </c>
    </row>
    <row r="42" outlineLevel="1" ht="38.25" customFormat="1" customHeight="1" s="12">
      <c r="A42" s="272" t="n">
        <v>13</v>
      </c>
      <c r="B42" s="153" t="inlineStr">
        <is>
          <t>01.7.06.05-0041</t>
        </is>
      </c>
      <c r="C42" s="271" t="inlineStr">
        <is>
          <t>Лента изоляционная прорезиненная односторонняя, ширина 20 мм, толщина 0,25-0,35 мм</t>
        </is>
      </c>
      <c r="D42" s="272" t="inlineStr">
        <is>
          <t>кг</t>
        </is>
      </c>
      <c r="E42" s="153" t="n">
        <v>0.32</v>
      </c>
      <c r="F42" s="298" t="n">
        <v>30.4</v>
      </c>
      <c r="G42" s="358">
        <f>ROUND(E42*F42,2)</f>
        <v/>
      </c>
      <c r="H42" s="179">
        <f>G42/$G$56</f>
        <v/>
      </c>
      <c r="I42" s="369">
        <f>ROUND(F42*'Прил. 10'!$D$13,2)</f>
        <v/>
      </c>
      <c r="J42" s="369">
        <f>ROUND(I42*E42,2)</f>
        <v/>
      </c>
    </row>
    <row r="43" outlineLevel="1" ht="25.5" customFormat="1" customHeight="1" s="12">
      <c r="A43" s="272" t="n">
        <v>14</v>
      </c>
      <c r="B43" s="153" t="inlineStr">
        <is>
          <t>999-9950</t>
        </is>
      </c>
      <c r="C43" s="271" t="inlineStr">
        <is>
          <t>Вспомогательные ненормируемые ресурсы (2% от Оплаты труда рабочих)</t>
        </is>
      </c>
      <c r="D43" s="272" t="inlineStr">
        <is>
          <t>руб</t>
        </is>
      </c>
      <c r="E43" s="153" t="n">
        <v>8.539999999999999</v>
      </c>
      <c r="F43" s="298" t="n">
        <v>1</v>
      </c>
      <c r="G43" s="358">
        <f>ROUND(E43*F43,2)</f>
        <v/>
      </c>
      <c r="H43" s="179">
        <f>G43/$G$56</f>
        <v/>
      </c>
      <c r="I43" s="369">
        <f>ROUND(F43*'Прил. 10'!$D$13,2)</f>
        <v/>
      </c>
      <c r="J43" s="369">
        <f>ROUND(I43*E43,2)</f>
        <v/>
      </c>
    </row>
    <row r="44" outlineLevel="1" ht="14.25" customFormat="1" customHeight="1" s="12">
      <c r="A44" s="272" t="n">
        <v>15</v>
      </c>
      <c r="B44" s="153" t="inlineStr">
        <is>
          <t>20.2.01.05-0001</t>
        </is>
      </c>
      <c r="C44" s="271" t="inlineStr">
        <is>
          <t>Гильзы кабельные медные ГМ 2,5</t>
        </is>
      </c>
      <c r="D44" s="272" t="inlineStr">
        <is>
          <t>100 шт</t>
        </is>
      </c>
      <c r="E44" s="153" t="n">
        <v>0.1</v>
      </c>
      <c r="F44" s="298" t="n">
        <v>66</v>
      </c>
      <c r="G44" s="358">
        <f>ROUND(E44*F44,2)</f>
        <v/>
      </c>
      <c r="H44" s="179">
        <f>G44/$G$56</f>
        <v/>
      </c>
      <c r="I44" s="369">
        <f>ROUND(F44*'Прил. 10'!$D$13,2)</f>
        <v/>
      </c>
      <c r="J44" s="369">
        <f>ROUND(I44*E44,2)</f>
        <v/>
      </c>
    </row>
    <row r="45" outlineLevel="1" ht="25.5" customFormat="1" customHeight="1" s="12">
      <c r="A45" s="272" t="n">
        <v>16</v>
      </c>
      <c r="B45" s="153" t="inlineStr">
        <is>
          <t>01.7.15.03-0034</t>
        </is>
      </c>
      <c r="C45" s="271" t="inlineStr">
        <is>
          <t>Болты с гайками и шайбами оцинкованные, диаметр 12 мм</t>
        </is>
      </c>
      <c r="D45" s="272" t="inlineStr">
        <is>
          <t>кг</t>
        </is>
      </c>
      <c r="E45" s="153" t="n">
        <v>0.2378</v>
      </c>
      <c r="F45" s="298" t="n">
        <v>25.76</v>
      </c>
      <c r="G45" s="358">
        <f>ROUND(E45*F45,2)</f>
        <v/>
      </c>
      <c r="H45" s="179">
        <f>G45/$G$56</f>
        <v/>
      </c>
      <c r="I45" s="369">
        <f>ROUND(F45*'Прил. 10'!$D$13,2)</f>
        <v/>
      </c>
      <c r="J45" s="369">
        <f>ROUND(I45*E45,2)</f>
        <v/>
      </c>
    </row>
    <row r="46" outlineLevel="1" ht="14.25" customFormat="1" customHeight="1" s="12">
      <c r="A46" s="272" t="n">
        <v>17</v>
      </c>
      <c r="B46" s="153" t="inlineStr">
        <is>
          <t>25.2.02.11-0041</t>
        </is>
      </c>
      <c r="C46" s="271" t="inlineStr">
        <is>
          <t>Рамка для надписей 55х15 мм</t>
        </is>
      </c>
      <c r="D46" s="272" t="inlineStr">
        <is>
          <t>шт</t>
        </is>
      </c>
      <c r="E46" s="153" t="n">
        <v>10</v>
      </c>
      <c r="F46" s="298" t="n">
        <v>0.27</v>
      </c>
      <c r="G46" s="358">
        <f>ROUND(E46*F46,2)</f>
        <v/>
      </c>
      <c r="H46" s="179">
        <f>G46/$G$56</f>
        <v/>
      </c>
      <c r="I46" s="369">
        <f>ROUND(F46*'Прил. 10'!$D$13,2)</f>
        <v/>
      </c>
      <c r="J46" s="369">
        <f>ROUND(I46*E46,2)</f>
        <v/>
      </c>
    </row>
    <row r="47" outlineLevel="1" ht="14.25" customFormat="1" customHeight="1" s="12">
      <c r="A47" s="272" t="n">
        <v>18</v>
      </c>
      <c r="B47" s="153" t="inlineStr">
        <is>
          <t>01.7.11.07-0032</t>
        </is>
      </c>
      <c r="C47" s="271" t="inlineStr">
        <is>
          <t>Электроды сварочные Э42, диаметр 4 мм</t>
        </is>
      </c>
      <c r="D47" s="272" t="inlineStr">
        <is>
          <t>т</t>
        </is>
      </c>
      <c r="E47" s="153" t="n">
        <v>0.00024</v>
      </c>
      <c r="F47" s="298" t="n">
        <v>10315.01</v>
      </c>
      <c r="G47" s="358">
        <f>ROUND(E47*F47,2)</f>
        <v/>
      </c>
      <c r="H47" s="179">
        <f>G47/$G$56</f>
        <v/>
      </c>
      <c r="I47" s="369">
        <f>ROUND(F47*'Прил. 10'!$D$13,2)</f>
        <v/>
      </c>
      <c r="J47" s="369">
        <f>ROUND(I47*E47,2)</f>
        <v/>
      </c>
    </row>
    <row r="48" outlineLevel="1" ht="14.25" customFormat="1" customHeight="1" s="12">
      <c r="A48" s="272" t="n">
        <v>19</v>
      </c>
      <c r="B48" s="153" t="inlineStr">
        <is>
          <t>20.2.02.01-0011</t>
        </is>
      </c>
      <c r="C48" s="271" t="inlineStr">
        <is>
          <t>Втулки, диаметр 17 мм</t>
        </is>
      </c>
      <c r="D48" s="272" t="inlineStr">
        <is>
          <t>1000 шт</t>
        </is>
      </c>
      <c r="E48" s="153" t="n">
        <v>0.0244</v>
      </c>
      <c r="F48" s="298" t="n">
        <v>75.40000000000001</v>
      </c>
      <c r="G48" s="358">
        <f>ROUND(E48*F48,2)</f>
        <v/>
      </c>
      <c r="H48" s="179">
        <f>G48/$G$56</f>
        <v/>
      </c>
      <c r="I48" s="369">
        <f>ROUND(F48*'Прил. 10'!$D$13,2)</f>
        <v/>
      </c>
      <c r="J48" s="369">
        <f>ROUND(I48*E48,2)</f>
        <v/>
      </c>
    </row>
    <row r="49" outlineLevel="1" ht="14.25" customFormat="1" customHeight="1" s="12">
      <c r="A49" s="272" t="n">
        <v>20</v>
      </c>
      <c r="B49" s="153" t="inlineStr">
        <is>
          <t>01.7.07.20-0002</t>
        </is>
      </c>
      <c r="C49" s="271" t="inlineStr">
        <is>
          <t>Тальк молотый, сорт I</t>
        </is>
      </c>
      <c r="D49" s="272" t="inlineStr">
        <is>
          <t>т</t>
        </is>
      </c>
      <c r="E49" s="153" t="n">
        <v>0.00086</v>
      </c>
      <c r="F49" s="298" t="n">
        <v>1820</v>
      </c>
      <c r="G49" s="358">
        <f>ROUND(E49*F49,2)</f>
        <v/>
      </c>
      <c r="H49" s="179">
        <f>G49/$G$56</f>
        <v/>
      </c>
      <c r="I49" s="369">
        <f>ROUND(F49*'Прил. 10'!$D$13,2)</f>
        <v/>
      </c>
      <c r="J49" s="369">
        <f>ROUND(I49*E49,2)</f>
        <v/>
      </c>
    </row>
    <row r="50" outlineLevel="1" ht="14.25" customFormat="1" customHeight="1" s="12">
      <c r="A50" s="272" t="n">
        <v>21</v>
      </c>
      <c r="B50" s="153" t="inlineStr">
        <is>
          <t>14.4.02.09-0001</t>
        </is>
      </c>
      <c r="C50" s="271" t="inlineStr">
        <is>
          <t>Краска</t>
        </is>
      </c>
      <c r="D50" s="272" t="inlineStr">
        <is>
          <t>кг</t>
        </is>
      </c>
      <c r="E50" s="153" t="n">
        <v>0.04</v>
      </c>
      <c r="F50" s="298" t="n">
        <v>28.6</v>
      </c>
      <c r="G50" s="358">
        <f>ROUND(E50*F50,2)</f>
        <v/>
      </c>
      <c r="H50" s="179">
        <f>G50/$G$56</f>
        <v/>
      </c>
      <c r="I50" s="369">
        <f>ROUND(F50*'Прил. 10'!$D$13,2)</f>
        <v/>
      </c>
      <c r="J50" s="369">
        <f>ROUND(I50*E50,2)</f>
        <v/>
      </c>
    </row>
    <row r="51" outlineLevel="1" ht="14.25" customFormat="1" customHeight="1" s="12">
      <c r="A51" s="272" t="n">
        <v>22</v>
      </c>
      <c r="B51" s="153" t="inlineStr">
        <is>
          <t>14.4.04.09-0017</t>
        </is>
      </c>
      <c r="C51" s="271" t="inlineStr">
        <is>
          <t>Эмаль ХВ-124, защитная, зеленая</t>
        </is>
      </c>
      <c r="D51" s="272" t="inlineStr">
        <is>
          <t>т</t>
        </is>
      </c>
      <c r="E51" s="153" t="n">
        <v>2e-05</v>
      </c>
      <c r="F51" s="298" t="n">
        <v>28300.4</v>
      </c>
      <c r="G51" s="358">
        <f>ROUND(E51*F51,2)</f>
        <v/>
      </c>
      <c r="H51" s="179">
        <f>G51/$G$56</f>
        <v/>
      </c>
      <c r="I51" s="369">
        <f>ROUND(F51*'Прил. 10'!$D$13,2)</f>
        <v/>
      </c>
      <c r="J51" s="369">
        <f>ROUND(I51*E51,2)</f>
        <v/>
      </c>
    </row>
    <row r="52" outlineLevel="1" ht="14.25" customFormat="1" customHeight="1" s="12">
      <c r="A52" s="272" t="n">
        <v>23</v>
      </c>
      <c r="B52" s="153" t="inlineStr">
        <is>
          <t>14.4.01.01-0003</t>
        </is>
      </c>
      <c r="C52" s="271" t="inlineStr">
        <is>
          <t>Грунтовка ГФ-021</t>
        </is>
      </c>
      <c r="D52" s="272" t="inlineStr">
        <is>
          <t>т</t>
        </is>
      </c>
      <c r="E52" s="153" t="n">
        <v>1e-05</v>
      </c>
      <c r="F52" s="298" t="n">
        <v>15620</v>
      </c>
      <c r="G52" s="358">
        <f>ROUND(E52*F52,2)</f>
        <v/>
      </c>
      <c r="H52" s="179">
        <f>G52/$G$56</f>
        <v/>
      </c>
      <c r="I52" s="369">
        <f>ROUND(F52*'Прил. 10'!$D$13,2)</f>
        <v/>
      </c>
      <c r="J52" s="369">
        <f>ROUND(I52*E52,2)</f>
        <v/>
      </c>
    </row>
    <row r="53" outlineLevel="1" ht="14.25" customFormat="1" customHeight="1" s="12">
      <c r="A53" s="272" t="n">
        <v>24</v>
      </c>
      <c r="B53" s="153" t="inlineStr">
        <is>
          <t>14.5.09.07-0030</t>
        </is>
      </c>
      <c r="C53" s="271" t="inlineStr">
        <is>
          <t>Растворитель Р-4</t>
        </is>
      </c>
      <c r="D53" s="272" t="inlineStr">
        <is>
          <t>кг</t>
        </is>
      </c>
      <c r="E53" s="153" t="n">
        <v>0.01</v>
      </c>
      <c r="F53" s="298" t="n">
        <v>9.42</v>
      </c>
      <c r="G53" s="358">
        <f>ROUND(E53*F53,2)</f>
        <v/>
      </c>
      <c r="H53" s="179">
        <f>G53/$G$56</f>
        <v/>
      </c>
      <c r="I53" s="369">
        <f>ROUND(F53*'Прил. 10'!$D$13,2)</f>
        <v/>
      </c>
      <c r="J53" s="369">
        <f>ROUND(I53*E53,2)</f>
        <v/>
      </c>
    </row>
    <row r="54" outlineLevel="1" ht="14.25" customFormat="1" customHeight="1" s="12">
      <c r="A54" s="272" t="n">
        <v>25</v>
      </c>
      <c r="B54" s="153" t="inlineStr">
        <is>
          <t>14.5.09.11-0102</t>
        </is>
      </c>
      <c r="C54" s="271" t="inlineStr">
        <is>
          <t>Уайт-спирит</t>
        </is>
      </c>
      <c r="D54" s="272" t="inlineStr">
        <is>
          <t>кг</t>
        </is>
      </c>
      <c r="E54" s="153" t="n">
        <v>0.01</v>
      </c>
      <c r="F54" s="298" t="n">
        <v>6.67</v>
      </c>
      <c r="G54" s="358">
        <f>ROUND(E54*F54,2)</f>
        <v/>
      </c>
      <c r="H54" s="179">
        <f>G54/$G$56</f>
        <v/>
      </c>
      <c r="I54" s="369">
        <f>ROUND(F54*'Прил. 10'!$D$13,2)</f>
        <v/>
      </c>
      <c r="J54" s="369">
        <f>ROUND(I54*E54,2)</f>
        <v/>
      </c>
    </row>
    <row r="55" ht="14.25" customFormat="1" customHeight="1" s="12">
      <c r="A55" s="272" t="n"/>
      <c r="B55" s="272" t="n"/>
      <c r="C55" s="161" t="inlineStr">
        <is>
          <t>Итого прочие материалы</t>
        </is>
      </c>
      <c r="D55" s="293" t="n"/>
      <c r="E55" s="157" t="n"/>
      <c r="F55" s="162" t="n"/>
      <c r="G55" s="361">
        <f>SUM(G38:G54)</f>
        <v/>
      </c>
      <c r="H55" s="179">
        <f>G55/$G$56</f>
        <v/>
      </c>
      <c r="I55" s="361" t="n"/>
      <c r="J55" s="361">
        <f>SUM(J38:J54)</f>
        <v/>
      </c>
    </row>
    <row r="56" ht="14.25" customFormat="1" customHeight="1" s="12">
      <c r="A56" s="272" t="n"/>
      <c r="B56" s="272" t="n"/>
      <c r="C56" s="270" t="inlineStr">
        <is>
          <t>Итого по разделу «Материалы»</t>
        </is>
      </c>
      <c r="D56" s="272" t="n"/>
      <c r="E56" s="273" t="n"/>
      <c r="F56" s="274" t="n"/>
      <c r="G56" s="358">
        <f>G37+G55</f>
        <v/>
      </c>
      <c r="H56" s="123">
        <f>H37+H55</f>
        <v/>
      </c>
      <c r="I56" s="358" t="n"/>
      <c r="J56" s="358">
        <f>J37+J55</f>
        <v/>
      </c>
    </row>
    <row r="57" ht="14.25" customFormat="1" customHeight="1" s="12">
      <c r="A57" s="272" t="n"/>
      <c r="B57" s="272" t="n"/>
      <c r="C57" s="271" t="inlineStr">
        <is>
          <t>ИТОГО ПО РМ</t>
        </is>
      </c>
      <c r="D57" s="272" t="n"/>
      <c r="E57" s="273" t="n"/>
      <c r="F57" s="274" t="n"/>
      <c r="G57" s="358">
        <f>G15+G26+G56</f>
        <v/>
      </c>
      <c r="H57" s="370" t="n"/>
      <c r="I57" s="358" t="n"/>
      <c r="J57" s="358">
        <f>J15+J26+J56</f>
        <v/>
      </c>
    </row>
    <row r="58" ht="14.25" customFormat="1" customHeight="1" s="12">
      <c r="A58" s="272" t="n"/>
      <c r="B58" s="272" t="n"/>
      <c r="C58" s="271" t="inlineStr">
        <is>
          <t>Накладные расходы</t>
        </is>
      </c>
      <c r="D58" s="121">
        <f>ROUND(G58/(G$17+$G$15),2)</f>
        <v/>
      </c>
      <c r="E58" s="273" t="n"/>
      <c r="F58" s="274" t="n"/>
      <c r="G58" s="358" t="n">
        <v>411.97</v>
      </c>
      <c r="H58" s="370" t="n"/>
      <c r="I58" s="358" t="n"/>
      <c r="J58" s="358">
        <f>ROUND(D58*(J15+J17),2)</f>
        <v/>
      </c>
      <c r="L58" s="165" t="n"/>
    </row>
    <row r="59" ht="14.25" customFormat="1" customHeight="1" s="12">
      <c r="A59" s="272" t="n"/>
      <c r="B59" s="272" t="n"/>
      <c r="C59" s="271" t="inlineStr">
        <is>
          <t>Сметная прибыль</t>
        </is>
      </c>
      <c r="D59" s="121">
        <f>ROUND(G59/(G$15+G$17),2)</f>
        <v/>
      </c>
      <c r="E59" s="273" t="n"/>
      <c r="F59" s="274" t="n"/>
      <c r="G59" s="358" t="n">
        <v>215.74</v>
      </c>
      <c r="H59" s="370" t="n"/>
      <c r="I59" s="358" t="n"/>
      <c r="J59" s="358">
        <f>ROUND(D59*(J15+J17),2)</f>
        <v/>
      </c>
      <c r="L59" s="165" t="n"/>
    </row>
    <row r="60" ht="14.25" customFormat="1" customHeight="1" s="12">
      <c r="A60" s="272" t="n"/>
      <c r="B60" s="272" t="n"/>
      <c r="C60" s="271" t="inlineStr">
        <is>
          <t>Итого СМР (с НР и СП)</t>
        </is>
      </c>
      <c r="D60" s="272" t="n"/>
      <c r="E60" s="273" t="n"/>
      <c r="F60" s="274" t="n"/>
      <c r="G60" s="358">
        <f>ROUND((G15+G26+G56+G58+G59),2)</f>
        <v/>
      </c>
      <c r="H60" s="370" t="n"/>
      <c r="I60" s="358" t="n"/>
      <c r="J60" s="358">
        <f>ROUND((J15+J26+J56+J58+J59),2)</f>
        <v/>
      </c>
    </row>
    <row r="61" ht="14.25" customFormat="1" customHeight="1" s="12">
      <c r="A61" s="272" t="n"/>
      <c r="B61" s="272" t="n"/>
      <c r="C61" s="271" t="inlineStr">
        <is>
          <t>ВСЕГО СМР + ОБОРУДОВАНИЕ</t>
        </is>
      </c>
      <c r="D61" s="272" t="n"/>
      <c r="E61" s="273" t="n"/>
      <c r="F61" s="274" t="n"/>
      <c r="G61" s="358">
        <f>G60+G32</f>
        <v/>
      </c>
      <c r="H61" s="370" t="n"/>
      <c r="I61" s="358" t="n"/>
      <c r="J61" s="358">
        <f>J60+J32</f>
        <v/>
      </c>
    </row>
    <row r="62" ht="34.5" customFormat="1" customHeight="1" s="12">
      <c r="A62" s="272" t="n"/>
      <c r="B62" s="272" t="n"/>
      <c r="C62" s="271" t="inlineStr">
        <is>
          <t>ИТОГО ПОКАЗАТЕЛЬ НА ЕД. ИЗМ.</t>
        </is>
      </c>
      <c r="D62" s="272" t="inlineStr">
        <is>
          <t>1 ед.</t>
        </is>
      </c>
      <c r="E62" s="273" t="n">
        <v>1</v>
      </c>
      <c r="F62" s="274" t="n"/>
      <c r="G62" s="358">
        <f>G61/E62</f>
        <v/>
      </c>
      <c r="H62" s="370" t="n"/>
      <c r="I62" s="358" t="n"/>
      <c r="J62" s="358">
        <f>J61/E62</f>
        <v/>
      </c>
    </row>
    <row r="64" ht="14.25" customFormat="1" customHeight="1" s="12">
      <c r="A64" s="4" t="inlineStr">
        <is>
          <t>Составил ______________________     Д.А. Самуйленко</t>
        </is>
      </c>
    </row>
    <row r="65" ht="14.25" customFormat="1" customHeight="1" s="12">
      <c r="A65" s="27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2" manualBreakCount="2">
    <brk id="33" min="0" max="9" man="1"/>
    <brk id="60" min="0" max="9" man="1"/>
  </rowBreaks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4" t="inlineStr">
        <is>
          <t>Приложение №6</t>
        </is>
      </c>
    </row>
    <row r="2" ht="21.75" customHeight="1">
      <c r="A2" s="294" t="n"/>
      <c r="B2" s="294" t="n"/>
      <c r="C2" s="294" t="n"/>
      <c r="D2" s="294" t="n"/>
      <c r="E2" s="294" t="n"/>
      <c r="F2" s="294" t="n"/>
      <c r="G2" s="294" t="n"/>
    </row>
    <row r="3">
      <c r="A3" s="237" t="inlineStr">
        <is>
          <t>Расчет стоимости оборудования</t>
        </is>
      </c>
    </row>
    <row r="4">
      <c r="A4" s="240" t="inlineStr">
        <is>
          <t>Наименование разрабатываемого показателя УНЦ — Шкаф серверного оборудования основной типа ШСО 1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9" t="inlineStr">
        <is>
          <t>№ пп.</t>
        </is>
      </c>
      <c r="B6" s="299" t="inlineStr">
        <is>
          <t>Код ресурса</t>
        </is>
      </c>
      <c r="C6" s="299" t="inlineStr">
        <is>
          <t>Наименование</t>
        </is>
      </c>
      <c r="D6" s="299" t="inlineStr">
        <is>
          <t>Ед. изм.</t>
        </is>
      </c>
      <c r="E6" s="272" t="inlineStr">
        <is>
          <t>Кол-во единиц по проектным данным</t>
        </is>
      </c>
      <c r="F6" s="299" t="inlineStr">
        <is>
          <t>Сметная стоимость в ценах на 01.01.2000 (руб.)</t>
        </is>
      </c>
      <c r="G6" s="351" t="n"/>
    </row>
    <row r="7">
      <c r="A7" s="353" t="n"/>
      <c r="B7" s="353" t="n"/>
      <c r="C7" s="353" t="n"/>
      <c r="D7" s="353" t="n"/>
      <c r="E7" s="353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>
      <c r="A9" s="99" t="n"/>
      <c r="B9" s="271" t="inlineStr">
        <is>
          <t>ИНЖЕНЕРНОЕ ОБОРУДОВАНИЕ</t>
        </is>
      </c>
      <c r="C9" s="350" t="n"/>
      <c r="D9" s="350" t="n"/>
      <c r="E9" s="350" t="n"/>
      <c r="F9" s="350" t="n"/>
      <c r="G9" s="351" t="n"/>
    </row>
    <row r="10" ht="27" customHeight="1">
      <c r="A10" s="272" t="n"/>
      <c r="B10" s="270" t="n"/>
      <c r="C10" s="271" t="inlineStr">
        <is>
          <t>ИТОГО ИНЖЕНЕРНОЕ ОБОРУДОВАНИЕ</t>
        </is>
      </c>
      <c r="D10" s="270" t="n"/>
      <c r="E10" s="100" t="n"/>
      <c r="F10" s="274" t="n"/>
      <c r="G10" s="274" t="n">
        <v>0</v>
      </c>
    </row>
    <row r="11">
      <c r="A11" s="272" t="n"/>
      <c r="B11" s="271" t="inlineStr">
        <is>
          <t>ТЕХНОЛОГИЧЕСКОЕ ОБОРУДОВАНИЕ</t>
        </is>
      </c>
      <c r="C11" s="350" t="n"/>
      <c r="D11" s="350" t="n"/>
      <c r="E11" s="350" t="n"/>
      <c r="F11" s="350" t="n"/>
      <c r="G11" s="351" t="n"/>
    </row>
    <row r="12" ht="25.5" customHeight="1">
      <c r="A12" s="272" t="n">
        <v>1</v>
      </c>
      <c r="B12" s="272">
        <f>'Прил.5 Расчет СМР и ОБ'!B29</f>
        <v/>
      </c>
      <c r="C12" s="271">
        <f>'Прил.5 Расчет СМР и ОБ'!C29</f>
        <v/>
      </c>
      <c r="D12" s="273">
        <f>'Прил.5 Расчет СМР и ОБ'!D29</f>
        <v/>
      </c>
      <c r="E12" s="273">
        <f>'Прил.5 Расчет СМР и ОБ'!E29</f>
        <v/>
      </c>
      <c r="F12" s="274">
        <f>'Прил.5 Расчет СМР и ОБ'!F29</f>
        <v/>
      </c>
      <c r="G12" s="274">
        <f>'Прил.5 Расчет СМР и ОБ'!G29</f>
        <v/>
      </c>
    </row>
    <row r="13" ht="25.5" customHeight="1">
      <c r="A13" s="272" t="n"/>
      <c r="B13" s="271" t="n"/>
      <c r="C13" s="271" t="inlineStr">
        <is>
          <t>ИТОГО ТЕХНОЛОГИЧЕСКОЕ ОБОРУДОВАНИЕ</t>
        </is>
      </c>
      <c r="D13" s="271" t="n"/>
      <c r="E13" s="298" t="n"/>
      <c r="F13" s="274" t="n"/>
      <c r="G13" s="26">
        <f>SUM(G12)</f>
        <v/>
      </c>
    </row>
    <row r="14" ht="19.5" customHeight="1">
      <c r="A14" s="272" t="n"/>
      <c r="B14" s="271" t="n"/>
      <c r="C14" s="271" t="inlineStr">
        <is>
          <t>Всего по разделу «Оборудование»</t>
        </is>
      </c>
      <c r="D14" s="271" t="n"/>
      <c r="E14" s="298" t="n"/>
      <c r="F14" s="274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4" t="inlineStr">
        <is>
          <t>Приложение №7</t>
        </is>
      </c>
    </row>
    <row r="2">
      <c r="A2" s="294" t="n"/>
      <c r="B2" s="294" t="n"/>
      <c r="C2" s="294" t="n"/>
      <c r="D2" s="294" t="n"/>
    </row>
    <row r="3" ht="24.75" customHeight="1">
      <c r="A3" s="237" t="inlineStr">
        <is>
          <t>Расчет показателя УНЦ</t>
        </is>
      </c>
    </row>
    <row r="4" ht="24.75" customHeight="1">
      <c r="A4" s="237" t="n"/>
      <c r="B4" s="237" t="n"/>
      <c r="C4" s="237" t="n"/>
      <c r="D4" s="237" t="n"/>
    </row>
    <row r="5" ht="38.25" customHeight="1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9.9" customHeight="1">
      <c r="A6" s="240" t="inlineStr">
        <is>
          <t>Единица измерения  — 1 ед</t>
        </is>
      </c>
      <c r="D6" s="240" t="n"/>
    </row>
    <row r="7">
      <c r="A7" s="4" t="n"/>
      <c r="B7" s="4" t="n"/>
      <c r="C7" s="4" t="n"/>
      <c r="D7" s="4" t="n"/>
    </row>
    <row r="8" ht="14.45" customHeight="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>
      <c r="A9" s="353" t="n"/>
      <c r="B9" s="353" t="n"/>
      <c r="C9" s="353" t="n"/>
      <c r="D9" s="353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>
      <c r="A11" s="272" t="inlineStr">
        <is>
          <t>А5-02</t>
        </is>
      </c>
      <c r="B11" s="272" t="inlineStr">
        <is>
          <t xml:space="preserve">УНЦ систем АСУТП и ТМ </t>
        </is>
      </c>
      <c r="C11" s="142">
        <f>D5</f>
        <v/>
      </c>
      <c r="D11" s="3">
        <f>'Прил.4 РМ'!C41/1000</f>
        <v/>
      </c>
      <c r="E11" s="141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6" zoomScale="115" zoomScaleNormal="70" zoomScaleSheetLayoutView="11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44" t="inlineStr">
        <is>
          <t>Приложение № 10</t>
        </is>
      </c>
    </row>
    <row r="5" ht="18.75" customHeight="1">
      <c r="B5" s="112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300" t="n"/>
    </row>
    <row r="8">
      <c r="B8" s="300" t="n"/>
      <c r="C8" s="300" t="n"/>
      <c r="D8" s="300" t="n"/>
      <c r="E8" s="300" t="n"/>
    </row>
    <row r="9" ht="47.25" customHeight="1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>
      <c r="B10" s="250" t="n">
        <v>1</v>
      </c>
      <c r="C10" s="250" t="n">
        <v>2</v>
      </c>
      <c r="D10" s="250" t="n">
        <v>3</v>
      </c>
    </row>
    <row r="11" ht="45" customHeight="1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29.25" customHeight="1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0.75" customHeight="1">
      <c r="B14" s="25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0" t="n">
        <v>6.26</v>
      </c>
    </row>
    <row r="15" ht="89.25" customHeight="1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>
      <c r="B17" s="250" t="n"/>
      <c r="C17" s="250" t="n"/>
      <c r="D17" s="115" t="n"/>
    </row>
    <row r="18" ht="31.5" customHeight="1">
      <c r="B18" s="250" t="inlineStr">
        <is>
          <t>Строительный контроль</t>
        </is>
      </c>
      <c r="C18" s="250" t="inlineStr">
        <is>
          <t>Постановление Правительства РФ от 21.06.10 г. № 468</t>
        </is>
      </c>
      <c r="D18" s="115" t="n">
        <v>0.0214</v>
      </c>
    </row>
    <row r="19" ht="31.5" customHeight="1">
      <c r="B19" s="250" t="inlineStr">
        <is>
          <t>Авторский надзор - 0,2%</t>
        </is>
      </c>
      <c r="C19" s="250" t="inlineStr">
        <is>
          <t>Приказ от 4.08.2020 № 421/пр п.173</t>
        </is>
      </c>
      <c r="D19" s="115" t="n">
        <v>0.002</v>
      </c>
    </row>
    <row r="20" ht="31.5" customHeight="1">
      <c r="B20" s="250" t="inlineStr">
        <is>
          <t>Непредвиденные расходы</t>
        </is>
      </c>
      <c r="C20" s="250" t="inlineStr">
        <is>
          <t>Приказ от 4.08.2020 № 421/пр п.179</t>
        </is>
      </c>
      <c r="D20" s="115" t="n">
        <v>0.03</v>
      </c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4" ht="18.75" customHeight="1">
      <c r="B24" s="113" t="n"/>
    </row>
    <row r="27">
      <c r="B27" s="4" t="inlineStr">
        <is>
          <t>Составил ______________________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27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27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55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0" t="n"/>
      <c r="D10" s="250" t="n"/>
      <c r="E10" s="371" t="n">
        <v>3.6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72" t="n">
        <v>1.278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217" t="inlineStr">
        <is>
          <t>1.6</t>
        </is>
      </c>
      <c r="B12" s="257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73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2025-01-24T11:52:32Z</dcterms:modified>
  <cp:lastModifiedBy>Dmitry Petrakov</cp:lastModifiedBy>
  <cp:lastPrinted>2023-11-30T18:20:26Z</cp:lastPrinted>
</cp:coreProperties>
</file>