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Plan">#REF!</definedName>
    <definedName name="l">#REF!</definedName>
    <definedName name="language">#REF!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5">{"","однаz","двеz","триz","четыреz","пятьz","шестьz","семьz","восемьz","девятьz"}</definedName>
    <definedName name="n0">"000000000000,00"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ПФ_АУП">#REF!</definedName>
    <definedName name="НПФ_ПЭЭ">#REF!</definedName>
    <definedName name="НПФ_ТП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нование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3'!$7:$9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'ФОТр.тек.'!$A$1:$F$23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#,##0.0"/>
    <numFmt numFmtId="169" formatCode="#,##0.000"/>
    <numFmt numFmtId="170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00"/>
      <sz val="11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9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2" fontId="16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 wrapText="1"/>
    </xf>
    <xf numFmtId="2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/>
    </xf>
    <xf numFmtId="0" fontId="21" fillId="4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0" applyAlignment="1" pivotButton="0" quotePrefix="0" xfId="0">
      <alignment horizontal="center"/>
    </xf>
    <xf numFmtId="10" fontId="16" fillId="0" borderId="0" pivotButton="0" quotePrefix="0" xfId="0"/>
    <xf numFmtId="0" fontId="16" fillId="0" borderId="4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wrapText="1"/>
    </xf>
    <xf numFmtId="0" fontId="1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vertical="top"/>
    </xf>
    <xf numFmtId="0" fontId="1" fillId="4" borderId="0" applyAlignment="1" pivotButton="0" quotePrefix="0" xfId="0">
      <alignment horizontal="center" vertical="top" wrapText="1"/>
    </xf>
    <xf numFmtId="0" fontId="1" fillId="4" borderId="0" applyAlignment="1" pivotButton="0" quotePrefix="0" xfId="0">
      <alignment vertical="top" wrapText="1"/>
    </xf>
    <xf numFmtId="4" fontId="1" fillId="0" borderId="0" applyAlignment="1" pivotButton="0" quotePrefix="0" xfId="0">
      <alignment vertical="top"/>
    </xf>
    <xf numFmtId="166" fontId="1" fillId="4" borderId="1" applyAlignment="1" pivotButton="0" quotePrefix="0" xfId="0">
      <alignment horizont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right" vertical="center"/>
    </xf>
    <xf numFmtId="49" fontId="16" fillId="0" borderId="0" applyAlignment="1" pivotButton="0" quotePrefix="0" xfId="0">
      <alignment vertical="center"/>
    </xf>
    <xf numFmtId="2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center"/>
    </xf>
    <xf numFmtId="2" fontId="16" fillId="0" borderId="0" applyAlignment="1" pivotButton="0" quotePrefix="0" xfId="0">
      <alignment horizontal="right" vertical="center" wrapText="1"/>
    </xf>
    <xf numFmtId="2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2" fontId="16" fillId="0" borderId="0" applyAlignment="1" pivotButton="0" quotePrefix="0" xfId="0">
      <alignment vertical="center" wrapText="1"/>
    </xf>
    <xf numFmtId="167" fontId="16" fillId="0" borderId="0" pivotButton="0" quotePrefix="0" xfId="0"/>
    <xf numFmtId="10" fontId="19" fillId="0" borderId="0" pivotButton="0" quotePrefix="0" xfId="0"/>
    <xf numFmtId="10" fontId="18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16" fillId="0" borderId="10" applyAlignment="1" pivotButton="0" quotePrefix="0" xfId="0">
      <alignment vertical="center" wrapText="1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9" fillId="0" borderId="10" applyAlignment="1" pivotButton="0" quotePrefix="0" xfId="0">
      <alignment vertical="center" wrapText="1"/>
    </xf>
    <xf numFmtId="4" fontId="19" fillId="0" borderId="10" applyAlignment="1" pivotButton="0" quotePrefix="0" xfId="0">
      <alignment horizontal="center" vertical="center"/>
    </xf>
    <xf numFmtId="4" fontId="16" fillId="0" borderId="5" applyAlignment="1" pivotButton="0" quotePrefix="0" xfId="0">
      <alignment horizontal="center" vertical="center" wrapText="1"/>
    </xf>
    <xf numFmtId="0" fontId="16" fillId="0" borderId="10" pivotButton="0" quotePrefix="0" xfId="0"/>
    <xf numFmtId="0" fontId="16" fillId="0" borderId="10" applyAlignment="1" pivotButton="0" quotePrefix="0" xfId="0">
      <alignment horizontal="center" vertical="top" wrapText="1"/>
    </xf>
    <xf numFmtId="0" fontId="2" fillId="0" borderId="10" applyAlignment="1" pivotButton="0" quotePrefix="0" xfId="0">
      <alignment vertical="top"/>
    </xf>
    <xf numFmtId="0" fontId="1" fillId="0" borderId="10" applyAlignment="1" pivotButton="0" quotePrefix="0" xfId="0">
      <alignment vertical="top"/>
    </xf>
    <xf numFmtId="0" fontId="1" fillId="0" borderId="10" applyAlignment="1" pivotButton="0" quotePrefix="0" xfId="0">
      <alignment vertical="top" wrapText="1"/>
    </xf>
    <xf numFmtId="4" fontId="2" fillId="0" borderId="10" applyAlignment="1" pivotButton="0" quotePrefix="0" xfId="0">
      <alignment vertical="top"/>
    </xf>
    <xf numFmtId="0" fontId="1" fillId="0" borderId="10" applyAlignment="1" pivotButton="0" quotePrefix="0" xfId="0">
      <alignment horizontal="center" vertical="top"/>
    </xf>
    <xf numFmtId="14" fontId="1" fillId="0" borderId="10" applyAlignment="1" pivotButton="0" quotePrefix="0" xfId="0">
      <alignment vertical="top"/>
    </xf>
    <xf numFmtId="49" fontId="1" fillId="0" borderId="10" applyAlignment="1" pivotButton="0" quotePrefix="0" xfId="0">
      <alignment horizontal="center" vertical="center" wrapText="1"/>
    </xf>
    <xf numFmtId="0" fontId="1" fillId="4" borderId="10" applyAlignment="1" pivotButton="0" quotePrefix="0" xfId="0">
      <alignment wrapText="1"/>
    </xf>
    <xf numFmtId="0" fontId="1" fillId="4" borderId="10" applyAlignment="1" pivotButton="0" quotePrefix="0" xfId="0">
      <alignment horizontal="center" wrapText="1"/>
    </xf>
    <xf numFmtId="4" fontId="1" fillId="0" borderId="10" applyAlignment="1" pivotButton="0" quotePrefix="0" xfId="0">
      <alignment vertical="top"/>
    </xf>
    <xf numFmtId="0" fontId="2" fillId="0" borderId="10" applyAlignment="1" pivotButton="0" quotePrefix="0" xfId="0">
      <alignment vertical="top"/>
    </xf>
    <xf numFmtId="0" fontId="1" fillId="0" borderId="10" applyAlignment="1" pivotButton="0" quotePrefix="0" xfId="0">
      <alignment vertical="top"/>
    </xf>
    <xf numFmtId="0" fontId="1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vertical="top" wrapText="1"/>
    </xf>
    <xf numFmtId="0" fontId="1" fillId="4" borderId="10" applyAlignment="1" pivotButton="0" quotePrefix="0" xfId="0">
      <alignment horizontal="center" vertical="top" wrapText="1"/>
    </xf>
    <xf numFmtId="0" fontId="1" fillId="4" borderId="10" applyAlignment="1" pivotButton="0" quotePrefix="0" xfId="0">
      <alignment vertical="top" wrapText="1"/>
    </xf>
    <xf numFmtId="0" fontId="2" fillId="0" borderId="10" applyAlignment="1" pivotButton="0" quotePrefix="0" xfId="0">
      <alignment horizontal="left" vertical="top"/>
    </xf>
    <xf numFmtId="1" fontId="1" fillId="0" borderId="10" applyAlignment="1" pivotButton="0" quotePrefix="0" xfId="0">
      <alignment horizontal="center" vertical="top" wrapText="1"/>
    </xf>
    <xf numFmtId="0" fontId="2" fillId="0" borderId="10" applyAlignment="1" pivotButton="0" quotePrefix="0" xfId="0">
      <alignment horizontal="left" vertical="center" wrapText="1"/>
    </xf>
    <xf numFmtId="4" fontId="1" fillId="0" borderId="10" applyAlignment="1" pivotButton="0" quotePrefix="0" xfId="0">
      <alignment vertical="top" wrapText="1"/>
    </xf>
    <xf numFmtId="0" fontId="1" fillId="0" borderId="10" applyAlignment="1" pivotButton="0" quotePrefix="0" xfId="0">
      <alignment vertical="center" wrapText="1"/>
    </xf>
    <xf numFmtId="4" fontId="1" fillId="0" borderId="10" applyAlignment="1" pivotButton="0" quotePrefix="0" xfId="0">
      <alignment vertical="center" wrapText="1"/>
    </xf>
    <xf numFmtId="10" fontId="1" fillId="0" borderId="10" applyAlignment="1" pivotButton="0" quotePrefix="0" xfId="0">
      <alignment vertical="center"/>
    </xf>
    <xf numFmtId="10" fontId="1" fillId="0" borderId="10" applyAlignment="1" pivotButton="0" quotePrefix="0" xfId="0">
      <alignment horizontal="right" vertical="center"/>
    </xf>
    <xf numFmtId="4" fontId="1" fillId="0" borderId="10" applyAlignment="1" pivotButton="0" quotePrefix="0" xfId="0">
      <alignment horizontal="right" vertical="center"/>
    </xf>
    <xf numFmtId="4" fontId="1" fillId="4" borderId="10" applyAlignment="1" pivotButton="0" quotePrefix="0" xfId="0">
      <alignment horizontal="right" vertical="center"/>
    </xf>
    <xf numFmtId="0" fontId="1" fillId="4" borderId="10" applyAlignment="1" pivotButton="0" quotePrefix="0" xfId="0">
      <alignment horizontal="center" vertical="center" wrapText="1"/>
    </xf>
    <xf numFmtId="0" fontId="1" fillId="4" borderId="10" applyAlignment="1" pivotButton="0" quotePrefix="0" xfId="0">
      <alignment vertical="center" wrapText="1"/>
    </xf>
    <xf numFmtId="166" fontId="1" fillId="4" borderId="10" applyAlignment="1" pivotButton="0" quotePrefix="0" xfId="0">
      <alignment horizontal="center" vertical="center" wrapText="1"/>
    </xf>
    <xf numFmtId="4" fontId="1" fillId="0" borderId="10" applyAlignment="1" pivotButton="0" quotePrefix="0" xfId="0">
      <alignment vertical="center"/>
    </xf>
    <xf numFmtId="10" fontId="1" fillId="0" borderId="10" applyAlignment="1" pivotButton="0" quotePrefix="0" xfId="0">
      <alignment horizontal="right" vertical="center" wrapText="1"/>
    </xf>
    <xf numFmtId="4" fontId="1" fillId="0" borderId="10" applyAlignment="1" pivotButton="0" quotePrefix="0" xfId="0">
      <alignment horizontal="right" vertical="center" wrapText="1"/>
    </xf>
    <xf numFmtId="0" fontId="1" fillId="0" borderId="10" applyAlignment="1" pivotButton="0" quotePrefix="0" xfId="0">
      <alignment horizontal="left" vertical="center" wrapText="1"/>
    </xf>
    <xf numFmtId="166" fontId="1" fillId="0" borderId="10" applyAlignment="1" pivotButton="0" quotePrefix="0" xfId="0">
      <alignment horizontal="center" vertical="center" wrapText="1"/>
    </xf>
    <xf numFmtId="2" fontId="1" fillId="0" borderId="10" applyAlignment="1" pivotButton="0" quotePrefix="0" xfId="0">
      <alignment horizontal="center" vertical="center" wrapText="1"/>
    </xf>
    <xf numFmtId="2" fontId="1" fillId="0" borderId="10" applyAlignment="1" pivotButton="0" quotePrefix="0" xfId="0">
      <alignment horizontal="right" vertical="center" wrapText="1"/>
    </xf>
    <xf numFmtId="10" fontId="20" fillId="0" borderId="10" applyAlignment="1" pivotButton="0" quotePrefix="0" xfId="0">
      <alignment horizontal="center" vertical="center" wrapText="1"/>
    </xf>
    <xf numFmtId="170" fontId="1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vertical="center"/>
    </xf>
    <xf numFmtId="0" fontId="2" fillId="0" borderId="10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center" vertical="center" wrapText="1"/>
    </xf>
    <xf numFmtId="2" fontId="2" fillId="0" borderId="10" applyAlignment="1" pivotButton="0" quotePrefix="0" xfId="0">
      <alignment horizontal="center" vertical="center" wrapText="1"/>
    </xf>
    <xf numFmtId="2" fontId="2" fillId="0" borderId="10" applyAlignment="1" pivotButton="0" quotePrefix="0" xfId="0">
      <alignment horizontal="right" vertical="center" wrapText="1"/>
    </xf>
    <xf numFmtId="10" fontId="2" fillId="0" borderId="10" applyAlignment="1" pivotButton="0" quotePrefix="0" xfId="0">
      <alignment horizontal="right" vertical="center" wrapText="1"/>
    </xf>
    <xf numFmtId="0" fontId="4" fillId="0" borderId="10" applyAlignment="1" pivotButton="0" quotePrefix="0" xfId="0">
      <alignment vertical="center"/>
    </xf>
    <xf numFmtId="0" fontId="1" fillId="0" borderId="10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center" vertical="center" wrapText="1"/>
    </xf>
    <xf numFmtId="2" fontId="1" fillId="0" borderId="10" applyAlignment="1" pivotButton="0" quotePrefix="0" xfId="0">
      <alignment horizontal="center" vertical="center" wrapText="1"/>
    </xf>
    <xf numFmtId="2" fontId="1" fillId="0" borderId="10" applyAlignment="1" pivotButton="0" quotePrefix="0" xfId="0">
      <alignment horizontal="right" vertical="center" wrapText="1"/>
    </xf>
    <xf numFmtId="10" fontId="1" fillId="0" borderId="10" applyAlignment="1" pivotButton="0" quotePrefix="0" xfId="0">
      <alignment horizontal="right" vertical="center" wrapText="1"/>
    </xf>
    <xf numFmtId="0" fontId="1" fillId="4" borderId="10" applyAlignment="1" pivotButton="0" quotePrefix="0" xfId="0">
      <alignment horizontal="left" vertical="center" wrapText="1"/>
    </xf>
    <xf numFmtId="165" fontId="1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6" pivotButton="0" quotePrefix="0" xfId="0"/>
    <xf numFmtId="0" fontId="0" fillId="0" borderId="4" pivotButton="0" quotePrefix="0" xfId="0"/>
    <xf numFmtId="0" fontId="0" fillId="0" borderId="17" pivotButton="0" quotePrefix="0" xfId="0"/>
    <xf numFmtId="0" fontId="0" fillId="0" borderId="20" pivotButton="0" quotePrefix="0" xfId="0"/>
    <xf numFmtId="0" fontId="0" fillId="0" borderId="16" pivotButton="0" quotePrefix="0" xfId="0"/>
    <xf numFmtId="167" fontId="16" fillId="0" borderId="0" pivotButton="0" quotePrefix="0" xfId="0"/>
    <xf numFmtId="43" fontId="0" fillId="0" borderId="0" pivotButton="0" quotePrefix="0" xfId="0"/>
    <xf numFmtId="166" fontId="1" fillId="4" borderId="1" applyAlignment="1" pivotButton="0" quotePrefix="0" xfId="0">
      <alignment horizont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0" applyAlignment="1" pivotButton="0" quotePrefix="0" xfId="0">
      <alignment horizontal="center" vertical="center" wrapText="1"/>
    </xf>
    <xf numFmtId="166" fontId="1" fillId="0" borderId="10" applyAlignment="1" pivotButton="0" quotePrefix="0" xfId="0">
      <alignment horizontal="center" vertical="center" wrapText="1"/>
    </xf>
    <xf numFmtId="165" fontId="1" fillId="0" borderId="10" applyAlignment="1" pivotButton="0" quotePrefix="0" xfId="0">
      <alignment horizontal="center" vertical="center" wrapText="1"/>
    </xf>
    <xf numFmtId="170" fontId="1" fillId="0" borderId="10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F32"/>
  <sheetViews>
    <sheetView view="pageBreakPreview" topLeftCell="A13" zoomScale="80" zoomScaleNormal="55" workbookViewId="0">
      <selection activeCell="E25" sqref="E25"/>
    </sheetView>
  </sheetViews>
  <sheetFormatPr baseColWidth="8" defaultColWidth="9.140625" defaultRowHeight="15.75"/>
  <cols>
    <col width="9.140625" customWidth="1" style="125" min="1" max="2"/>
    <col width="36.85546875" customWidth="1" style="125" min="3" max="3"/>
    <col width="36.5703125" customWidth="1" style="125" min="4" max="5"/>
    <col width="37.42578125" customWidth="1" style="125" min="6" max="6"/>
    <col width="9.140625" customWidth="1" style="125" min="7" max="7"/>
  </cols>
  <sheetData>
    <row r="3">
      <c r="B3" s="199" t="inlineStr">
        <is>
          <t>Приложение № 1</t>
        </is>
      </c>
    </row>
    <row r="4">
      <c r="B4" s="200" t="inlineStr">
        <is>
          <t>Сравнительная таблица отбора объекта-представителя</t>
        </is>
      </c>
    </row>
    <row r="5">
      <c r="B5" s="135" t="n"/>
      <c r="C5" s="135" t="n"/>
      <c r="D5" s="135" t="n"/>
      <c r="E5" s="135" t="n"/>
    </row>
    <row r="6">
      <c r="B6" s="135" t="n"/>
      <c r="C6" s="135" t="n"/>
      <c r="D6" s="135" t="n"/>
      <c r="E6" s="135" t="n"/>
    </row>
    <row r="7" ht="39.6" customHeight="1">
      <c r="B7" s="201" t="inlineStr">
        <is>
          <t>Наименование разрабатываемого показателя УНЦ —АРМ персонала АСУТП (РЗА)</t>
        </is>
      </c>
      <c r="F7" s="134" t="n"/>
    </row>
    <row r="8" ht="31.5" customHeight="1">
      <c r="B8" s="201" t="inlineStr">
        <is>
          <t>Сопоставимый уровень цен:  4 кв 2019г.</t>
        </is>
      </c>
    </row>
    <row r="9">
      <c r="B9" s="201" t="inlineStr">
        <is>
          <t>Единица измерения  — 1 ед</t>
        </is>
      </c>
      <c r="F9" s="134" t="n"/>
    </row>
    <row r="10">
      <c r="B10" s="201" t="n"/>
    </row>
    <row r="11">
      <c r="B11" s="204" t="inlineStr">
        <is>
          <t>№ п/п</t>
        </is>
      </c>
      <c r="C11" s="204" t="inlineStr">
        <is>
          <t>Параметр</t>
        </is>
      </c>
      <c r="D11" s="129" t="inlineStr">
        <is>
          <t>Объект-представитель 1</t>
        </is>
      </c>
      <c r="E11" s="129" t="inlineStr">
        <is>
          <t>Объект-представитель 2</t>
        </is>
      </c>
      <c r="F11" s="134" t="n"/>
    </row>
    <row r="12" ht="138.6" customHeight="1">
      <c r="B12" s="204" t="n">
        <v>1</v>
      </c>
      <c r="C12" s="129" t="inlineStr">
        <is>
          <t>Наименование объекта-представителя</t>
        </is>
      </c>
      <c r="D12" s="168" t="inlineStr">
        <is>
          <t>ПС 500 кВ Преображенская с заходами ВЛ 500 кВ Красноармейская - Газовая и ВЛ 220 кВ Бузулукская - Сорочинская (501 МВА, 5,69 км)</t>
        </is>
      </c>
      <c r="E12" s="168" t="inlineStr">
        <is>
          <t>Строительство ПС 330 кВ Мурманская с заходами ВЛ 330 кВ. Корректировка -2</t>
        </is>
      </c>
    </row>
    <row r="13" ht="31.5" customHeight="1">
      <c r="B13" s="204" t="n">
        <v>2</v>
      </c>
      <c r="C13" s="129" t="inlineStr">
        <is>
          <t>Наименование субъекта Российской Федерации</t>
        </is>
      </c>
      <c r="D13" s="168" t="inlineStr">
        <is>
          <t>Оренбургская область</t>
        </is>
      </c>
      <c r="E13" s="168" t="inlineStr">
        <is>
          <t>Мурманская область</t>
        </is>
      </c>
    </row>
    <row r="14">
      <c r="B14" s="204" t="n">
        <v>3</v>
      </c>
      <c r="C14" s="129" t="inlineStr">
        <is>
          <t>Климатический район и подрайон</t>
        </is>
      </c>
      <c r="D14" s="169" t="inlineStr">
        <is>
          <t>IIIa</t>
        </is>
      </c>
      <c r="E14" s="169" t="inlineStr">
        <is>
          <t>IIА</t>
        </is>
      </c>
    </row>
    <row r="15">
      <c r="B15" s="204" t="n">
        <v>4</v>
      </c>
      <c r="C15" s="129" t="inlineStr">
        <is>
          <t>Мощность объекта</t>
        </is>
      </c>
      <c r="D15" s="204" t="n">
        <v>1</v>
      </c>
      <c r="E15" s="204" t="n">
        <v>2</v>
      </c>
    </row>
    <row r="16" ht="102" customHeight="1">
      <c r="B16" s="204" t="n">
        <v>5</v>
      </c>
      <c r="C16" s="1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4" t="inlineStr">
        <is>
          <t>АРМ ОП - 1 комплект</t>
        </is>
      </c>
      <c r="E16" s="204" t="inlineStr">
        <is>
          <t>АРМ ОП - 2 комплекта</t>
        </is>
      </c>
    </row>
    <row r="17" ht="78.75" customHeight="1">
      <c r="B17" s="204" t="n">
        <v>6</v>
      </c>
      <c r="C17" s="1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6">
        <f>SUM(D18:D21)</f>
        <v/>
      </c>
      <c r="E17" s="146">
        <f>SUM(E18:E21)</f>
        <v/>
      </c>
      <c r="F17" s="130" t="n"/>
    </row>
    <row r="18">
      <c r="B18" s="133" t="inlineStr">
        <is>
          <t>6.1</t>
        </is>
      </c>
      <c r="C18" s="129" t="inlineStr">
        <is>
          <t>строительно-монтажные работы</t>
        </is>
      </c>
      <c r="D18" s="146">
        <f>'Прил.2 Расч стоим'!G15</f>
        <v/>
      </c>
      <c r="E18" s="146" t="n">
        <v>15.32</v>
      </c>
    </row>
    <row r="19" ht="15.75" customHeight="1">
      <c r="B19" s="133" t="inlineStr">
        <is>
          <t>6.2</t>
        </is>
      </c>
      <c r="C19" s="129" t="inlineStr">
        <is>
          <t>оборудование и инвентарь</t>
        </is>
      </c>
      <c r="D19" s="146">
        <f>'Прил.2 Расч стоим'!H15</f>
        <v/>
      </c>
      <c r="E19" s="146" t="n">
        <v>1894.96</v>
      </c>
    </row>
    <row r="20" ht="16.5" customHeight="1">
      <c r="B20" s="133" t="inlineStr">
        <is>
          <t>6.3</t>
        </is>
      </c>
      <c r="C20" s="129" t="inlineStr">
        <is>
          <t>пусконаладочные работы</t>
        </is>
      </c>
      <c r="D20" s="146" t="n">
        <v>0</v>
      </c>
      <c r="E20" s="146" t="n">
        <v>0</v>
      </c>
    </row>
    <row r="21" ht="35.25" customHeight="1">
      <c r="B21" s="133" t="inlineStr">
        <is>
          <t>6.4</t>
        </is>
      </c>
      <c r="C21" s="132" t="inlineStr">
        <is>
          <t>прочие и лимитированные затраты</t>
        </is>
      </c>
      <c r="D21" s="146">
        <f>D18*3.9%+(D18+D18*3.9%)*3.2%</f>
        <v/>
      </c>
      <c r="E21" s="146">
        <f>E18*3.9%+(E18+E18*3.9%)*3.84%</f>
        <v/>
      </c>
    </row>
    <row r="22">
      <c r="B22" s="204" t="n">
        <v>7</v>
      </c>
      <c r="C22" s="132" t="inlineStr">
        <is>
          <t>Сопоставимый уровень цен</t>
        </is>
      </c>
      <c r="D22" s="204" t="inlineStr">
        <is>
          <t>4 кв.2019г.</t>
        </is>
      </c>
      <c r="E22" s="204" t="inlineStr">
        <is>
          <t>4 кв.2019г.</t>
        </is>
      </c>
      <c r="F22" s="130" t="n"/>
    </row>
    <row r="23" ht="123" customHeight="1">
      <c r="B23" s="204" t="n">
        <v>8</v>
      </c>
      <c r="C23" s="1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6">
        <f>'Прил.1 Сравнит табл'!D19</f>
        <v/>
      </c>
      <c r="E23" s="146">
        <f>E17</f>
        <v/>
      </c>
    </row>
    <row r="24" ht="60.75" customHeight="1">
      <c r="B24" s="204" t="n">
        <v>9</v>
      </c>
      <c r="C24" s="112" t="inlineStr">
        <is>
          <t>Приведенная сметная стоимость на единицу мощности, тыс. руб. (строка 8/строку 4)</t>
        </is>
      </c>
      <c r="D24" s="146" t="n">
        <v>332.313192</v>
      </c>
      <c r="E24" s="290">
        <f>E23/E15</f>
        <v/>
      </c>
      <c r="F24" s="130" t="n"/>
    </row>
    <row r="25" ht="126" customHeight="1">
      <c r="B25" s="204" t="n">
        <v>10</v>
      </c>
      <c r="C25" s="129" t="inlineStr">
        <is>
          <t>Примечание</t>
        </is>
      </c>
      <c r="D25" s="132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ед</t>
        </is>
      </c>
      <c r="E25" s="291" t="n"/>
    </row>
    <row r="26">
      <c r="B26" s="206" t="n"/>
      <c r="C26" s="127" t="n"/>
      <c r="D26" s="127" t="n"/>
      <c r="E26" s="127" t="n"/>
    </row>
    <row r="27" ht="37.5" customHeight="1">
      <c r="B27" s="126" t="n"/>
    </row>
    <row r="28">
      <c r="B28" s="125" t="inlineStr">
        <is>
          <t>Составил ______________________        А.Р. Маркова</t>
        </is>
      </c>
    </row>
    <row r="29">
      <c r="B29" s="126" t="inlineStr">
        <is>
          <t xml:space="preserve">                         (подпись, инициалы, фамилия)</t>
        </is>
      </c>
    </row>
    <row r="31">
      <c r="B31" s="125" t="inlineStr">
        <is>
          <t>Проверил ______________________        А.В. Костянецкая</t>
        </is>
      </c>
    </row>
    <row r="32">
      <c r="B32" s="126" t="inlineStr">
        <is>
          <t xml:space="preserve">                        (подпись, инициалы, фамилия)</t>
        </is>
      </c>
    </row>
  </sheetData>
  <mergeCells count="5">
    <mergeCell ref="B9:E9"/>
    <mergeCell ref="B8:E8"/>
    <mergeCell ref="B4:E4"/>
    <mergeCell ref="B7:E7"/>
    <mergeCell ref="B3:E3"/>
  </mergeCells>
  <pageMargins left="0.7" right="0.7" top="0.75" bottom="0.75" header="0.3" footer="0.3"/>
  <pageSetup orientation="portrait" paperSize="9" scale="67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L54"/>
  <sheetViews>
    <sheetView view="pageBreakPreview" topLeftCell="A7" zoomScale="70" zoomScaleNormal="70" workbookViewId="0">
      <selection activeCell="C26" sqref="C26"/>
    </sheetView>
  </sheetViews>
  <sheetFormatPr baseColWidth="8" defaultColWidth="9.140625" defaultRowHeight="15.75"/>
  <cols>
    <col width="5.5703125" customWidth="1" style="125" min="1" max="1"/>
    <col width="9.140625" customWidth="1" style="125" min="2" max="2"/>
    <col width="35.28515625" customWidth="1" style="125" min="3" max="3"/>
    <col width="13.85546875" customWidth="1" style="125" min="4" max="4"/>
    <col width="24.85546875" customWidth="1" style="125" min="5" max="5"/>
    <col width="15.5703125" customWidth="1" style="125" min="6" max="6"/>
    <col width="14.85546875" customWidth="1" style="125" min="7" max="7"/>
    <col width="16.7109375" customWidth="1" style="125" min="8" max="8"/>
    <col width="13" customWidth="1" style="125" min="9" max="10"/>
    <col width="18" customWidth="1" style="125" min="11" max="11"/>
    <col width="9.140625" customWidth="1" style="125" min="12" max="12"/>
  </cols>
  <sheetData>
    <row r="3">
      <c r="B3" s="199" t="inlineStr">
        <is>
          <t>Приложение № 2</t>
        </is>
      </c>
      <c r="K3" s="126" t="n"/>
    </row>
    <row r="4">
      <c r="B4" s="200" t="inlineStr">
        <is>
          <t>Расчет стоимости основных видов работ для выбора объекта-представителя</t>
        </is>
      </c>
    </row>
    <row r="5">
      <c r="B5" s="135" t="n"/>
      <c r="C5" s="135" t="n"/>
      <c r="D5" s="135" t="n"/>
      <c r="E5" s="135" t="n"/>
      <c r="F5" s="135" t="n"/>
      <c r="G5" s="135" t="n"/>
      <c r="H5" s="135" t="n"/>
      <c r="I5" s="135" t="n"/>
      <c r="J5" s="135" t="n"/>
      <c r="K5" s="135" t="n"/>
    </row>
    <row r="6" ht="34.15" customHeight="1">
      <c r="B6" s="202" t="inlineStr">
        <is>
          <t>Наименование разрабатываемого показателя УНЦ —  АРМ персонала АСУТП (РЗА)</t>
        </is>
      </c>
      <c r="K6" s="126" t="n"/>
      <c r="L6" s="134" t="n"/>
    </row>
    <row r="7">
      <c r="B7" s="201" t="inlineStr">
        <is>
          <t>Единица измерения  —  1 ед</t>
        </is>
      </c>
      <c r="L7" s="134" t="n"/>
    </row>
    <row r="8">
      <c r="B8" s="201" t="n"/>
    </row>
    <row r="9">
      <c r="B9" s="201" t="n"/>
    </row>
    <row r="10">
      <c r="B10" s="204" t="inlineStr">
        <is>
          <t>№ п/п</t>
        </is>
      </c>
      <c r="C10" s="20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0" s="204" t="inlineStr">
        <is>
          <t>Объект-представитель 2</t>
        </is>
      </c>
      <c r="E10" s="348" t="n"/>
      <c r="F10" s="348" t="n"/>
      <c r="G10" s="348" t="n"/>
      <c r="H10" s="348" t="n"/>
      <c r="I10" s="348" t="n"/>
      <c r="J10" s="349" t="n"/>
    </row>
    <row r="11" ht="15.75" customHeight="1">
      <c r="B11" s="350" t="n"/>
      <c r="C11" s="350" t="n"/>
      <c r="D11" s="204" t="inlineStr">
        <is>
          <t>Номер сметы</t>
        </is>
      </c>
      <c r="E11" s="204" t="inlineStr">
        <is>
          <t>Наименование сметы</t>
        </is>
      </c>
      <c r="F11" s="204" t="inlineStr">
        <is>
          <t>Сметная стоимость в уровне цен 4 кв. 2016 г., тыс. руб.</t>
        </is>
      </c>
      <c r="G11" s="348" t="n"/>
      <c r="H11" s="348" t="n"/>
      <c r="I11" s="348" t="n"/>
      <c r="J11" s="349" t="n"/>
    </row>
    <row r="12" ht="31.5" customHeight="1">
      <c r="B12" s="351" t="n"/>
      <c r="C12" s="351" t="n"/>
      <c r="D12" s="351" t="n"/>
      <c r="E12" s="351" t="n"/>
      <c r="F12" s="204" t="inlineStr">
        <is>
          <t>Строительные работы</t>
        </is>
      </c>
      <c r="G12" s="204" t="inlineStr">
        <is>
          <t>Монтажные работы</t>
        </is>
      </c>
      <c r="H12" s="204" t="inlineStr">
        <is>
          <t>Оборудование</t>
        </is>
      </c>
      <c r="I12" s="204" t="inlineStr">
        <is>
          <t>Прочее</t>
        </is>
      </c>
      <c r="J12" s="204" t="inlineStr">
        <is>
          <t>Всего</t>
        </is>
      </c>
    </row>
    <row r="13" ht="163.15" customHeight="1">
      <c r="B13" s="162" t="n">
        <v>1</v>
      </c>
      <c r="C13" s="163" t="inlineStr">
        <is>
          <t>АРМ ОП - 1 комплект</t>
        </is>
      </c>
      <c r="D13" s="145" t="inlineStr">
        <is>
          <t>02-08-01-2</t>
        </is>
      </c>
      <c r="E13" s="129" t="inlineStr">
        <is>
          <t xml:space="preserve">АСУ ТП на ПС 500 кВ Преображенская. 2 этап </t>
        </is>
      </c>
      <c r="F13" s="141" t="n"/>
      <c r="G13" s="141" t="n">
        <v>24.61437</v>
      </c>
      <c r="H13" s="141" t="n">
        <v>246.15792</v>
      </c>
      <c r="I13" s="138" t="n"/>
      <c r="J13" s="143">
        <f>SUM(F13:I13)</f>
        <v/>
      </c>
    </row>
    <row r="14">
      <c r="B14" s="203" t="inlineStr">
        <is>
          <t>Всего по объекту:</t>
        </is>
      </c>
      <c r="C14" s="348" t="n"/>
      <c r="D14" s="348" t="n"/>
      <c r="E14" s="349" t="n"/>
      <c r="F14" s="142" t="n"/>
      <c r="G14" s="142">
        <f>SUM(G13:G13)</f>
        <v/>
      </c>
      <c r="H14" s="142">
        <f>SUM(H13:H13)</f>
        <v/>
      </c>
      <c r="I14" s="137" t="n"/>
      <c r="J14" s="144">
        <f>SUM(F14:I14)</f>
        <v/>
      </c>
    </row>
    <row r="15" ht="28.5" customHeight="1">
      <c r="B15" s="203" t="inlineStr">
        <is>
          <t>Всего по объекту в сопоставимом уровне цен 4 кв. 2016 г:</t>
        </is>
      </c>
      <c r="C15" s="348" t="n"/>
      <c r="D15" s="348" t="n"/>
      <c r="E15" s="349" t="n"/>
      <c r="F15" s="142" t="n"/>
      <c r="G15" s="142">
        <f>G14</f>
        <v/>
      </c>
      <c r="H15" s="142">
        <f>H14</f>
        <v/>
      </c>
      <c r="I15" s="137" t="n"/>
      <c r="J15" s="144">
        <f>SUM(F15:I15)</f>
        <v/>
      </c>
    </row>
    <row r="17">
      <c r="B17" s="204" t="inlineStr">
        <is>
          <t>№ п/п</t>
        </is>
      </c>
      <c r="C17" s="20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7" s="204" t="inlineStr">
        <is>
          <t>Объект-представитель 2</t>
        </is>
      </c>
      <c r="E17" s="348" t="n"/>
      <c r="F17" s="348" t="n"/>
      <c r="G17" s="348" t="n"/>
      <c r="H17" s="348" t="n"/>
      <c r="I17" s="348" t="n"/>
      <c r="J17" s="349" t="n"/>
    </row>
    <row r="18" ht="15.75" customHeight="1">
      <c r="B18" s="350" t="n"/>
      <c r="C18" s="350" t="n"/>
      <c r="D18" s="204" t="inlineStr">
        <is>
          <t>Номер сметы</t>
        </is>
      </c>
      <c r="E18" s="204" t="inlineStr">
        <is>
          <t>Наименование сметы</t>
        </is>
      </c>
      <c r="F18" s="204" t="inlineStr">
        <is>
          <t>Сметная стоимость в уровне цен 4 кв. 2019 г., тыс. руб.</t>
        </is>
      </c>
      <c r="G18" s="348" t="n"/>
      <c r="H18" s="348" t="n"/>
      <c r="I18" s="348" t="n"/>
      <c r="J18" s="349" t="n"/>
    </row>
    <row r="19" ht="31.5" customHeight="1">
      <c r="B19" s="351" t="n"/>
      <c r="C19" s="351" t="n"/>
      <c r="D19" s="351" t="n"/>
      <c r="E19" s="351" t="n"/>
      <c r="F19" s="204" t="inlineStr">
        <is>
          <t>Строительные работы</t>
        </is>
      </c>
      <c r="G19" s="204" t="inlineStr">
        <is>
          <t>Монтажные работы</t>
        </is>
      </c>
      <c r="H19" s="204" t="inlineStr">
        <is>
          <t>Оборудование</t>
        </is>
      </c>
      <c r="I19" s="204" t="inlineStr">
        <is>
          <t>Прочее</t>
        </is>
      </c>
      <c r="J19" s="204" t="inlineStr">
        <is>
          <t>Всего</t>
        </is>
      </c>
    </row>
    <row r="20" ht="163.15" customHeight="1">
      <c r="B20" s="162" t="n">
        <v>1</v>
      </c>
      <c r="C20" s="163" t="inlineStr">
        <is>
          <t>АРМ ОП - 2 комплекта</t>
        </is>
      </c>
      <c r="D20" s="145" t="inlineStr">
        <is>
          <t>02-08-02</t>
        </is>
      </c>
      <c r="E20" s="129" t="inlineStr">
        <is>
          <t xml:space="preserve"> ПС 330 кВ. Мурманская. АСУ ТП.  </t>
        </is>
      </c>
      <c r="F20" s="141" t="n"/>
      <c r="G20" s="141" t="n">
        <v>15.31984</v>
      </c>
      <c r="H20" s="141" t="n">
        <v>1894.96408</v>
      </c>
      <c r="I20" s="138" t="n"/>
      <c r="J20" s="143">
        <f>SUM(F20:I20)</f>
        <v/>
      </c>
    </row>
    <row r="21">
      <c r="B21" s="203" t="inlineStr">
        <is>
          <t>Всего по объекту:</t>
        </is>
      </c>
      <c r="C21" s="348" t="n"/>
      <c r="D21" s="348" t="n"/>
      <c r="E21" s="349" t="n"/>
      <c r="F21" s="142" t="n"/>
      <c r="G21" s="142">
        <f>SUM(G20:G20)</f>
        <v/>
      </c>
      <c r="H21" s="142">
        <f>SUM(H20:H20)</f>
        <v/>
      </c>
      <c r="I21" s="137" t="n"/>
      <c r="J21" s="144">
        <f>SUM(F21:I21)</f>
        <v/>
      </c>
    </row>
    <row r="22" ht="28.5" customHeight="1">
      <c r="B22" s="203" t="inlineStr">
        <is>
          <t>Всего по объекту в сопоставимом уровне цен 4 кв. 2019 г:</t>
        </is>
      </c>
      <c r="C22" s="348" t="n"/>
      <c r="D22" s="348" t="n"/>
      <c r="E22" s="349" t="n"/>
      <c r="F22" s="142" t="n"/>
      <c r="G22" s="142">
        <f>G21</f>
        <v/>
      </c>
      <c r="H22" s="142">
        <f>H21</f>
        <v/>
      </c>
      <c r="I22" s="137" t="n"/>
      <c r="J22" s="144">
        <f>SUM(F22:I22)</f>
        <v/>
      </c>
    </row>
    <row r="24">
      <c r="B24" s="220" t="inlineStr">
        <is>
          <t>*</t>
        </is>
      </c>
      <c r="C24" s="125" t="inlineStr">
        <is>
          <t xml:space="preserve"> - стоимость с учетом исключения затрат на корректровку по транспортировке  свыше 30 км.</t>
        </is>
      </c>
    </row>
    <row r="26">
      <c r="B26" s="125" t="inlineStr">
        <is>
          <t>Составил ______________________        А.Р. Маркова</t>
        </is>
      </c>
    </row>
    <row r="27">
      <c r="B27" s="126" t="inlineStr">
        <is>
          <t xml:space="preserve">                         (подпись, инициалы, фамилия)</t>
        </is>
      </c>
    </row>
    <row r="29">
      <c r="B29" s="125" t="inlineStr">
        <is>
          <t>Проверил ______________________        А.В. Костянецкая</t>
        </is>
      </c>
    </row>
    <row r="30">
      <c r="B30" s="126" t="inlineStr">
        <is>
          <t xml:space="preserve">                        (подпись, инициалы, фамилия)</t>
        </is>
      </c>
    </row>
    <row r="49">
      <c r="B49" s="206" t="n"/>
      <c r="C49" s="206" t="n"/>
      <c r="D49" s="206" t="n"/>
    </row>
    <row r="50">
      <c r="D50" s="206" t="n"/>
      <c r="E50" s="206" t="n"/>
      <c r="F50" s="206" t="n"/>
    </row>
    <row r="51">
      <c r="F51" s="206" t="n"/>
      <c r="G51" s="206" t="n"/>
      <c r="H51" s="206" t="n"/>
      <c r="I51" s="206" t="n"/>
      <c r="J51" s="206" t="n"/>
    </row>
    <row r="52" ht="244.5" customHeight="1">
      <c r="B52" s="126" t="n"/>
      <c r="C52" s="127" t="n"/>
      <c r="D52" s="180" t="n"/>
      <c r="E52" s="127" t="n"/>
      <c r="F52" s="181" t="n"/>
      <c r="G52" s="199" t="n"/>
      <c r="H52" s="199" t="n"/>
      <c r="I52" s="199" t="n"/>
      <c r="J52" s="183" t="n"/>
    </row>
    <row r="53">
      <c r="B53" s="205" t="n"/>
      <c r="F53" s="184" t="n"/>
      <c r="G53" s="185" t="n"/>
      <c r="H53" s="185" t="n"/>
      <c r="I53" s="185" t="n"/>
      <c r="J53" s="186" t="n"/>
    </row>
    <row r="54" ht="28.5" customHeight="1">
      <c r="B54" s="205" t="n"/>
      <c r="F54" s="184" t="n"/>
      <c r="G54" s="185" t="n"/>
      <c r="H54" s="185" t="n"/>
      <c r="I54" s="185" t="n"/>
      <c r="J54" s="186" t="n"/>
    </row>
  </sheetData>
  <mergeCells count="28">
    <mergeCell ref="F11:J11"/>
    <mergeCell ref="B49:B51"/>
    <mergeCell ref="C17:C19"/>
    <mergeCell ref="B15:E15"/>
    <mergeCell ref="D11:D12"/>
    <mergeCell ref="B4:K4"/>
    <mergeCell ref="B54:E54"/>
    <mergeCell ref="F18:J18"/>
    <mergeCell ref="B7:K7"/>
    <mergeCell ref="D10:J10"/>
    <mergeCell ref="E11:E12"/>
    <mergeCell ref="F50:J50"/>
    <mergeCell ref="B6:J6"/>
    <mergeCell ref="C49:C51"/>
    <mergeCell ref="B22:E22"/>
    <mergeCell ref="D18:D19"/>
    <mergeCell ref="B21:E21"/>
    <mergeCell ref="E50:E51"/>
    <mergeCell ref="C10:C12"/>
    <mergeCell ref="D49:J49"/>
    <mergeCell ref="B14:E14"/>
    <mergeCell ref="B17:B19"/>
    <mergeCell ref="B3:J3"/>
    <mergeCell ref="B53:E53"/>
    <mergeCell ref="D17:J17"/>
    <mergeCell ref="B10:B12"/>
    <mergeCell ref="E18:E19"/>
    <mergeCell ref="D50:D5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52"/>
  <sheetViews>
    <sheetView tabSelected="1" view="pageBreakPreview" zoomScaleSheetLayoutView="100" workbookViewId="0">
      <selection activeCell="A7" sqref="A7:H9"/>
    </sheetView>
  </sheetViews>
  <sheetFormatPr baseColWidth="8" defaultColWidth="9.140625" defaultRowHeight="15.75"/>
  <cols>
    <col width="9.140625" customWidth="1" style="166" min="1" max="1"/>
    <col width="12.5703125" customWidth="1" style="125" min="2" max="2"/>
    <col width="22.42578125" customWidth="1" style="135" min="3" max="3"/>
    <col width="49.7109375" customWidth="1" style="164" min="4" max="4"/>
    <col width="10.140625" customWidth="1" style="165" min="5" max="5"/>
    <col width="20.7109375" customWidth="1" style="164" min="6" max="6"/>
    <col width="16.140625" customWidth="1" style="164" min="7" max="7"/>
    <col width="16.7109375" customWidth="1" style="125" min="8" max="8"/>
    <col width="9.140625" customWidth="1" style="125" min="9" max="13"/>
    <col width="11.28515625" customWidth="1" style="125" min="14" max="14"/>
    <col width="9.140625" customWidth="1" style="125" min="15" max="15"/>
  </cols>
  <sheetData>
    <row r="2">
      <c r="A2" s="199" t="inlineStr">
        <is>
          <t xml:space="preserve">Приложение № 3 </t>
        </is>
      </c>
    </row>
    <row r="3">
      <c r="A3" s="200" t="inlineStr">
        <is>
          <t>Объектная ресурсная ведомость</t>
        </is>
      </c>
    </row>
    <row r="4">
      <c r="A4" s="135" t="n"/>
    </row>
    <row r="5" ht="30.6" customHeight="1">
      <c r="A5" s="202" t="inlineStr">
        <is>
          <t>Наименование разрабатываемого показателя УНЦ - АРМ персонала АСУТП (РЗА)</t>
        </is>
      </c>
    </row>
    <row r="6">
      <c r="A6" s="135" t="n"/>
      <c r="B6" s="139" t="n"/>
      <c r="D6" s="165" t="n"/>
      <c r="F6" s="165" t="n"/>
      <c r="G6" s="165" t="n"/>
      <c r="H6" s="139" t="n"/>
    </row>
    <row r="7" ht="38.25" customHeight="1">
      <c r="A7" s="346" t="inlineStr">
        <is>
          <t>п/п</t>
        </is>
      </c>
      <c r="B7" s="346" t="inlineStr">
        <is>
          <t>№ЛСР</t>
        </is>
      </c>
      <c r="C7" s="346" t="inlineStr">
        <is>
          <t>Код ресурса</t>
        </is>
      </c>
      <c r="D7" s="346" t="inlineStr">
        <is>
          <t>Наименование ресурса</t>
        </is>
      </c>
      <c r="E7" s="347" t="inlineStr">
        <is>
          <t>Ед. изм.</t>
        </is>
      </c>
      <c r="F7" s="346" t="inlineStr">
        <is>
          <t>Кол-во единиц по данным объекта-представителя</t>
        </is>
      </c>
      <c r="G7" s="346" t="inlineStr">
        <is>
          <t>Сметная стоимость в ценах на 01.01.2000 (руб.)</t>
        </is>
      </c>
      <c r="H7" s="352" t="n"/>
    </row>
    <row r="8" ht="40.5" customHeight="1">
      <c r="A8" s="353" t="n"/>
      <c r="B8" s="353" t="n"/>
      <c r="C8" s="353" t="n"/>
      <c r="D8" s="353" t="n"/>
      <c r="E8" s="353" t="n"/>
      <c r="F8" s="353" t="n"/>
      <c r="G8" s="346" t="inlineStr">
        <is>
          <t>на ед.изм.</t>
        </is>
      </c>
      <c r="H8" s="346" t="inlineStr">
        <is>
          <t>общая</t>
        </is>
      </c>
    </row>
    <row r="9">
      <c r="A9" s="346" t="n">
        <v>1</v>
      </c>
      <c r="B9" s="346" t="n"/>
      <c r="C9" s="346" t="n">
        <v>2</v>
      </c>
      <c r="D9" s="292" t="n">
        <v>3</v>
      </c>
      <c r="E9" s="292" t="n">
        <v>4</v>
      </c>
      <c r="F9" s="292" t="n">
        <v>5</v>
      </c>
      <c r="G9" s="292" t="n">
        <v>6</v>
      </c>
      <c r="H9" s="346" t="n">
        <v>7</v>
      </c>
    </row>
    <row r="10" customFormat="1" s="140">
      <c r="A10" s="303" t="inlineStr">
        <is>
          <t>Затраты труда рабочих</t>
        </is>
      </c>
      <c r="B10" s="354" t="n"/>
      <c r="C10" s="354" t="n"/>
      <c r="D10" s="354" t="n"/>
      <c r="E10" s="352" t="n"/>
      <c r="F10" s="296" t="n">
        <v>40</v>
      </c>
      <c r="G10" s="296" t="n"/>
      <c r="H10" s="296">
        <f>SUM(H11:H12)</f>
        <v/>
      </c>
    </row>
    <row r="11">
      <c r="A11" s="297" t="n">
        <v>1</v>
      </c>
      <c r="B11" s="298" t="n"/>
      <c r="C11" s="299" t="inlineStr">
        <is>
          <t>10-3-1</t>
        </is>
      </c>
      <c r="D11" s="300" t="inlineStr">
        <is>
          <t>Инженер I категории</t>
        </is>
      </c>
      <c r="E11" s="301" t="inlineStr">
        <is>
          <t>чел.-ч</t>
        </is>
      </c>
      <c r="F11" s="301" t="n">
        <v>20</v>
      </c>
      <c r="G11" s="300" t="n">
        <v>15.49</v>
      </c>
      <c r="H11" s="302">
        <f>ROUND(F11*G11,2)</f>
        <v/>
      </c>
    </row>
    <row r="12">
      <c r="A12" s="297" t="n">
        <v>2</v>
      </c>
      <c r="B12" s="298" t="n"/>
      <c r="C12" s="299" t="inlineStr">
        <is>
          <t>10-3-2</t>
        </is>
      </c>
      <c r="D12" s="300" t="inlineStr">
        <is>
          <t>Инженер II категории</t>
        </is>
      </c>
      <c r="E12" s="301" t="inlineStr">
        <is>
          <t>чел.-ч</t>
        </is>
      </c>
      <c r="F12" s="301" t="n">
        <v>20</v>
      </c>
      <c r="G12" s="300" t="n">
        <v>14.09</v>
      </c>
      <c r="H12" s="302">
        <f>ROUND(F12*G12,2)</f>
        <v/>
      </c>
    </row>
    <row r="13">
      <c r="A13" s="303" t="inlineStr">
        <is>
          <t>Затраты труда машинистов</t>
        </is>
      </c>
      <c r="B13" s="354" t="n"/>
      <c r="C13" s="354" t="n"/>
      <c r="D13" s="354" t="n"/>
      <c r="E13" s="352" t="n"/>
      <c r="F13" s="303" t="n">
        <v>0</v>
      </c>
      <c r="G13" s="296" t="n"/>
      <c r="H13" s="296">
        <f>H14</f>
        <v/>
      </c>
    </row>
    <row r="14">
      <c r="A14" s="297" t="n">
        <v>7</v>
      </c>
      <c r="B14" s="304" t="inlineStr">
        <is>
          <t> </t>
        </is>
      </c>
      <c r="C14" s="339" t="n">
        <v>2</v>
      </c>
      <c r="D14" s="306" t="inlineStr">
        <is>
          <t>Затраты труда машинистов</t>
        </is>
      </c>
      <c r="E14" s="297" t="inlineStr">
        <is>
          <t>чел.-ч</t>
        </is>
      </c>
      <c r="F14" s="307" t="n">
        <v>0</v>
      </c>
      <c r="G14" s="302" t="n"/>
      <c r="H14" s="302" t="n">
        <v>0</v>
      </c>
    </row>
    <row r="15" customFormat="1" s="140">
      <c r="A15" s="303" t="inlineStr">
        <is>
          <t>Машины и механизмы</t>
        </is>
      </c>
      <c r="B15" s="354" t="n"/>
      <c r="C15" s="354" t="n"/>
      <c r="D15" s="354" t="n"/>
      <c r="E15" s="352" t="n"/>
      <c r="F15" s="303" t="n"/>
      <c r="G15" s="296" t="n"/>
      <c r="H15" s="296">
        <f>SUM(H16:H19)</f>
        <v/>
      </c>
    </row>
    <row r="16" ht="25.5" customHeight="1">
      <c r="A16" s="297" t="n">
        <v>8</v>
      </c>
      <c r="B16" s="304" t="inlineStr">
        <is>
          <t> </t>
        </is>
      </c>
      <c r="C16" s="307" t="inlineStr">
        <is>
          <t>91.05.05-015</t>
        </is>
      </c>
      <c r="D16" s="308" t="inlineStr">
        <is>
          <t>Краны на автомобильном ходу, грузоподъемность 16 т</t>
        </is>
      </c>
      <c r="E16" s="307" t="inlineStr">
        <is>
          <t>маш.-ч.</t>
        </is>
      </c>
      <c r="F16" s="307" t="n">
        <v>0.792</v>
      </c>
      <c r="G16" s="308" t="n">
        <v>115.4</v>
      </c>
      <c r="H16" s="302">
        <f>ROUND(F16*G16,2)</f>
        <v/>
      </c>
      <c r="J16" s="355" t="n"/>
      <c r="K16" s="167" t="n"/>
    </row>
    <row r="17" customFormat="1" s="140">
      <c r="A17" s="297" t="n">
        <v>9</v>
      </c>
      <c r="B17" s="304" t="inlineStr">
        <is>
          <t> </t>
        </is>
      </c>
      <c r="C17" s="307" t="inlineStr">
        <is>
          <t>91.14.02-001</t>
        </is>
      </c>
      <c r="D17" s="308" t="inlineStr">
        <is>
          <t>Автомобили бортовые, грузоподъемность до 5 т</t>
        </is>
      </c>
      <c r="E17" s="307" t="inlineStr">
        <is>
          <t>маш.-ч.</t>
        </is>
      </c>
      <c r="F17" s="307" t="n">
        <v>1.2517</v>
      </c>
      <c r="G17" s="308" t="n">
        <v>65.7</v>
      </c>
      <c r="H17" s="302">
        <f>ROUND(F17*G17,2)</f>
        <v/>
      </c>
      <c r="K17" s="167" t="n"/>
    </row>
    <row r="18" ht="25.5" customFormat="1" customHeight="1" s="140">
      <c r="A18" s="297" t="n">
        <v>10</v>
      </c>
      <c r="B18" s="304" t="inlineStr">
        <is>
          <t> </t>
        </is>
      </c>
      <c r="C18" s="307" t="inlineStr">
        <is>
          <t>91.06.03-060</t>
        </is>
      </c>
      <c r="D18" s="308" t="inlineStr">
        <is>
          <t>Лебедки электрические тяговым усилием до 5,79 кН (0,59 т)</t>
        </is>
      </c>
      <c r="E18" s="307" t="inlineStr">
        <is>
          <t>маш.-ч.</t>
        </is>
      </c>
      <c r="F18" s="307" t="n">
        <v>0.966</v>
      </c>
      <c r="G18" s="308" t="n">
        <v>1.7</v>
      </c>
      <c r="H18" s="302">
        <f>ROUND(F18*G18,2)</f>
        <v/>
      </c>
      <c r="K18" s="167" t="n"/>
    </row>
    <row r="19" ht="25.5" customFormat="1" customHeight="1" s="140">
      <c r="A19" s="297" t="n">
        <v>11</v>
      </c>
      <c r="B19" s="304" t="inlineStr">
        <is>
          <t> </t>
        </is>
      </c>
      <c r="C19" s="307" t="inlineStr">
        <is>
          <t>91.06.06-048</t>
        </is>
      </c>
      <c r="D19" s="308" t="inlineStr">
        <is>
          <t>Подъемники одномачтовые, грузоподъемность до 500 кг, высота подъема 45 м</t>
        </is>
      </c>
      <c r="E19" s="307" t="inlineStr">
        <is>
          <t>маш.-ч.</t>
        </is>
      </c>
      <c r="F19" s="307" t="n">
        <v>0.0173</v>
      </c>
      <c r="G19" s="308" t="n">
        <v>31.21</v>
      </c>
      <c r="H19" s="302">
        <f>ROUND(F19*G19,2)</f>
        <v/>
      </c>
      <c r="K19" s="167" t="n"/>
      <c r="M19" s="188" t="n"/>
    </row>
    <row r="20" customFormat="1" s="140">
      <c r="A20" s="309" t="inlineStr">
        <is>
          <t xml:space="preserve">Оборудование </t>
        </is>
      </c>
      <c r="B20" s="354" t="n"/>
      <c r="C20" s="354" t="n"/>
      <c r="D20" s="354" t="n"/>
      <c r="E20" s="354" t="n"/>
      <c r="F20" s="354" t="n"/>
      <c r="G20" s="352" t="n"/>
      <c r="H20" s="296">
        <f>SUM(H21:H30)</f>
        <v/>
      </c>
      <c r="K20" s="167" t="n"/>
    </row>
    <row r="21" ht="26.25" customFormat="1" customHeight="1" s="140">
      <c r="A21" s="310" t="n">
        <v>12</v>
      </c>
      <c r="B21" s="332" t="n"/>
      <c r="C21" s="307" t="inlineStr">
        <is>
          <t>Прайс из СД ОП</t>
        </is>
      </c>
      <c r="D21" s="300" t="inlineStr">
        <is>
          <t>Принтер HP Color LaserJet Enterprise CP5225n, CE711A#B19</t>
        </is>
      </c>
      <c r="E21" s="307" t="inlineStr">
        <is>
          <t>шт</t>
        </is>
      </c>
      <c r="F21" s="307" t="n">
        <v>1</v>
      </c>
      <c r="G21" s="308" t="n">
        <v>6430</v>
      </c>
      <c r="H21" s="312">
        <f>ROUND(F21*G21,2)</f>
        <v/>
      </c>
      <c r="K21" s="167" t="n"/>
    </row>
    <row r="22" ht="51.75" customFormat="1" customHeight="1" s="140">
      <c r="A22" s="310" t="n">
        <v>13</v>
      </c>
      <c r="B22" s="332" t="n"/>
      <c r="C22" s="307" t="inlineStr">
        <is>
          <t>Прайс из СД ОП</t>
        </is>
      </c>
      <c r="D22" s="300" t="inlineStr">
        <is>
          <t>Системный блок HP 8300E MT i53470 500G 4.0G 28 PC  Intel Core i5-3470, 500GB HDD 7200 SATA, DVD+/-RW, 4GBDDR3-1600DIMM(sng ch), Win 7 Pro 64-bit, Imag</t>
        </is>
      </c>
      <c r="E22" s="307" t="inlineStr">
        <is>
          <t>шт</t>
        </is>
      </c>
      <c r="F22" s="307" t="n">
        <v>1</v>
      </c>
      <c r="G22" s="308" t="n">
        <v>12670</v>
      </c>
      <c r="H22" s="312">
        <f>ROUND(F22*G22,2)</f>
        <v/>
      </c>
      <c r="K22" s="167" t="n"/>
    </row>
    <row r="23" customFormat="1" s="140">
      <c r="A23" s="310" t="n">
        <v>14</v>
      </c>
      <c r="B23" s="332" t="n"/>
      <c r="C23" s="307" t="inlineStr">
        <is>
          <t>Прайс из СД ОП</t>
        </is>
      </c>
      <c r="D23" s="300" t="inlineStr">
        <is>
          <t>Мебель для АРМ</t>
        </is>
      </c>
      <c r="E23" s="307" t="inlineStr">
        <is>
          <t>шт</t>
        </is>
      </c>
      <c r="F23" s="307" t="n">
        <v>1</v>
      </c>
      <c r="G23" s="308" t="n">
        <v>16793</v>
      </c>
      <c r="H23" s="312">
        <f>ROUND(F23*G23,2)</f>
        <v/>
      </c>
      <c r="K23" s="167" t="n"/>
    </row>
    <row r="24" ht="39" customFormat="1" customHeight="1" s="140">
      <c r="A24" s="310" t="n">
        <v>15</v>
      </c>
      <c r="B24" s="332" t="n"/>
      <c r="C24" s="307" t="inlineStr">
        <is>
          <t>Прайс из СД ОП</t>
        </is>
      </c>
      <c r="D24" s="300" t="inlineStr">
        <is>
          <t>Монитор ASUS 24" Wide LED monitor, 16:10, Full HD 1920x1080, 2ms, 250 cd/m2 , 10 M :1, 170°(H), 160°(V), DVI, HDCP, HDMI  with AV Audio Input, speaker</t>
        </is>
      </c>
      <c r="E24" s="307" t="inlineStr">
        <is>
          <t>шт</t>
        </is>
      </c>
      <c r="F24" s="307" t="n">
        <v>2</v>
      </c>
      <c r="G24" s="308" t="n">
        <v>4469</v>
      </c>
      <c r="H24" s="312">
        <f>ROUND(F24*G24,2)</f>
        <v/>
      </c>
      <c r="K24" s="167" t="n"/>
    </row>
    <row r="25" ht="26.25" customFormat="1" customHeight="1" s="140">
      <c r="A25" s="310" t="n">
        <v>16</v>
      </c>
      <c r="B25" s="332" t="n"/>
      <c r="C25" s="307" t="inlineStr">
        <is>
          <t>Прайс из СД ОП</t>
        </is>
      </c>
      <c r="D25" s="300" t="inlineStr">
        <is>
          <t>Программное обеспечение OfficeStd 2013 32bitx64 RUS DiskKit MVL DVD, 021-10257</t>
        </is>
      </c>
      <c r="E25" s="307" t="inlineStr">
        <is>
          <t>шт</t>
        </is>
      </c>
      <c r="F25" s="307" t="n">
        <v>1</v>
      </c>
      <c r="G25" s="308" t="n">
        <v>3647</v>
      </c>
      <c r="H25" s="312">
        <f>ROUND(F25*G25,2)</f>
        <v/>
      </c>
      <c r="K25" s="167" t="n"/>
    </row>
    <row r="26" ht="26.25" customFormat="1" customHeight="1" s="140">
      <c r="A26" s="310" t="n">
        <v>17</v>
      </c>
      <c r="B26" s="332" t="n"/>
      <c r="C26" s="307" t="inlineStr">
        <is>
          <t>Прайс из СД ОП</t>
        </is>
      </c>
      <c r="D26" s="300" t="inlineStr">
        <is>
          <t>Операционная система WinPro 7 32bit RUS DiskKit MVL DVD, FQC-00031</t>
        </is>
      </c>
      <c r="E26" s="307" t="inlineStr">
        <is>
          <t>шт</t>
        </is>
      </c>
      <c r="F26" s="307" t="n">
        <v>1</v>
      </c>
      <c r="G26" s="308" t="n">
        <v>2343</v>
      </c>
      <c r="H26" s="312">
        <f>ROUND(F26*G26,2)</f>
        <v/>
      </c>
      <c r="K26" s="167" t="n"/>
    </row>
    <row r="27" ht="39" customFormat="1" customHeight="1" s="140">
      <c r="A27" s="310" t="n">
        <v>18</v>
      </c>
      <c r="B27" s="332" t="n"/>
      <c r="C27" s="307" t="inlineStr">
        <is>
          <t>Прайс из СД ОП</t>
        </is>
      </c>
      <c r="D27" s="300" t="inlineStr">
        <is>
          <t>Антивирусное ПО Kaspersky Internet Security Multi-Device Russian Edition. 2-Device 1 year Base Box , KL1941RBEFS</t>
        </is>
      </c>
      <c r="E27" s="307" t="inlineStr">
        <is>
          <t>шт</t>
        </is>
      </c>
      <c r="F27" s="307" t="n">
        <v>1</v>
      </c>
      <c r="G27" s="308" t="n">
        <v>2215</v>
      </c>
      <c r="H27" s="312">
        <f>ROUND(F27*G27,2)</f>
        <v/>
      </c>
      <c r="K27" s="167" t="n"/>
    </row>
    <row r="28" customFormat="1" s="140">
      <c r="A28" s="310" t="n">
        <v>19</v>
      </c>
      <c r="B28" s="332" t="n"/>
      <c r="C28" s="307" t="inlineStr">
        <is>
          <t>Прайс из СД ОП</t>
        </is>
      </c>
      <c r="D28" s="300" t="inlineStr">
        <is>
          <t>Колонки Genius SP-M120, 2x1 Вт RMS</t>
        </is>
      </c>
      <c r="E28" s="307" t="inlineStr">
        <is>
          <t>шт</t>
        </is>
      </c>
      <c r="F28" s="307" t="n">
        <v>1</v>
      </c>
      <c r="G28" s="308" t="n">
        <v>1955</v>
      </c>
      <c r="H28" s="312">
        <f>ROUND(F28*G28,2)</f>
        <v/>
      </c>
      <c r="K28" s="167" t="n"/>
    </row>
    <row r="29" ht="26.25" customFormat="1" customHeight="1" s="140">
      <c r="A29" s="310" t="n">
        <v>20</v>
      </c>
      <c r="B29" s="332" t="n"/>
      <c r="C29" s="307" t="inlineStr">
        <is>
          <t>Прайс из СД ОП</t>
        </is>
      </c>
      <c r="D29" s="300" t="inlineStr">
        <is>
          <t>Клавиатура USB Logitech K120 (USB,waterproof, low profile) bl</t>
        </is>
      </c>
      <c r="E29" s="307" t="inlineStr">
        <is>
          <t>шт</t>
        </is>
      </c>
      <c r="F29" s="307" t="n">
        <v>1</v>
      </c>
      <c r="G29" s="308" t="n">
        <v>1479</v>
      </c>
      <c r="H29" s="312">
        <f>ROUND(F29*G29,2)</f>
        <v/>
      </c>
      <c r="K29" s="167" t="n"/>
    </row>
    <row r="30" ht="26.25" customFormat="1" customHeight="1" s="140">
      <c r="A30" s="310" t="n">
        <v>21</v>
      </c>
      <c r="B30" s="332" t="n"/>
      <c r="C30" s="307" t="inlineStr">
        <is>
          <t>Прайс из СД ОП</t>
        </is>
      </c>
      <c r="D30" s="300" t="inlineStr">
        <is>
          <t>Мышь USB Logitech B110 Optical Mouse черная (2 кн. + скролл, Оптическая) 800dpi</t>
        </is>
      </c>
      <c r="E30" s="307" t="inlineStr">
        <is>
          <t>шт</t>
        </is>
      </c>
      <c r="F30" s="307" t="n">
        <v>1</v>
      </c>
      <c r="G30" s="308" t="n">
        <v>494</v>
      </c>
      <c r="H30" s="312">
        <f>ROUND(F30*G30,2)</f>
        <v/>
      </c>
      <c r="K30" s="167" t="n"/>
    </row>
    <row r="31">
      <c r="A31" s="303" t="inlineStr">
        <is>
          <t>Материалы</t>
        </is>
      </c>
      <c r="B31" s="354" t="n"/>
      <c r="C31" s="354" t="n"/>
      <c r="D31" s="354" t="n"/>
      <c r="E31" s="352" t="n"/>
      <c r="F31" s="303" t="n"/>
      <c r="G31" s="296" t="n"/>
      <c r="H31" s="296">
        <f>SUM(H32:H45)</f>
        <v/>
      </c>
    </row>
    <row r="32" ht="25.5" customHeight="1">
      <c r="A32" s="297" t="n">
        <v>22</v>
      </c>
      <c r="B32" s="304" t="n"/>
      <c r="C32" s="307" t="inlineStr">
        <is>
          <t>999-9950</t>
        </is>
      </c>
      <c r="D32" s="308" t="inlineStr">
        <is>
          <t>Вспомогательные ненормируемые материальные ресурсы</t>
        </is>
      </c>
      <c r="E32" s="307" t="inlineStr">
        <is>
          <t>руб</t>
        </is>
      </c>
      <c r="F32" s="307" t="n">
        <v>29.2702</v>
      </c>
      <c r="G32" s="308" t="n">
        <v>1</v>
      </c>
      <c r="H32" s="302">
        <f>ROUND(F32*G32,2)</f>
        <v/>
      </c>
      <c r="J32" s="189" t="n"/>
    </row>
    <row r="33">
      <c r="A33" s="297" t="n">
        <v>23</v>
      </c>
      <c r="B33" s="304" t="n"/>
      <c r="C33" s="307" t="inlineStr">
        <is>
          <t>20.2.10.03-0006</t>
        </is>
      </c>
      <c r="D33" s="308" t="inlineStr">
        <is>
          <t>Наконечники кабельные медные соединительные</t>
        </is>
      </c>
      <c r="E33" s="307" t="inlineStr">
        <is>
          <t>100 шт</t>
        </is>
      </c>
      <c r="F33" s="307" t="n">
        <v>0.06</v>
      </c>
      <c r="G33" s="308" t="n">
        <v>365</v>
      </c>
      <c r="H33" s="302">
        <f>ROUND(F33*G33,2)</f>
        <v/>
      </c>
      <c r="J33" s="189" t="n"/>
    </row>
    <row r="34" ht="25.5" customHeight="1">
      <c r="A34" s="297" t="n">
        <v>24</v>
      </c>
      <c r="B34" s="304" t="n"/>
      <c r="C34" s="307" t="inlineStr">
        <is>
          <t>01.7.15.03-0033</t>
        </is>
      </c>
      <c r="D34" s="308" t="inlineStr">
        <is>
          <t>Болты с гайками и шайбами оцинкованные, диаметр 10 мм</t>
        </is>
      </c>
      <c r="E34" s="307" t="inlineStr">
        <is>
          <t>кг</t>
        </is>
      </c>
      <c r="F34" s="307" t="n">
        <v>0.584</v>
      </c>
      <c r="G34" s="308" t="n">
        <v>26.32</v>
      </c>
      <c r="H34" s="302">
        <f>ROUND(F34*G34,2)</f>
        <v/>
      </c>
      <c r="J34" s="189" t="n"/>
    </row>
    <row r="35">
      <c r="A35" s="297" t="n">
        <v>25</v>
      </c>
      <c r="B35" s="304" t="n"/>
      <c r="C35" s="307" t="inlineStr">
        <is>
          <t>11.2.07.12-0011</t>
        </is>
      </c>
      <c r="D35" s="308" t="inlineStr">
        <is>
          <t>Штапик (раскладка), размер 19x19 мм</t>
        </is>
      </c>
      <c r="E35" s="307" t="inlineStr">
        <is>
          <t>м</t>
        </is>
      </c>
      <c r="F35" s="307" t="n">
        <v>4</v>
      </c>
      <c r="G35" s="308" t="n">
        <v>3.2</v>
      </c>
      <c r="H35" s="302">
        <f>ROUND(F35*G35,2)</f>
        <v/>
      </c>
      <c r="J35" s="189" t="n"/>
    </row>
    <row r="36">
      <c r="A36" s="297" t="n">
        <v>26</v>
      </c>
      <c r="B36" s="304" t="n"/>
      <c r="C36" s="307" t="inlineStr">
        <is>
          <t>01.7.19.08-0012</t>
        </is>
      </c>
      <c r="D36" s="308" t="inlineStr">
        <is>
          <t>Рукав резиновый вентиляционный</t>
        </is>
      </c>
      <c r="E36" s="307" t="inlineStr">
        <is>
          <t>м</t>
        </is>
      </c>
      <c r="F36" s="307" t="n">
        <v>1</v>
      </c>
      <c r="G36" s="308" t="n">
        <v>10.7</v>
      </c>
      <c r="H36" s="302">
        <f>ROUND(F36*G36,2)</f>
        <v/>
      </c>
      <c r="J36" s="189" t="n"/>
    </row>
    <row r="37" ht="25.5" customHeight="1">
      <c r="A37" s="297" t="n">
        <v>27</v>
      </c>
      <c r="B37" s="304" t="n"/>
      <c r="C37" s="307" t="inlineStr">
        <is>
          <t>01.7.15.03-0031</t>
        </is>
      </c>
      <c r="D37" s="308" t="inlineStr">
        <is>
          <t>Болты с гайками и шайбами оцинкованные, диаметр 6 мм</t>
        </is>
      </c>
      <c r="E37" s="307" t="inlineStr">
        <is>
          <t>кг</t>
        </is>
      </c>
      <c r="F37" s="307" t="n">
        <v>0.2374</v>
      </c>
      <c r="G37" s="308" t="n">
        <v>28.18</v>
      </c>
      <c r="H37" s="302">
        <f>ROUND(F37*G37,2)</f>
        <v/>
      </c>
      <c r="J37" s="189" t="n"/>
    </row>
    <row r="38">
      <c r="A38" s="297" t="n">
        <v>28</v>
      </c>
      <c r="B38" s="304" t="n"/>
      <c r="C38" s="307" t="inlineStr">
        <is>
          <t>01.7.20.04-0003</t>
        </is>
      </c>
      <c r="D38" s="308" t="inlineStr">
        <is>
          <t>Нитки суровые</t>
        </is>
      </c>
      <c r="E38" s="307" t="inlineStr">
        <is>
          <t>кг</t>
        </is>
      </c>
      <c r="F38" s="307" t="n">
        <v>0.016</v>
      </c>
      <c r="G38" s="308" t="n">
        <v>155</v>
      </c>
      <c r="H38" s="302">
        <f>ROUND(F38*G38,2)</f>
        <v/>
      </c>
      <c r="J38" s="167" t="n"/>
    </row>
    <row r="39" ht="25.5" customHeight="1">
      <c r="A39" s="297" t="n">
        <v>29</v>
      </c>
      <c r="B39" s="304" t="n"/>
      <c r="C39" s="307" t="inlineStr">
        <is>
          <t>10.3.02.03-0013</t>
        </is>
      </c>
      <c r="D39" s="308" t="inlineStr">
        <is>
          <t>Припои оловянно-свинцовые бессурьмянистые, марка ПОС61</t>
        </is>
      </c>
      <c r="E39" s="307" t="inlineStr">
        <is>
          <t>т</t>
        </is>
      </c>
      <c r="F39" s="307" t="n">
        <v>2e-05</v>
      </c>
      <c r="G39" s="308" t="n">
        <v>114000</v>
      </c>
      <c r="H39" s="302">
        <f>ROUND(F39*G39,2)</f>
        <v/>
      </c>
      <c r="J39" s="167" t="n"/>
    </row>
    <row r="40">
      <c r="A40" s="297" t="n">
        <v>30</v>
      </c>
      <c r="B40" s="304" t="n"/>
      <c r="C40" s="307" t="inlineStr">
        <is>
          <t>08.1.02.11-0001</t>
        </is>
      </c>
      <c r="D40" s="308" t="inlineStr">
        <is>
          <t>Поковки из квадратных заготовок, масса 1,8 кг</t>
        </is>
      </c>
      <c r="E40" s="307" t="inlineStr">
        <is>
          <t>т</t>
        </is>
      </c>
      <c r="F40" s="307" t="n">
        <v>0.00035</v>
      </c>
      <c r="G40" s="308" t="n">
        <v>6000</v>
      </c>
      <c r="H40" s="302">
        <f>ROUND(F40*G40,2)</f>
        <v/>
      </c>
      <c r="J40" s="167" t="n"/>
      <c r="L40" s="167" t="n"/>
    </row>
    <row r="41">
      <c r="A41" s="297" t="n">
        <v>31</v>
      </c>
      <c r="B41" s="304" t="n"/>
      <c r="C41" s="307" t="inlineStr">
        <is>
          <t>01.7.15.06-0111</t>
        </is>
      </c>
      <c r="D41" s="308" t="inlineStr">
        <is>
          <t>Гвозди строительные</t>
        </is>
      </c>
      <c r="E41" s="307" t="inlineStr">
        <is>
          <t>т</t>
        </is>
      </c>
      <c r="F41" s="307" t="n">
        <v>0.00012</v>
      </c>
      <c r="G41" s="308" t="n">
        <v>12000</v>
      </c>
      <c r="H41" s="302">
        <f>ROUND(F41*G41,2)</f>
        <v/>
      </c>
      <c r="J41" s="167" t="n"/>
    </row>
    <row r="42" ht="38.25" customHeight="1">
      <c r="A42" s="297" t="n">
        <v>32</v>
      </c>
      <c r="B42" s="304" t="n"/>
      <c r="C42" s="307" t="inlineStr">
        <is>
          <t>01.7.06.05-0042</t>
        </is>
      </c>
      <c r="D42" s="308" t="inlineStr">
        <is>
          <t>Лента липкая изоляционная на поликасиновом компаунде, ширина 20-30 мм, толщина от 0,14 до 0,19 мм</t>
        </is>
      </c>
      <c r="E42" s="307" t="inlineStr">
        <is>
          <t>кг</t>
        </is>
      </c>
      <c r="F42" s="307" t="n">
        <v>0.01</v>
      </c>
      <c r="G42" s="308" t="n">
        <v>91</v>
      </c>
      <c r="H42" s="302">
        <f>ROUND(F42*G42,2)</f>
        <v/>
      </c>
      <c r="J42" s="167" t="n"/>
    </row>
    <row r="43">
      <c r="A43" s="297" t="n">
        <v>33</v>
      </c>
      <c r="B43" s="304" t="n"/>
      <c r="C43" s="307" t="inlineStr">
        <is>
          <t>14.4.04.09-0017</t>
        </is>
      </c>
      <c r="D43" s="308" t="inlineStr">
        <is>
          <t>Эмаль ХВ-124, защитная, зеленая</t>
        </is>
      </c>
      <c r="E43" s="307" t="inlineStr">
        <is>
          <t>т</t>
        </is>
      </c>
      <c r="F43" s="307" t="n">
        <v>3e-05</v>
      </c>
      <c r="G43" s="308" t="n">
        <v>28333.33</v>
      </c>
      <c r="H43" s="302">
        <f>ROUND(F43*G43,2)</f>
        <v/>
      </c>
      <c r="J43" s="167" t="n"/>
    </row>
    <row r="44">
      <c r="A44" s="297" t="n">
        <v>34</v>
      </c>
      <c r="B44" s="304" t="n"/>
      <c r="C44" s="307" t="inlineStr">
        <is>
          <t>14.4.03.17-0011</t>
        </is>
      </c>
      <c r="D44" s="308" t="inlineStr">
        <is>
          <t>Лак электроизоляционный 318</t>
        </is>
      </c>
      <c r="E44" s="307" t="inlineStr">
        <is>
          <t>кг</t>
        </is>
      </c>
      <c r="F44" s="307" t="n">
        <v>0.02</v>
      </c>
      <c r="G44" s="308" t="n">
        <v>35.5</v>
      </c>
      <c r="H44" s="302">
        <f>ROUND(F44*G44,2)</f>
        <v/>
      </c>
      <c r="J44" s="167" t="n"/>
    </row>
    <row r="45" ht="25.5" customHeight="1">
      <c r="A45" s="297" t="n">
        <v>35</v>
      </c>
      <c r="B45" s="304" t="n"/>
      <c r="C45" s="307" t="inlineStr">
        <is>
          <t>10.3.02.03-0011</t>
        </is>
      </c>
      <c r="D45" s="308" t="inlineStr">
        <is>
          <t>Припои оловянно-свинцовые бессурьмянистые, марка ПОС30</t>
        </is>
      </c>
      <c r="E45" s="307" t="inlineStr">
        <is>
          <t>т</t>
        </is>
      </c>
      <c r="F45" s="307" t="n">
        <v>1e-05</v>
      </c>
      <c r="G45" s="308" t="n">
        <v>68000</v>
      </c>
      <c r="H45" s="302">
        <f>ROUND(F45*G45,2)</f>
        <v/>
      </c>
      <c r="J45" s="167" t="n"/>
    </row>
    <row r="46">
      <c r="A46" s="172" t="n"/>
      <c r="B46" s="173" t="n"/>
      <c r="C46" s="174" t="n"/>
      <c r="D46" s="175" t="n"/>
      <c r="E46" s="174" t="n"/>
      <c r="F46" s="174" t="n"/>
      <c r="G46" s="175" t="n"/>
      <c r="H46" s="176" t="n"/>
      <c r="J46" s="167" t="n"/>
    </row>
    <row r="48">
      <c r="B48" s="125" t="inlineStr">
        <is>
          <t>Составил ______________________        А.Р. Маркова</t>
        </is>
      </c>
    </row>
    <row r="49">
      <c r="B49" s="126" t="inlineStr">
        <is>
          <t xml:space="preserve">                         (подпись, инициалы, фамилия)</t>
        </is>
      </c>
    </row>
    <row r="51">
      <c r="B51" s="125" t="inlineStr">
        <is>
          <t>Проверил ______________________        А.В. Костянецкая</t>
        </is>
      </c>
    </row>
    <row r="52">
      <c r="B52" s="126" t="inlineStr">
        <is>
          <t xml:space="preserve">                        (подпись, инициалы, фамилия)</t>
        </is>
      </c>
    </row>
  </sheetData>
  <mergeCells count="15">
    <mergeCell ref="A3:H3"/>
    <mergeCell ref="G7:H7"/>
    <mergeCell ref="A15:E15"/>
    <mergeCell ref="A10:E10"/>
    <mergeCell ref="A2:H2"/>
    <mergeCell ref="C7:C8"/>
    <mergeCell ref="A7:A8"/>
    <mergeCell ref="B7:B8"/>
    <mergeCell ref="D7:D8"/>
    <mergeCell ref="E7:E8"/>
    <mergeCell ref="A20:G20"/>
    <mergeCell ref="A13:E13"/>
    <mergeCell ref="A5:H5"/>
    <mergeCell ref="F7:F8"/>
    <mergeCell ref="A31:E31"/>
  </mergeCells>
  <pageMargins left="0.7086614173228347" right="0.7086614173228347" top="0.7480314960629921" bottom="0.7480314960629921" header="0.3149606299212598" footer="0.3149606299212598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3" workbookViewId="0">
      <selection activeCell="E41" sqref="B10:E41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2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2" t="inlineStr">
        <is>
          <t>Ресурсная модель</t>
        </is>
      </c>
    </row>
    <row r="6">
      <c r="B6" s="151" t="n"/>
      <c r="C6" s="4" t="n"/>
      <c r="D6" s="4" t="n"/>
      <c r="E6" s="4" t="n"/>
    </row>
    <row r="7" ht="25.5" customHeight="1">
      <c r="B7" s="207" t="inlineStr">
        <is>
          <t>Наименование разрабатываемого показателя УНЦ — АРМ персонала АСУТП (РЗА)</t>
        </is>
      </c>
    </row>
    <row r="8">
      <c r="B8" s="208" t="inlineStr">
        <is>
          <t>Единица измерения  — 1 ед</t>
        </is>
      </c>
    </row>
    <row r="9">
      <c r="B9" s="151" t="n"/>
      <c r="C9" s="4" t="n"/>
      <c r="D9" s="4" t="n"/>
      <c r="E9" s="4" t="n"/>
    </row>
    <row r="10" ht="51" customHeight="1">
      <c r="B10" s="339" t="inlineStr">
        <is>
          <t>Наименование</t>
        </is>
      </c>
      <c r="C10" s="339" t="inlineStr">
        <is>
          <t>Сметная стоимость в ценах на 01.01.2023
 (руб.)</t>
        </is>
      </c>
      <c r="D10" s="339" t="inlineStr">
        <is>
          <t>Удельный вес, 
(в СМР)</t>
        </is>
      </c>
      <c r="E10" s="339" t="inlineStr">
        <is>
          <t>Удельный вес, % 
(от всего по РМ)</t>
        </is>
      </c>
    </row>
    <row r="11">
      <c r="B11" s="313" t="inlineStr">
        <is>
          <t>Оплата труда рабочих</t>
        </is>
      </c>
      <c r="C11" s="314">
        <f>'Прил.5 Расчет СМР и ОБ'!J16</f>
        <v/>
      </c>
      <c r="D11" s="315">
        <f>C11/$C$24</f>
        <v/>
      </c>
      <c r="E11" s="315">
        <f>C11/$C$40</f>
        <v/>
      </c>
    </row>
    <row r="12">
      <c r="B12" s="313" t="inlineStr">
        <is>
          <t>Эксплуатация машин основных</t>
        </is>
      </c>
      <c r="C12" s="314">
        <f>'Прил.5 Расчет СМР и ОБ'!J23</f>
        <v/>
      </c>
      <c r="D12" s="315">
        <f>C12/$C$24</f>
        <v/>
      </c>
      <c r="E12" s="315">
        <f>C12/$C$40</f>
        <v/>
      </c>
    </row>
    <row r="13">
      <c r="B13" s="313" t="inlineStr">
        <is>
          <t>Эксплуатация машин прочих</t>
        </is>
      </c>
      <c r="C13" s="314">
        <f>'Прил.5 Расчет СМР и ОБ'!J26</f>
        <v/>
      </c>
      <c r="D13" s="315">
        <f>C13/$C$24</f>
        <v/>
      </c>
      <c r="E13" s="315">
        <f>C13/$C$40</f>
        <v/>
      </c>
    </row>
    <row r="14">
      <c r="B14" s="313" t="inlineStr">
        <is>
          <t>ЭКСПЛУАТАЦИЯ МАШИН, ВСЕГО:</t>
        </is>
      </c>
      <c r="C14" s="314">
        <f>C13+C12</f>
        <v/>
      </c>
      <c r="D14" s="315">
        <f>C14/$C$24</f>
        <v/>
      </c>
      <c r="E14" s="315">
        <f>C14/$C$40</f>
        <v/>
      </c>
    </row>
    <row r="15">
      <c r="B15" s="313" t="inlineStr">
        <is>
          <t>в том числе зарплата машинистов</t>
        </is>
      </c>
      <c r="C15" s="314">
        <f>'Прил.5 Расчет СМР и ОБ'!J18</f>
        <v/>
      </c>
      <c r="D15" s="315">
        <f>C15/$C$24</f>
        <v/>
      </c>
      <c r="E15" s="315">
        <f>C15/$C$40</f>
        <v/>
      </c>
    </row>
    <row r="16">
      <c r="B16" s="313" t="inlineStr">
        <is>
          <t>Материалы основные</t>
        </is>
      </c>
      <c r="C16" s="314">
        <f>'Прил.5 Расчет СМР и ОБ'!J44</f>
        <v/>
      </c>
      <c r="D16" s="315">
        <f>C16/$C$24</f>
        <v/>
      </c>
      <c r="E16" s="315">
        <f>C16/$C$40</f>
        <v/>
      </c>
    </row>
    <row r="17">
      <c r="B17" s="313" t="inlineStr">
        <is>
          <t>Материалы прочие</t>
        </is>
      </c>
      <c r="C17" s="314">
        <f>'Прил.5 Расчет СМР и ОБ'!J53</f>
        <v/>
      </c>
      <c r="D17" s="315">
        <f>C17/$C$24</f>
        <v/>
      </c>
      <c r="E17" s="315">
        <f>C17/$C$40</f>
        <v/>
      </c>
      <c r="G17" s="356" t="n"/>
    </row>
    <row r="18">
      <c r="B18" s="313" t="inlineStr">
        <is>
          <t>МАТЕРИАЛЫ, ВСЕГО:</t>
        </is>
      </c>
      <c r="C18" s="314">
        <f>C17+C16</f>
        <v/>
      </c>
      <c r="D18" s="315">
        <f>C18/$C$24</f>
        <v/>
      </c>
      <c r="E18" s="315">
        <f>C18/$C$40</f>
        <v/>
      </c>
    </row>
    <row r="19">
      <c r="B19" s="313" t="inlineStr">
        <is>
          <t>ИТОГО</t>
        </is>
      </c>
      <c r="C19" s="314">
        <f>C18+C14+C11</f>
        <v/>
      </c>
      <c r="D19" s="315" t="n"/>
      <c r="E19" s="313" t="n"/>
    </row>
    <row r="20">
      <c r="B20" s="313" t="inlineStr">
        <is>
          <t>Сметная прибыль, руб.</t>
        </is>
      </c>
      <c r="C20" s="314">
        <f>ROUND(C21*(C11+C15),2)</f>
        <v/>
      </c>
      <c r="D20" s="315">
        <f>C20/$C$24</f>
        <v/>
      </c>
      <c r="E20" s="315">
        <f>C20/$C$40</f>
        <v/>
      </c>
    </row>
    <row r="21">
      <c r="B21" s="313" t="inlineStr">
        <is>
          <t>Сметная прибыль, %</t>
        </is>
      </c>
      <c r="C21" s="316">
        <f>'Прил.5 Расчет СМР и ОБ'!D57</f>
        <v/>
      </c>
      <c r="D21" s="315" t="n"/>
      <c r="E21" s="313" t="n"/>
    </row>
    <row r="22">
      <c r="B22" s="313" t="inlineStr">
        <is>
          <t>Накладные расходы, руб.</t>
        </is>
      </c>
      <c r="C22" s="314">
        <f>ROUND(C23*(C11+C15),2)</f>
        <v/>
      </c>
      <c r="D22" s="315">
        <f>C22/$C$24</f>
        <v/>
      </c>
      <c r="E22" s="315">
        <f>C22/$C$40</f>
        <v/>
      </c>
    </row>
    <row r="23">
      <c r="B23" s="313" t="inlineStr">
        <is>
          <t>Накладные расходы, %</t>
        </is>
      </c>
      <c r="C23" s="316">
        <f>'Прил.5 Расчет СМР и ОБ'!D56</f>
        <v/>
      </c>
      <c r="D23" s="315" t="n"/>
      <c r="E23" s="313" t="n"/>
    </row>
    <row r="24">
      <c r="B24" s="313" t="inlineStr">
        <is>
          <t>ВСЕГО СМР с НР и СП</t>
        </is>
      </c>
      <c r="C24" s="314">
        <f>C19+C20+C22</f>
        <v/>
      </c>
      <c r="D24" s="315">
        <f>C24/$C$24</f>
        <v/>
      </c>
      <c r="E24" s="315">
        <f>C24/$C$40</f>
        <v/>
      </c>
    </row>
    <row r="25" ht="25.5" customHeight="1">
      <c r="B25" s="313" t="inlineStr">
        <is>
          <t>ВСЕГО стоимость оборудования, в том числе</t>
        </is>
      </c>
      <c r="C25" s="314">
        <f>'Прил.5 Расчет СМР и ОБ'!J34</f>
        <v/>
      </c>
      <c r="D25" s="315" t="n"/>
      <c r="E25" s="315">
        <f>C25/$C$40</f>
        <v/>
      </c>
    </row>
    <row r="26" ht="25.5" customHeight="1">
      <c r="B26" s="313" t="inlineStr">
        <is>
          <t>стоимость оборудования технологического</t>
        </is>
      </c>
      <c r="C26" s="314">
        <f>'Прил.5 Расчет СМР и ОБ'!J35</f>
        <v/>
      </c>
      <c r="D26" s="315" t="n"/>
      <c r="E26" s="315">
        <f>C26/$C$40</f>
        <v/>
      </c>
    </row>
    <row r="27">
      <c r="B27" s="313" t="inlineStr">
        <is>
          <t>ИТОГО (СМР + ОБОРУДОВАНИЕ)</t>
        </is>
      </c>
      <c r="C27" s="317">
        <f>C24+C25</f>
        <v/>
      </c>
      <c r="D27" s="315" t="n"/>
      <c r="E27" s="315">
        <f>C27/$C$40</f>
        <v/>
      </c>
    </row>
    <row r="28" ht="33" customHeight="1">
      <c r="B28" s="313" t="inlineStr">
        <is>
          <t>ПРОЧ. ЗАТР., УЧТЕННЫЕ ПОКАЗАТЕЛЕМ,  в том числе</t>
        </is>
      </c>
      <c r="C28" s="313" t="n"/>
      <c r="D28" s="313" t="n"/>
      <c r="E28" s="313" t="n"/>
      <c r="F28" s="149" t="n"/>
    </row>
    <row r="29" ht="25.5" customHeight="1">
      <c r="B29" s="313" t="inlineStr">
        <is>
          <t>Временные здания и сооружения - 3,9%</t>
        </is>
      </c>
      <c r="C29" s="317">
        <f>ROUND(C24*3.9%,2)</f>
        <v/>
      </c>
      <c r="D29" s="313" t="n"/>
      <c r="E29" s="315">
        <f>C29/$C$40</f>
        <v/>
      </c>
    </row>
    <row r="30" ht="38.25" customHeight="1">
      <c r="B30" s="313" t="inlineStr">
        <is>
          <t>Дополнительные затраты при производстве строительно-монтажных работ в зимнее время - 2,1%</t>
        </is>
      </c>
      <c r="C30" s="317">
        <f>ROUND((C24+C29)*2.1%,2)</f>
        <v/>
      </c>
      <c r="D30" s="313" t="n"/>
      <c r="E30" s="315">
        <f>C30/$C$40</f>
        <v/>
      </c>
      <c r="F30" s="149" t="n"/>
    </row>
    <row r="31">
      <c r="B31" s="313" t="inlineStr">
        <is>
          <t>Пусконаладочные работы</t>
        </is>
      </c>
      <c r="C31" s="318" t="n">
        <v>16144.1</v>
      </c>
      <c r="D31" s="313" t="n"/>
      <c r="E31" s="315">
        <f>C31/$C$40</f>
        <v/>
      </c>
    </row>
    <row r="32" ht="25.5" customHeight="1">
      <c r="B32" s="313" t="inlineStr">
        <is>
          <t>Затраты по перевозке работников к месту работы и обратно</t>
        </is>
      </c>
      <c r="C32" s="317">
        <f>ROUND($C$27*0,2)</f>
        <v/>
      </c>
      <c r="D32" s="313" t="n"/>
      <c r="E32" s="315">
        <f>C32/$C$40</f>
        <v/>
      </c>
    </row>
    <row r="33" ht="25.5" customHeight="1">
      <c r="B33" s="313" t="inlineStr">
        <is>
          <t>Затраты, связанные с осуществлением работ вахтовым методом</t>
        </is>
      </c>
      <c r="C33" s="317">
        <f>ROUND($C$27*0,2)</f>
        <v/>
      </c>
      <c r="D33" s="313" t="n"/>
      <c r="E33" s="315">
        <f>C33/$C$40</f>
        <v/>
      </c>
    </row>
    <row r="34" ht="51" customHeight="1">
      <c r="B34" s="31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7">
        <f>ROUND($C$27*0,2)</f>
        <v/>
      </c>
      <c r="D34" s="313" t="n"/>
      <c r="E34" s="315">
        <f>C34/$C$40</f>
        <v/>
      </c>
      <c r="H34" s="152" t="n"/>
    </row>
    <row r="35" ht="76.5" customHeight="1">
      <c r="B35" s="31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7">
        <f>ROUND($C$27*0,2)</f>
        <v/>
      </c>
      <c r="D35" s="313" t="n"/>
      <c r="E35" s="315">
        <f>C35/$C$40</f>
        <v/>
      </c>
    </row>
    <row r="36" ht="25.5" customHeight="1">
      <c r="B36" s="313" t="inlineStr">
        <is>
          <t>Строительный контроль и содержание службы заказчика - 2,14%</t>
        </is>
      </c>
      <c r="C36" s="317">
        <f>ROUND((C27+C32+C33+C34+C35+C29+C31+C30)*2.14%,2)</f>
        <v/>
      </c>
      <c r="D36" s="313" t="n"/>
      <c r="E36" s="315">
        <f>C36/$C$40</f>
        <v/>
      </c>
      <c r="G36" s="179" t="n"/>
      <c r="L36" s="149" t="n"/>
    </row>
    <row r="37">
      <c r="B37" s="313" t="inlineStr">
        <is>
          <t>Авторский надзор - 0,2%</t>
        </is>
      </c>
      <c r="C37" s="317">
        <f>ROUND((C27+C32+C33+C34+C35+C29+C31+C30)*0.2%,2)</f>
        <v/>
      </c>
      <c r="D37" s="313" t="n"/>
      <c r="E37" s="315">
        <f>C37/$C$40</f>
        <v/>
      </c>
      <c r="G37" s="179" t="n"/>
      <c r="L37" s="149" t="n"/>
    </row>
    <row r="38" ht="38.25" customHeight="1">
      <c r="B38" s="313" t="inlineStr">
        <is>
          <t>ИТОГО (СМР+ОБОРУДОВАНИЕ+ПРОЧ. ЗАТР., УЧТЕННЫЕ ПОКАЗАТЕЛЕМ)</t>
        </is>
      </c>
      <c r="C38" s="314">
        <f>C27+C32+C33+C34+C35+C29+C31+C30+C36+C37</f>
        <v/>
      </c>
      <c r="D38" s="313" t="n"/>
      <c r="E38" s="315">
        <f>C38/$C$40</f>
        <v/>
      </c>
    </row>
    <row r="39" ht="13.5" customHeight="1">
      <c r="B39" s="313" t="inlineStr">
        <is>
          <t>Непредвиденные расходы</t>
        </is>
      </c>
      <c r="C39" s="314">
        <f>ROUND(C38*3%,2)</f>
        <v/>
      </c>
      <c r="D39" s="313" t="n"/>
      <c r="E39" s="315">
        <f>C39/$C$38</f>
        <v/>
      </c>
    </row>
    <row r="40">
      <c r="B40" s="313" t="inlineStr">
        <is>
          <t>ВСЕГО:</t>
        </is>
      </c>
      <c r="C40" s="314">
        <f>C39+C38</f>
        <v/>
      </c>
      <c r="D40" s="313" t="n"/>
      <c r="E40" s="315">
        <f>C40/$C$40</f>
        <v/>
      </c>
    </row>
    <row r="41">
      <c r="B41" s="313" t="inlineStr">
        <is>
          <t>ИТОГО ПОКАЗАТЕЛЬ НА ЕД. ИЗМ.</t>
        </is>
      </c>
      <c r="C41" s="314">
        <f>C40/'Прил.5 Расчет СМР и ОБ'!E60</f>
        <v/>
      </c>
      <c r="D41" s="313" t="n"/>
      <c r="E41" s="313" t="n"/>
    </row>
    <row r="42">
      <c r="B42" s="147" t="n"/>
      <c r="C42" s="4" t="n"/>
      <c r="D42" s="4" t="n"/>
      <c r="E42" s="4" t="n"/>
    </row>
    <row r="43">
      <c r="B43" s="14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4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7" t="n"/>
      <c r="C45" s="4" t="n"/>
      <c r="D45" s="4" t="n"/>
      <c r="E45" s="4" t="n"/>
    </row>
    <row r="46">
      <c r="B46" s="14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0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6"/>
  <sheetViews>
    <sheetView view="pageBreakPreview" topLeftCell="A18" zoomScale="70" zoomScaleSheetLayoutView="70" workbookViewId="0">
      <selection activeCell="A21" sqref="A21:J37"/>
    </sheetView>
  </sheetViews>
  <sheetFormatPr baseColWidth="8" defaultColWidth="9.140625" defaultRowHeight="15" outlineLevelRow="1"/>
  <cols>
    <col width="5.7109375" customWidth="1" style="12" min="1" max="1"/>
    <col width="22.5703125" customWidth="1" style="156" min="2" max="2"/>
    <col width="39.140625" customWidth="1" style="158" min="3" max="3"/>
    <col width="10.7109375" customWidth="1" style="156" min="4" max="4"/>
    <col width="12.7109375" customWidth="1" style="156" min="5" max="5"/>
    <col width="15" customWidth="1" style="159" min="6" max="6"/>
    <col width="14.7109375" customWidth="1" style="159" min="7" max="7"/>
    <col width="12.7109375" customWidth="1" style="159" min="8" max="8"/>
    <col width="13.85546875" customWidth="1" style="159" min="9" max="9"/>
    <col width="17.5703125" customWidth="1" style="159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2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2" t="inlineStr">
        <is>
          <t>Расчет стоимости СМР и оборудования</t>
        </is>
      </c>
    </row>
    <row r="5" ht="12.75" customFormat="1" customHeight="1" s="4">
      <c r="A5" s="192" t="n"/>
      <c r="B5" s="192" t="n"/>
      <c r="C5" s="157" t="n"/>
      <c r="D5" s="192" t="n"/>
      <c r="E5" s="192" t="n"/>
      <c r="F5" s="192" t="n"/>
      <c r="G5" s="192" t="n"/>
      <c r="H5" s="192" t="n"/>
      <c r="I5" s="192" t="n"/>
      <c r="J5" s="192" t="n"/>
    </row>
    <row r="6" ht="26.45" customFormat="1" customHeight="1" s="4">
      <c r="A6" s="122" t="inlineStr">
        <is>
          <t>Наименование разрабатываемого показателя УНЦ</t>
        </is>
      </c>
      <c r="B6" s="224" t="n"/>
      <c r="C6" s="195" t="n"/>
      <c r="D6" s="224" t="inlineStr">
        <is>
          <t>АРМ персонала АСУТП (РЗА)</t>
        </is>
      </c>
    </row>
    <row r="7" ht="12.75" customFormat="1" customHeight="1" s="4">
      <c r="A7" s="195" t="inlineStr">
        <is>
          <t>Единица измерения  — 1 ед</t>
        </is>
      </c>
      <c r="I7" s="207" t="n"/>
      <c r="J7" s="207" t="n"/>
    </row>
    <row r="8" ht="13.5" customFormat="1" customHeight="1" s="4">
      <c r="A8" s="195" t="n"/>
      <c r="I8" s="147" t="n"/>
      <c r="J8" s="147" t="n"/>
    </row>
    <row r="9" ht="13.15" customFormat="1" customHeight="1" s="4">
      <c r="B9" s="1" t="n"/>
      <c r="C9" s="208" t="n"/>
      <c r="D9" s="1" t="n"/>
      <c r="E9" s="1" t="n"/>
      <c r="F9" s="147" t="n"/>
      <c r="G9" s="147" t="n"/>
      <c r="H9" s="147" t="n"/>
      <c r="I9" s="147" t="n"/>
      <c r="J9" s="147" t="n"/>
    </row>
    <row r="10" ht="27" customHeight="1">
      <c r="A10" s="216" t="inlineStr">
        <is>
          <t>№ пп.</t>
        </is>
      </c>
      <c r="B10" s="216" t="inlineStr">
        <is>
          <t>Код ресурса</t>
        </is>
      </c>
      <c r="C10" s="216" t="inlineStr">
        <is>
          <t>Наименование</t>
        </is>
      </c>
      <c r="D10" s="216" t="inlineStr">
        <is>
          <t>Ед. изм.</t>
        </is>
      </c>
      <c r="E10" s="216" t="inlineStr">
        <is>
          <t>Кол-во единиц по проектным данным</t>
        </is>
      </c>
      <c r="F10" s="216" t="inlineStr">
        <is>
          <t>Сметная стоимость в ценах на 01.01.2000 (руб.)</t>
        </is>
      </c>
      <c r="G10" s="349" t="n"/>
      <c r="H10" s="216" t="inlineStr">
        <is>
          <t>Удельный вес, %</t>
        </is>
      </c>
      <c r="I10" s="216" t="inlineStr">
        <is>
          <t>Сметная стоимость в ценах на 01.01.2023 (руб.)</t>
        </is>
      </c>
      <c r="J10" s="349" t="n"/>
      <c r="M10" s="12" t="n"/>
      <c r="N10" s="12" t="n"/>
    </row>
    <row r="11" ht="28.5" customHeight="1">
      <c r="A11" s="351" t="n"/>
      <c r="B11" s="351" t="n"/>
      <c r="C11" s="351" t="n"/>
      <c r="D11" s="351" t="n"/>
      <c r="E11" s="351" t="n"/>
      <c r="F11" s="216" t="inlineStr">
        <is>
          <t>на ед. изм.</t>
        </is>
      </c>
      <c r="G11" s="216" t="inlineStr">
        <is>
          <t>общая</t>
        </is>
      </c>
      <c r="H11" s="351" t="n"/>
      <c r="I11" s="216" t="inlineStr">
        <is>
          <t>на ед. изм.</t>
        </is>
      </c>
      <c r="J11" s="216" t="inlineStr">
        <is>
          <t>общая</t>
        </is>
      </c>
      <c r="M11" s="12" t="n"/>
      <c r="N11" s="12" t="n"/>
    </row>
    <row r="12">
      <c r="A12" s="216" t="n">
        <v>1</v>
      </c>
      <c r="B12" s="216" t="n">
        <v>2</v>
      </c>
      <c r="C12" s="216" t="n">
        <v>3</v>
      </c>
      <c r="D12" s="216" t="n">
        <v>4</v>
      </c>
      <c r="E12" s="216" t="n">
        <v>5</v>
      </c>
      <c r="F12" s="216" t="n">
        <v>6</v>
      </c>
      <c r="G12" s="216" t="n">
        <v>7</v>
      </c>
      <c r="H12" s="216" t="n">
        <v>8</v>
      </c>
      <c r="I12" s="210" t="n">
        <v>9</v>
      </c>
      <c r="J12" s="210" t="n">
        <v>10</v>
      </c>
      <c r="M12" s="12" t="n"/>
      <c r="N12" s="12" t="n"/>
    </row>
    <row r="13">
      <c r="A13" s="216" t="n"/>
      <c r="B13" s="214" t="inlineStr">
        <is>
          <t>Затраты труда рабочих-строителей</t>
        </is>
      </c>
      <c r="C13" s="348" t="n"/>
      <c r="D13" s="348" t="n"/>
      <c r="E13" s="348" t="n"/>
      <c r="F13" s="348" t="n"/>
      <c r="G13" s="348" t="n"/>
      <c r="H13" s="349" t="n"/>
      <c r="I13" s="160" t="n"/>
      <c r="J13" s="160" t="n"/>
    </row>
    <row r="14">
      <c r="A14" s="216" t="n">
        <v>1</v>
      </c>
      <c r="B14" s="178" t="inlineStr">
        <is>
          <t>10-3-1</t>
        </is>
      </c>
      <c r="C14" s="170" t="inlineStr">
        <is>
          <t>Инженер I категории</t>
        </is>
      </c>
      <c r="D14" s="171" t="inlineStr">
        <is>
          <t>чел.-ч</t>
        </is>
      </c>
      <c r="E14" s="357" t="n">
        <v>20</v>
      </c>
      <c r="F14" s="170" t="n">
        <v>15.49</v>
      </c>
      <c r="G14" s="27">
        <f>'Прил. 3'!H11</f>
        <v/>
      </c>
      <c r="H14" s="119">
        <f>G14/G16</f>
        <v/>
      </c>
      <c r="I14" s="27">
        <f>ФОТр.тек.!E14</f>
        <v/>
      </c>
      <c r="J14" s="27">
        <f>ROUND(I14*E14,2)</f>
        <v/>
      </c>
    </row>
    <row r="15">
      <c r="A15" s="216" t="n">
        <v>2</v>
      </c>
      <c r="B15" s="178" t="inlineStr">
        <is>
          <t>10-3-2</t>
        </is>
      </c>
      <c r="C15" s="170" t="inlineStr">
        <is>
          <t>Инженер II категории</t>
        </is>
      </c>
      <c r="D15" s="171" t="inlineStr">
        <is>
          <t>чел.-ч</t>
        </is>
      </c>
      <c r="E15" s="357" t="n">
        <v>20</v>
      </c>
      <c r="F15" s="170" t="n">
        <v>14.09</v>
      </c>
      <c r="G15" s="27">
        <f>'Прил. 3'!H12</f>
        <v/>
      </c>
      <c r="H15" s="119">
        <f>G15/G16</f>
        <v/>
      </c>
      <c r="I15" s="27">
        <f>ФОТр.тек.!E22</f>
        <v/>
      </c>
      <c r="J15" s="27">
        <f>ROUND(I15*E15,2)</f>
        <v/>
      </c>
    </row>
    <row r="16" ht="25.5" customFormat="1" customHeight="1" s="12">
      <c r="A16" s="216" t="n"/>
      <c r="B16" s="216" t="n"/>
      <c r="C16" s="214" t="inlineStr">
        <is>
          <t>Итого по разделу "Затраты труда рабочих-строителей"</t>
        </is>
      </c>
      <c r="D16" s="216" t="inlineStr">
        <is>
          <t>чел.-ч.</t>
        </is>
      </c>
      <c r="E16" s="358">
        <f>SUM(E14:E15)</f>
        <v/>
      </c>
      <c r="F16" s="27" t="n"/>
      <c r="G16" s="27">
        <f>SUM(G14:G15)</f>
        <v/>
      </c>
      <c r="H16" s="219" t="n">
        <v>1</v>
      </c>
      <c r="I16" s="160" t="n"/>
      <c r="J16" s="27">
        <f>SUM(J14:J15)</f>
        <v/>
      </c>
    </row>
    <row r="17" ht="14.25" customFormat="1" customHeight="1" s="12">
      <c r="A17" s="216" t="n"/>
      <c r="B17" s="215" t="inlineStr">
        <is>
          <t>Затраты труда машинистов</t>
        </is>
      </c>
      <c r="C17" s="348" t="n"/>
      <c r="D17" s="348" t="n"/>
      <c r="E17" s="348" t="n"/>
      <c r="F17" s="348" t="n"/>
      <c r="G17" s="348" t="n"/>
      <c r="H17" s="349" t="n"/>
      <c r="I17" s="160" t="n"/>
      <c r="J17" s="160" t="n"/>
    </row>
    <row r="18" ht="14.25" customFormat="1" customHeight="1" s="12">
      <c r="A18" s="216" t="n">
        <v>4</v>
      </c>
      <c r="B18" s="216" t="n">
        <v>2</v>
      </c>
      <c r="C18" s="215" t="inlineStr">
        <is>
          <t>Затраты труда машинистов</t>
        </is>
      </c>
      <c r="D18" s="216" t="inlineStr">
        <is>
          <t>чел.-ч.</t>
        </is>
      </c>
      <c r="E18" s="358" t="n">
        <v>0</v>
      </c>
      <c r="F18" s="27" t="n">
        <v>0</v>
      </c>
      <c r="G18" s="27" t="n">
        <v>0</v>
      </c>
      <c r="H18" s="219" t="n">
        <v>1</v>
      </c>
      <c r="I18" s="27">
        <f>ROUND(F18*'Прил. 10'!D11,2)</f>
        <v/>
      </c>
      <c r="J18" s="27">
        <f>ROUND(I18*E18,2)</f>
        <v/>
      </c>
    </row>
    <row r="19" ht="14.25" customFormat="1" customHeight="1" s="12">
      <c r="A19" s="216" t="n"/>
      <c r="B19" s="214" t="inlineStr">
        <is>
          <t>Машины и механизмы</t>
        </is>
      </c>
      <c r="C19" s="348" t="n"/>
      <c r="D19" s="348" t="n"/>
      <c r="E19" s="348" t="n"/>
      <c r="F19" s="348" t="n"/>
      <c r="G19" s="348" t="n"/>
      <c r="H19" s="349" t="n"/>
      <c r="I19" s="160" t="n"/>
      <c r="J19" s="160" t="n"/>
    </row>
    <row r="20" ht="14.25" customFormat="1" customHeight="1" s="12">
      <c r="A20" s="210" t="n"/>
      <c r="B20" s="209" t="inlineStr">
        <is>
          <t>Основные машины и механизмы</t>
        </is>
      </c>
      <c r="C20" s="359" t="n"/>
      <c r="D20" s="359" t="n"/>
      <c r="E20" s="359" t="n"/>
      <c r="F20" s="359" t="n"/>
      <c r="G20" s="359" t="n"/>
      <c r="H20" s="360" t="n"/>
      <c r="I20" s="161" t="n"/>
      <c r="J20" s="161" t="n"/>
    </row>
    <row r="21" ht="25.5" customFormat="1" customHeight="1" s="12">
      <c r="A21" s="339" t="n">
        <v>5</v>
      </c>
      <c r="B21" s="319" t="inlineStr">
        <is>
          <t>91.05.05-015</t>
        </is>
      </c>
      <c r="C21" s="320" t="inlineStr">
        <is>
          <t>Краны на автомобильном ходу, грузоподъемность 16 т</t>
        </is>
      </c>
      <c r="D21" s="319" t="inlineStr">
        <is>
          <t>маш.-ч.</t>
        </is>
      </c>
      <c r="E21" s="361" t="n">
        <v>0.792</v>
      </c>
      <c r="F21" s="320" t="n">
        <v>115.4</v>
      </c>
      <c r="G21" s="341">
        <f>ROUND(E21*F21,2)</f>
        <v/>
      </c>
      <c r="H21" s="342">
        <f>G21/$G$27</f>
        <v/>
      </c>
      <c r="I21" s="331">
        <f>ROUND(F21*'Прил. 10'!$D$12,2)</f>
        <v/>
      </c>
      <c r="J21" s="331">
        <f>ROUND(I21*E21,2)</f>
        <v/>
      </c>
    </row>
    <row r="22" ht="25.5" customFormat="1" customHeight="1" s="12">
      <c r="A22" s="339" t="n">
        <v>6</v>
      </c>
      <c r="B22" s="319" t="inlineStr">
        <is>
          <t>91.14.02-001</t>
        </is>
      </c>
      <c r="C22" s="320" t="inlineStr">
        <is>
          <t>Автомобили бортовые, грузоподъемность до 5 т</t>
        </is>
      </c>
      <c r="D22" s="319" t="inlineStr">
        <is>
          <t>маш.-ч.</t>
        </is>
      </c>
      <c r="E22" s="361" t="n">
        <v>1.2517</v>
      </c>
      <c r="F22" s="320" t="n">
        <v>65.7</v>
      </c>
      <c r="G22" s="341">
        <f>ROUND(E22*F22,2)</f>
        <v/>
      </c>
      <c r="H22" s="342">
        <f>G22/$G$27</f>
        <v/>
      </c>
      <c r="I22" s="331">
        <f>ROUND(F22*'Прил. 10'!$D$12,2)</f>
        <v/>
      </c>
      <c r="J22" s="331">
        <f>ROUND(I22*E22,2)</f>
        <v/>
      </c>
      <c r="L22" s="24" t="n"/>
    </row>
    <row r="23" ht="14.25" customFormat="1" customHeight="1" s="12">
      <c r="A23" s="339" t="n"/>
      <c r="B23" s="339" t="n"/>
      <c r="C23" s="338" t="inlineStr">
        <is>
          <t>Итого основные машины и механизмы</t>
        </is>
      </c>
      <c r="D23" s="339" t="n"/>
      <c r="E23" s="362" t="n"/>
      <c r="F23" s="324" t="n"/>
      <c r="G23" s="324">
        <f>G21+G22</f>
        <v/>
      </c>
      <c r="H23" s="342">
        <f>G23/G27</f>
        <v/>
      </c>
      <c r="I23" s="324" t="n"/>
      <c r="J23" s="324">
        <f>J21+J22</f>
        <v/>
      </c>
    </row>
    <row r="24" outlineLevel="1" ht="25.5" customFormat="1" customHeight="1" s="12">
      <c r="A24" s="339" t="n">
        <v>7</v>
      </c>
      <c r="B24" s="319" t="inlineStr">
        <is>
          <t>91.06.03-060</t>
        </is>
      </c>
      <c r="C24" s="320" t="inlineStr">
        <is>
          <t>Лебедки электрические тяговым усилием до 5,79 кН (0,59 т)</t>
        </is>
      </c>
      <c r="D24" s="319" t="inlineStr">
        <is>
          <t>маш.-ч.</t>
        </is>
      </c>
      <c r="E24" s="361" t="n">
        <v>0.966</v>
      </c>
      <c r="F24" s="320" t="n">
        <v>1.7</v>
      </c>
      <c r="G24" s="324">
        <f>ROUND(E24*F24,2)</f>
        <v/>
      </c>
      <c r="H24" s="342">
        <f>G24/$G$27</f>
        <v/>
      </c>
      <c r="I24" s="324">
        <f>ROUND(F24*'Прил. 10'!$D$12,2)</f>
        <v/>
      </c>
      <c r="J24" s="324">
        <f>ROUND(I24*E24,2)</f>
        <v/>
      </c>
    </row>
    <row r="25" outlineLevel="1" ht="38.25" customFormat="1" customHeight="1" s="12">
      <c r="A25" s="339" t="n">
        <v>8</v>
      </c>
      <c r="B25" s="319" t="inlineStr">
        <is>
          <t>91.06.06-048</t>
        </is>
      </c>
      <c r="C25" s="320" t="inlineStr">
        <is>
          <t>Подъемники одномачтовые, грузоподъемность до 500 кг, высота подъема 45 м</t>
        </is>
      </c>
      <c r="D25" s="319" t="inlineStr">
        <is>
          <t>маш.-ч.</t>
        </is>
      </c>
      <c r="E25" s="361" t="n">
        <v>0.0173</v>
      </c>
      <c r="F25" s="320" t="n">
        <v>31.21</v>
      </c>
      <c r="G25" s="324">
        <f>ROUND(E25*F25,2)</f>
        <v/>
      </c>
      <c r="H25" s="342">
        <f>G25/$G$27</f>
        <v/>
      </c>
      <c r="I25" s="324">
        <f>ROUND(F25*'Прил. 10'!$D$12,2)</f>
        <v/>
      </c>
      <c r="J25" s="324">
        <f>ROUND(I25*E25,2)</f>
        <v/>
      </c>
    </row>
    <row r="26" ht="14.25" customFormat="1" customHeight="1" s="12">
      <c r="A26" s="339" t="n"/>
      <c r="B26" s="339" t="n"/>
      <c r="C26" s="338" t="inlineStr">
        <is>
          <t>Итого прочие машины и механизмы</t>
        </is>
      </c>
      <c r="D26" s="339" t="n"/>
      <c r="E26" s="340" t="n"/>
      <c r="F26" s="324" t="n"/>
      <c r="G26" s="324">
        <f>SUM(G24:G25)</f>
        <v/>
      </c>
      <c r="H26" s="342">
        <f>G26/G27</f>
        <v/>
      </c>
      <c r="I26" s="324" t="n"/>
      <c r="J26" s="324">
        <f>SUM(J24:J25)</f>
        <v/>
      </c>
    </row>
    <row r="27" ht="25.5" customFormat="1" customHeight="1" s="12">
      <c r="A27" s="339" t="n"/>
      <c r="B27" s="339" t="n"/>
      <c r="C27" s="332" t="inlineStr">
        <is>
          <t>Итого по разделу «Машины и механизмы»</t>
        </is>
      </c>
      <c r="D27" s="339" t="n"/>
      <c r="E27" s="340" t="n"/>
      <c r="F27" s="324" t="n"/>
      <c r="G27" s="324">
        <f>G23+G26</f>
        <v/>
      </c>
      <c r="H27" s="342" t="n">
        <v>1</v>
      </c>
      <c r="I27" s="324" t="n"/>
      <c r="J27" s="324">
        <f>J26+J23</f>
        <v/>
      </c>
    </row>
    <row r="28" ht="14.25" customFormat="1" customHeight="1" s="12">
      <c r="A28" s="339" t="n"/>
      <c r="B28" s="332" t="inlineStr">
        <is>
          <t>Оборудование</t>
        </is>
      </c>
      <c r="C28" s="354" t="n"/>
      <c r="D28" s="354" t="n"/>
      <c r="E28" s="354" t="n"/>
      <c r="F28" s="354" t="n"/>
      <c r="G28" s="354" t="n"/>
      <c r="H28" s="352" t="n"/>
      <c r="I28" s="337" t="n"/>
      <c r="J28" s="337" t="n"/>
    </row>
    <row r="29">
      <c r="A29" s="339" t="n"/>
      <c r="B29" s="338" t="inlineStr">
        <is>
          <t>Основное оборудование</t>
        </is>
      </c>
      <c r="C29" s="354" t="n"/>
      <c r="D29" s="354" t="n"/>
      <c r="E29" s="354" t="n"/>
      <c r="F29" s="354" t="n"/>
      <c r="G29" s="354" t="n"/>
      <c r="H29" s="352" t="n"/>
      <c r="I29" s="337" t="n"/>
      <c r="J29" s="337" t="n"/>
    </row>
    <row r="30">
      <c r="A30" s="339" t="n">
        <v>9</v>
      </c>
      <c r="B30" s="319" t="inlineStr">
        <is>
          <t>БЦ.33.26</t>
        </is>
      </c>
      <c r="C30" s="343" t="inlineStr">
        <is>
          <t>АРМ персонала АСУТП (РЗА)</t>
        </is>
      </c>
      <c r="D30" s="319" t="inlineStr">
        <is>
          <t>шт</t>
        </is>
      </c>
      <c r="E30" s="361" t="n">
        <v>1</v>
      </c>
      <c r="F30" s="340">
        <f>ROUND(I30/'Прил. 10'!$D$14,2)</f>
        <v/>
      </c>
      <c r="G30" s="341">
        <f>ROUND(E30*F30,2)</f>
        <v/>
      </c>
      <c r="H30" s="342">
        <f>G30/$G$34</f>
        <v/>
      </c>
      <c r="I30" s="331" t="n">
        <v>229564.8</v>
      </c>
      <c r="J30" s="331">
        <f>ROUND(I30*E30,2)</f>
        <v/>
      </c>
    </row>
    <row r="31">
      <c r="A31" s="339" t="n">
        <v>10</v>
      </c>
      <c r="B31" s="319" t="inlineStr">
        <is>
          <t>Прайс из СД ОП</t>
        </is>
      </c>
      <c r="C31" s="343" t="inlineStr">
        <is>
          <t>Мебель для АРМ</t>
        </is>
      </c>
      <c r="D31" s="319" t="inlineStr">
        <is>
          <t>шт</t>
        </is>
      </c>
      <c r="E31" s="361" t="n">
        <v>1</v>
      </c>
      <c r="F31" s="340" t="n">
        <v>16793</v>
      </c>
      <c r="G31" s="341">
        <f>ROUND(E31*F31,2)</f>
        <v/>
      </c>
      <c r="H31" s="342">
        <f>G31/$G$34</f>
        <v/>
      </c>
      <c r="I31" s="331">
        <f>ROUND(F31*'Прил. 10'!$D$14,2)</f>
        <v/>
      </c>
      <c r="J31" s="331">
        <f>ROUND(I31*E31,2)</f>
        <v/>
      </c>
    </row>
    <row r="32">
      <c r="A32" s="339" t="n"/>
      <c r="B32" s="339" t="n"/>
      <c r="C32" s="338" t="inlineStr">
        <is>
          <t>Итого основное оборудование</t>
        </is>
      </c>
      <c r="D32" s="339" t="n"/>
      <c r="E32" s="363" t="n"/>
      <c r="F32" s="341" t="n"/>
      <c r="G32" s="324">
        <f>SUM(G30:G31)</f>
        <v/>
      </c>
      <c r="H32" s="342">
        <f>G32/$G$34</f>
        <v/>
      </c>
      <c r="I32" s="324" t="n"/>
      <c r="J32" s="324">
        <f>SUM(J30:J31)</f>
        <v/>
      </c>
    </row>
    <row r="33">
      <c r="A33" s="345" t="n"/>
      <c r="B33" s="339" t="n"/>
      <c r="C33" s="338" t="inlineStr">
        <is>
          <t>Итого прочее оборудование</t>
        </is>
      </c>
      <c r="D33" s="339" t="n"/>
      <c r="E33" s="363" t="n"/>
      <c r="F33" s="341" t="n"/>
      <c r="G33" s="324" t="n">
        <v>0</v>
      </c>
      <c r="H33" s="316">
        <f>G33/$G$34</f>
        <v/>
      </c>
      <c r="I33" s="324" t="n"/>
      <c r="J33" s="324" t="n">
        <v>0</v>
      </c>
    </row>
    <row r="34">
      <c r="A34" s="339" t="n"/>
      <c r="B34" s="339" t="n"/>
      <c r="C34" s="332" t="inlineStr">
        <is>
          <t>Итого по разделу «Оборудование»</t>
        </is>
      </c>
      <c r="D34" s="339" t="n"/>
      <c r="E34" s="340" t="n"/>
      <c r="F34" s="341" t="n"/>
      <c r="G34" s="324">
        <f>G32+G33</f>
        <v/>
      </c>
      <c r="H34" s="316">
        <f>G34/$G$34</f>
        <v/>
      </c>
      <c r="I34" s="324" t="n"/>
      <c r="J34" s="324">
        <f>J33+J32</f>
        <v/>
      </c>
    </row>
    <row r="35" ht="25.5" customHeight="1">
      <c r="A35" s="339" t="n"/>
      <c r="B35" s="339" t="n"/>
      <c r="C35" s="338" t="inlineStr">
        <is>
          <t>в том числе технологическое оборудование</t>
        </is>
      </c>
      <c r="D35" s="339" t="n"/>
      <c r="E35" s="362" t="n"/>
      <c r="F35" s="341" t="n"/>
      <c r="G35" s="324">
        <f>'Прил.6 Расчет ОБ'!G14</f>
        <v/>
      </c>
      <c r="H35" s="342" t="n"/>
      <c r="I35" s="324" t="n"/>
      <c r="J35" s="324">
        <f>ROUND(G35*'Прил. 10'!D14,2)</f>
        <v/>
      </c>
    </row>
    <row r="36" ht="14.25" customFormat="1" customHeight="1" s="12">
      <c r="A36" s="339" t="n"/>
      <c r="B36" s="332" t="inlineStr">
        <is>
          <t>Материалы</t>
        </is>
      </c>
      <c r="C36" s="354" t="n"/>
      <c r="D36" s="354" t="n"/>
      <c r="E36" s="354" t="n"/>
      <c r="F36" s="354" t="n"/>
      <c r="G36" s="354" t="n"/>
      <c r="H36" s="352" t="n"/>
      <c r="I36" s="337" t="n"/>
      <c r="J36" s="337" t="n"/>
    </row>
    <row r="37" ht="14.25" customFormat="1" customHeight="1" s="12">
      <c r="A37" s="339" t="n"/>
      <c r="B37" s="338" t="inlineStr">
        <is>
          <t>Основные материалы</t>
        </is>
      </c>
      <c r="C37" s="354" t="n"/>
      <c r="D37" s="354" t="n"/>
      <c r="E37" s="354" t="n"/>
      <c r="F37" s="354" t="n"/>
      <c r="G37" s="354" t="n"/>
      <c r="H37" s="352" t="n"/>
      <c r="I37" s="337" t="n"/>
      <c r="J37" s="337" t="n"/>
    </row>
    <row r="38" ht="25.5" customFormat="1" customHeight="1" s="12">
      <c r="A38" s="339" t="n">
        <v>11</v>
      </c>
      <c r="B38" s="319" t="inlineStr">
        <is>
          <t>999-9950</t>
        </is>
      </c>
      <c r="C38" s="320" t="inlineStr">
        <is>
          <t>Вспомогательные ненормируемые материальные ресурсы</t>
        </is>
      </c>
      <c r="D38" s="319" t="inlineStr">
        <is>
          <t>руб</t>
        </is>
      </c>
      <c r="E38" s="361" t="n">
        <v>29.2702</v>
      </c>
      <c r="F38" s="320" t="n">
        <v>1</v>
      </c>
      <c r="G38" s="322">
        <f>ROUND(E38*F38,2)</f>
        <v/>
      </c>
      <c r="H38" s="342">
        <f>G38/$G$54</f>
        <v/>
      </c>
      <c r="I38" s="324">
        <f>ROUND(F38*'Прил. 10'!$D$13,2)</f>
        <v/>
      </c>
      <c r="J38" s="324">
        <f>ROUND(I38*E38,2)</f>
        <v/>
      </c>
    </row>
    <row r="39" ht="25.5" customFormat="1" customHeight="1" s="12">
      <c r="A39" s="339" t="n">
        <v>12</v>
      </c>
      <c r="B39" s="319" t="inlineStr">
        <is>
          <t>20.2.10.03-0006</t>
        </is>
      </c>
      <c r="C39" s="320" t="inlineStr">
        <is>
          <t>Наконечники кабельные медные соединительные</t>
        </is>
      </c>
      <c r="D39" s="319" t="inlineStr">
        <is>
          <t>100 шт</t>
        </is>
      </c>
      <c r="E39" s="361" t="n">
        <v>0.06</v>
      </c>
      <c r="F39" s="320" t="n">
        <v>365</v>
      </c>
      <c r="G39" s="322">
        <f>ROUND(E39*F39,2)</f>
        <v/>
      </c>
      <c r="H39" s="342">
        <f>G39/$G$54</f>
        <v/>
      </c>
      <c r="I39" s="324">
        <f>ROUND(F39*'Прил. 10'!$D$13,2)</f>
        <v/>
      </c>
      <c r="J39" s="324">
        <f>ROUND(I39*E39,2)</f>
        <v/>
      </c>
    </row>
    <row r="40" ht="25.5" customFormat="1" customHeight="1" s="12">
      <c r="A40" s="339" t="n">
        <v>13</v>
      </c>
      <c r="B40" s="319" t="inlineStr">
        <is>
          <t>01.7.15.03-0033</t>
        </is>
      </c>
      <c r="C40" s="320" t="inlineStr">
        <is>
          <t>Болты с гайками и шайбами оцинкованные, диаметр 10 мм</t>
        </is>
      </c>
      <c r="D40" s="319" t="inlineStr">
        <is>
          <t>кг</t>
        </is>
      </c>
      <c r="E40" s="361" t="n">
        <v>0.584</v>
      </c>
      <c r="F40" s="320" t="n">
        <v>26.32</v>
      </c>
      <c r="G40" s="322">
        <f>ROUND(E40*F40,2)</f>
        <v/>
      </c>
      <c r="H40" s="342">
        <f>G40/$G$54</f>
        <v/>
      </c>
      <c r="I40" s="324">
        <f>ROUND(F40*'Прил. 10'!$D$13,2)</f>
        <v/>
      </c>
      <c r="J40" s="324">
        <f>ROUND(I40*E40,2)</f>
        <v/>
      </c>
    </row>
    <row r="41" ht="14.25" customFormat="1" customHeight="1" s="12">
      <c r="A41" s="339" t="n">
        <v>14</v>
      </c>
      <c r="B41" s="319" t="inlineStr">
        <is>
          <t>11.2.07.12-0011</t>
        </is>
      </c>
      <c r="C41" s="320" t="inlineStr">
        <is>
          <t>Штапик (раскладка), размер 19x19 мм</t>
        </is>
      </c>
      <c r="D41" s="319" t="inlineStr">
        <is>
          <t>м</t>
        </is>
      </c>
      <c r="E41" s="361" t="n">
        <v>4</v>
      </c>
      <c r="F41" s="320" t="n">
        <v>3.2</v>
      </c>
      <c r="G41" s="322">
        <f>ROUND(E41*F41,2)</f>
        <v/>
      </c>
      <c r="H41" s="342">
        <f>G41/$G$54</f>
        <v/>
      </c>
      <c r="I41" s="324">
        <f>ROUND(F41*'Прил. 10'!$D$13,2)</f>
        <v/>
      </c>
      <c r="J41" s="324">
        <f>ROUND(I41*E41,2)</f>
        <v/>
      </c>
    </row>
    <row r="42" ht="14.25" customFormat="1" customHeight="1" s="12">
      <c r="A42" s="339" t="n">
        <v>15</v>
      </c>
      <c r="B42" s="319" t="inlineStr">
        <is>
          <t>01.7.19.08-0012</t>
        </is>
      </c>
      <c r="C42" s="320" t="inlineStr">
        <is>
          <t>Рукав резиновый вентиляционный</t>
        </is>
      </c>
      <c r="D42" s="319" t="inlineStr">
        <is>
          <t>м</t>
        </is>
      </c>
      <c r="E42" s="361" t="n">
        <v>1</v>
      </c>
      <c r="F42" s="320" t="n">
        <v>10.7</v>
      </c>
      <c r="G42" s="322">
        <f>ROUND(E42*F42,2)</f>
        <v/>
      </c>
      <c r="H42" s="342">
        <f>G42/$G$54</f>
        <v/>
      </c>
      <c r="I42" s="324">
        <f>ROUND(F42*'Прил. 10'!$D$13,2)</f>
        <v/>
      </c>
      <c r="J42" s="324">
        <f>ROUND(I42*E42,2)</f>
        <v/>
      </c>
    </row>
    <row r="43" ht="25.5" customFormat="1" customHeight="1" s="12">
      <c r="A43" s="339" t="n">
        <v>16</v>
      </c>
      <c r="B43" s="319" t="inlineStr">
        <is>
          <t>01.7.15.03-0031</t>
        </is>
      </c>
      <c r="C43" s="320" t="inlineStr">
        <is>
          <t>Болты с гайками и шайбами оцинкованные, диаметр 6 мм</t>
        </is>
      </c>
      <c r="D43" s="319" t="inlineStr">
        <is>
          <t>кг</t>
        </is>
      </c>
      <c r="E43" s="361" t="n">
        <v>0.2374</v>
      </c>
      <c r="F43" s="320" t="n">
        <v>28.18</v>
      </c>
      <c r="G43" s="322">
        <f>ROUND(E43*F43,2)</f>
        <v/>
      </c>
      <c r="H43" s="342">
        <f>G43/$G$54</f>
        <v/>
      </c>
      <c r="I43" s="324">
        <f>ROUND(F43*'Прил. 10'!$D$13,2)</f>
        <v/>
      </c>
      <c r="J43" s="324">
        <f>ROUND(I43*E43,2)</f>
        <v/>
      </c>
    </row>
    <row r="44" ht="14.25" customFormat="1" customHeight="1" s="12">
      <c r="A44" s="339" t="n"/>
      <c r="B44" s="299" t="n"/>
      <c r="C44" s="338" t="inlineStr">
        <is>
          <t>Итого основные материалы</t>
        </is>
      </c>
      <c r="D44" s="339" t="n"/>
      <c r="E44" s="362" t="n"/>
      <c r="F44" s="324" t="n"/>
      <c r="G44" s="324">
        <f>SUM(G38:G43)</f>
        <v/>
      </c>
      <c r="H44" s="342">
        <f>G44/$G$54</f>
        <v/>
      </c>
      <c r="I44" s="324" t="n"/>
      <c r="J44" s="324">
        <f>SUM(J38:J43)</f>
        <v/>
      </c>
    </row>
    <row r="45" outlineLevel="1" ht="14.25" customFormat="1" customHeight="1" s="12">
      <c r="A45" s="339" t="n">
        <v>17</v>
      </c>
      <c r="B45" s="319" t="inlineStr">
        <is>
          <t>01.7.20.04-0003</t>
        </is>
      </c>
      <c r="C45" s="320" t="inlineStr">
        <is>
          <t>Нитки суровые</t>
        </is>
      </c>
      <c r="D45" s="319" t="inlineStr">
        <is>
          <t>кг</t>
        </is>
      </c>
      <c r="E45" s="319" t="n">
        <v>0.016</v>
      </c>
      <c r="F45" s="320" t="n">
        <v>155</v>
      </c>
      <c r="G45" s="322">
        <f>ROUND(E45*F45,2)</f>
        <v/>
      </c>
      <c r="H45" s="342">
        <f>G45/$G$54</f>
        <v/>
      </c>
      <c r="I45" s="324">
        <f>ROUND(F45*'Прил. 10'!$D$13,2)</f>
        <v/>
      </c>
      <c r="J45" s="324">
        <f>ROUND(I45*E45,2)</f>
        <v/>
      </c>
    </row>
    <row r="46" outlineLevel="1" ht="25.5" customFormat="1" customHeight="1" s="12">
      <c r="A46" s="339" t="n">
        <v>18</v>
      </c>
      <c r="B46" s="319" t="inlineStr">
        <is>
          <t>10.3.02.03-0013</t>
        </is>
      </c>
      <c r="C46" s="320" t="inlineStr">
        <is>
          <t>Припои оловянно-свинцовые бессурьмянистые, марка ПОС61</t>
        </is>
      </c>
      <c r="D46" s="319" t="inlineStr">
        <is>
          <t>т</t>
        </is>
      </c>
      <c r="E46" s="319" t="n">
        <v>2e-05</v>
      </c>
      <c r="F46" s="320" t="n">
        <v>114000</v>
      </c>
      <c r="G46" s="322">
        <f>ROUND(E46*F46,2)</f>
        <v/>
      </c>
      <c r="H46" s="342">
        <f>G46/$G$54</f>
        <v/>
      </c>
      <c r="I46" s="324">
        <f>ROUND(F46*'Прил. 10'!$D$13,2)</f>
        <v/>
      </c>
      <c r="J46" s="324">
        <f>ROUND(I46*E46,2)</f>
        <v/>
      </c>
    </row>
    <row r="47" outlineLevel="1" ht="25.5" customFormat="1" customHeight="1" s="12">
      <c r="A47" s="339" t="n">
        <v>19</v>
      </c>
      <c r="B47" s="319" t="inlineStr">
        <is>
          <t>08.1.02.11-0001</t>
        </is>
      </c>
      <c r="C47" s="320" t="inlineStr">
        <is>
          <t>Поковки из квадратных заготовок, масса 1,8 кг</t>
        </is>
      </c>
      <c r="D47" s="319" t="inlineStr">
        <is>
          <t>т</t>
        </is>
      </c>
      <c r="E47" s="319" t="n">
        <v>0.00035</v>
      </c>
      <c r="F47" s="320" t="n">
        <v>6000</v>
      </c>
      <c r="G47" s="322">
        <f>ROUND(E47*F47,2)</f>
        <v/>
      </c>
      <c r="H47" s="342">
        <f>G47/$G$54</f>
        <v/>
      </c>
      <c r="I47" s="324">
        <f>ROUND(F47*'Прил. 10'!$D$13,2)</f>
        <v/>
      </c>
      <c r="J47" s="324">
        <f>ROUND(I47*E47,2)</f>
        <v/>
      </c>
    </row>
    <row r="48" outlineLevel="1" ht="14.25" customFormat="1" customHeight="1" s="12">
      <c r="A48" s="339" t="n">
        <v>20</v>
      </c>
      <c r="B48" s="319" t="inlineStr">
        <is>
          <t>01.7.15.06-0111</t>
        </is>
      </c>
      <c r="C48" s="320" t="inlineStr">
        <is>
          <t>Гвозди строительные</t>
        </is>
      </c>
      <c r="D48" s="319" t="inlineStr">
        <is>
          <t>т</t>
        </is>
      </c>
      <c r="E48" s="319" t="n">
        <v>0.00012</v>
      </c>
      <c r="F48" s="320" t="n">
        <v>12000</v>
      </c>
      <c r="G48" s="322">
        <f>ROUND(E48*F48,2)</f>
        <v/>
      </c>
      <c r="H48" s="342">
        <f>G48/$G$54</f>
        <v/>
      </c>
      <c r="I48" s="324">
        <f>ROUND(F48*'Прил. 10'!$D$13,2)</f>
        <v/>
      </c>
      <c r="J48" s="324">
        <f>ROUND(I48*E48,2)</f>
        <v/>
      </c>
    </row>
    <row r="49" outlineLevel="1" ht="38.25" customFormat="1" customHeight="1" s="12">
      <c r="A49" s="339" t="n">
        <v>21</v>
      </c>
      <c r="B49" s="319" t="inlineStr">
        <is>
          <t>01.7.06.05-0042</t>
        </is>
      </c>
      <c r="C49" s="320" t="inlineStr">
        <is>
          <t>Лента липкая изоляционная на поликасиновом компаунде, ширина 20-30 мм, толщина от 0,14 до 0,19 мм</t>
        </is>
      </c>
      <c r="D49" s="319" t="inlineStr">
        <is>
          <t>кг</t>
        </is>
      </c>
      <c r="E49" s="319" t="n">
        <v>0.01</v>
      </c>
      <c r="F49" s="320" t="n">
        <v>91</v>
      </c>
      <c r="G49" s="322">
        <f>ROUND(E49*F49,2)</f>
        <v/>
      </c>
      <c r="H49" s="342">
        <f>G49/$G$54</f>
        <v/>
      </c>
      <c r="I49" s="324">
        <f>ROUND(F49*'Прил. 10'!$D$13,2)</f>
        <v/>
      </c>
      <c r="J49" s="324">
        <f>ROUND(I49*E49,2)</f>
        <v/>
      </c>
    </row>
    <row r="50" outlineLevel="1" ht="14.25" customFormat="1" customHeight="1" s="12">
      <c r="A50" s="339" t="n">
        <v>22</v>
      </c>
      <c r="B50" s="319" t="inlineStr">
        <is>
          <t>14.4.04.09-0017</t>
        </is>
      </c>
      <c r="C50" s="320" t="inlineStr">
        <is>
          <t>Эмаль ХВ-124, защитная, зеленая</t>
        </is>
      </c>
      <c r="D50" s="319" t="inlineStr">
        <is>
          <t>т</t>
        </is>
      </c>
      <c r="E50" s="319" t="n">
        <v>3e-05</v>
      </c>
      <c r="F50" s="320" t="n">
        <v>28333.33</v>
      </c>
      <c r="G50" s="322">
        <f>ROUND(E50*F50,2)</f>
        <v/>
      </c>
      <c r="H50" s="342">
        <f>G50/$G$54</f>
        <v/>
      </c>
      <c r="I50" s="324">
        <f>ROUND(F50*'Прил. 10'!$D$13,2)</f>
        <v/>
      </c>
      <c r="J50" s="324">
        <f>ROUND(I50*E50,2)</f>
        <v/>
      </c>
    </row>
    <row r="51" outlineLevel="1" ht="14.25" customFormat="1" customHeight="1" s="12">
      <c r="A51" s="339" t="n">
        <v>23</v>
      </c>
      <c r="B51" s="319" t="inlineStr">
        <is>
          <t>14.4.03.17-0011</t>
        </is>
      </c>
      <c r="C51" s="320" t="inlineStr">
        <is>
          <t>Лак электроизоляционный 318</t>
        </is>
      </c>
      <c r="D51" s="319" t="inlineStr">
        <is>
          <t>кг</t>
        </is>
      </c>
      <c r="E51" s="319" t="n">
        <v>0.02</v>
      </c>
      <c r="F51" s="320" t="n">
        <v>35.5</v>
      </c>
      <c r="G51" s="322">
        <f>ROUND(E51*F51,2)</f>
        <v/>
      </c>
      <c r="H51" s="342">
        <f>G51/$G$54</f>
        <v/>
      </c>
      <c r="I51" s="324">
        <f>ROUND(F51*'Прил. 10'!$D$13,2)</f>
        <v/>
      </c>
      <c r="J51" s="324">
        <f>ROUND(I51*E51,2)</f>
        <v/>
      </c>
    </row>
    <row r="52" outlineLevel="1" ht="25.5" customFormat="1" customHeight="1" s="12">
      <c r="A52" s="339" t="n">
        <v>24</v>
      </c>
      <c r="B52" s="319" t="inlineStr">
        <is>
          <t>10.3.02.03-0011</t>
        </is>
      </c>
      <c r="C52" s="320" t="inlineStr">
        <is>
          <t>Припои оловянно-свинцовые бессурьмянистые, марка ПОС30</t>
        </is>
      </c>
      <c r="D52" s="319" t="inlineStr">
        <is>
          <t>т</t>
        </is>
      </c>
      <c r="E52" s="319" t="n">
        <v>1e-05</v>
      </c>
      <c r="F52" s="320" t="n">
        <v>68000</v>
      </c>
      <c r="G52" s="322">
        <f>ROUND(E52*F52,2)</f>
        <v/>
      </c>
      <c r="H52" s="342">
        <f>G52/$G$54</f>
        <v/>
      </c>
      <c r="I52" s="324">
        <f>ROUND(F52*'Прил. 10'!$D$13,2)</f>
        <v/>
      </c>
      <c r="J52" s="324">
        <f>ROUND(I52*E52,2)</f>
        <v/>
      </c>
    </row>
    <row r="53" ht="14.25" customFormat="1" customHeight="1" s="12">
      <c r="A53" s="339" t="n"/>
      <c r="B53" s="339" t="n"/>
      <c r="C53" s="338" t="inlineStr">
        <is>
          <t>Итого прочие материалы</t>
        </is>
      </c>
      <c r="D53" s="339" t="n"/>
      <c r="E53" s="340" t="n"/>
      <c r="F53" s="341" t="n"/>
      <c r="G53" s="324">
        <f>SUM(G45:G52)</f>
        <v/>
      </c>
      <c r="H53" s="342">
        <f>G53/$G$54</f>
        <v/>
      </c>
      <c r="I53" s="324" t="n"/>
      <c r="J53" s="324">
        <f>SUM(J45:J52)</f>
        <v/>
      </c>
    </row>
    <row r="54" ht="14.25" customFormat="1" customHeight="1" s="12">
      <c r="A54" s="339" t="n"/>
      <c r="B54" s="339" t="n"/>
      <c r="C54" s="332" t="inlineStr">
        <is>
          <t>Итого по разделу «Материалы»</t>
        </is>
      </c>
      <c r="D54" s="339" t="n"/>
      <c r="E54" s="340" t="n"/>
      <c r="F54" s="341" t="n"/>
      <c r="G54" s="324">
        <f>G44+G53</f>
        <v/>
      </c>
      <c r="H54" s="342">
        <f>G54/$G$54</f>
        <v/>
      </c>
      <c r="I54" s="324" t="n"/>
      <c r="J54" s="324">
        <f>J44+J53</f>
        <v/>
      </c>
    </row>
    <row r="55" ht="14.25" customFormat="1" customHeight="1" s="12">
      <c r="A55" s="339" t="n"/>
      <c r="B55" s="339" t="n"/>
      <c r="C55" s="338" t="inlineStr">
        <is>
          <t>ИТОГО ПО РМ</t>
        </is>
      </c>
      <c r="D55" s="339" t="n"/>
      <c r="E55" s="340" t="n"/>
      <c r="F55" s="341" t="n"/>
      <c r="G55" s="324">
        <f>G16+G27+G54</f>
        <v/>
      </c>
      <c r="H55" s="342" t="n"/>
      <c r="I55" s="324" t="n"/>
      <c r="J55" s="324">
        <f>J16+J27+J54</f>
        <v/>
      </c>
    </row>
    <row r="56" ht="14.25" customFormat="1" customHeight="1" s="12">
      <c r="A56" s="339" t="n"/>
      <c r="B56" s="339" t="n"/>
      <c r="C56" s="338" t="inlineStr">
        <is>
          <t>Накладные расходы</t>
        </is>
      </c>
      <c r="D56" s="329" t="n">
        <v>0.5</v>
      </c>
      <c r="E56" s="340" t="n"/>
      <c r="F56" s="341" t="n"/>
      <c r="G56" s="324" t="n">
        <v>1348</v>
      </c>
      <c r="H56" s="342" t="n"/>
      <c r="I56" s="324" t="n"/>
      <c r="J56" s="324">
        <f>ROUND(D56*(J16+J18),2)</f>
        <v/>
      </c>
    </row>
    <row r="57" ht="14.25" customFormat="1" customHeight="1" s="12">
      <c r="A57" s="339" t="n"/>
      <c r="B57" s="339" t="n"/>
      <c r="C57" s="338" t="inlineStr">
        <is>
          <t>Сметная прибыль</t>
        </is>
      </c>
      <c r="D57" s="329" t="n">
        <v>0.22</v>
      </c>
      <c r="E57" s="340" t="n"/>
      <c r="F57" s="341" t="n"/>
      <c r="G57" s="324" t="n">
        <v>689</v>
      </c>
      <c r="H57" s="342" t="n"/>
      <c r="I57" s="324" t="n"/>
      <c r="J57" s="324">
        <f>ROUND(D57*(J16+J18),2)</f>
        <v/>
      </c>
    </row>
    <row r="58" ht="14.25" customFormat="1" customHeight="1" s="12">
      <c r="A58" s="339" t="n"/>
      <c r="B58" s="339" t="n"/>
      <c r="C58" s="338" t="inlineStr">
        <is>
          <t>Итого СМР (с НР и СП)</t>
        </is>
      </c>
      <c r="D58" s="339" t="n"/>
      <c r="E58" s="340" t="n"/>
      <c r="F58" s="341" t="n"/>
      <c r="G58" s="324">
        <f>G16+G27+G54+G56+G57</f>
        <v/>
      </c>
      <c r="H58" s="342" t="n"/>
      <c r="I58" s="324" t="n"/>
      <c r="J58" s="324">
        <f>J16+J27+J54+J56+J57</f>
        <v/>
      </c>
    </row>
    <row r="59" ht="14.25" customFormat="1" customHeight="1" s="12">
      <c r="A59" s="339" t="n"/>
      <c r="B59" s="339" t="n"/>
      <c r="C59" s="338" t="inlineStr">
        <is>
          <t>ВСЕГО СМР + ОБОРУДОВАНИЕ</t>
        </is>
      </c>
      <c r="D59" s="339" t="n"/>
      <c r="E59" s="340" t="n"/>
      <c r="F59" s="341" t="n"/>
      <c r="G59" s="324">
        <f>G58+G34</f>
        <v/>
      </c>
      <c r="H59" s="342" t="n"/>
      <c r="I59" s="324" t="n"/>
      <c r="J59" s="324">
        <f>J58+J34</f>
        <v/>
      </c>
    </row>
    <row r="60" ht="14.25" customFormat="1" customHeight="1" s="12">
      <c r="A60" s="339" t="n"/>
      <c r="B60" s="339" t="n"/>
      <c r="C60" s="338" t="inlineStr">
        <is>
          <t>ИТОГО ПОКАЗАТЕЛЬ НА ЕД. ИЗМ.</t>
        </is>
      </c>
      <c r="D60" s="339" t="inlineStr">
        <is>
          <t>ед.</t>
        </is>
      </c>
      <c r="E60" s="364" t="n">
        <v>1</v>
      </c>
      <c r="F60" s="341" t="n"/>
      <c r="G60" s="324">
        <f>G59/E60</f>
        <v/>
      </c>
      <c r="H60" s="342" t="n"/>
      <c r="I60" s="324" t="n"/>
      <c r="J60" s="324">
        <f>J59/E60</f>
        <v/>
      </c>
    </row>
    <row r="62" ht="14.25" customFormat="1" customHeight="1" s="12">
      <c r="A62" s="4" t="inlineStr">
        <is>
          <t>Составил ______________________    А.Р. Маркова</t>
        </is>
      </c>
      <c r="B62" s="156" t="n"/>
      <c r="C62" s="158" t="n"/>
      <c r="D62" s="156" t="n"/>
      <c r="E62" s="156" t="n"/>
      <c r="F62" s="159" t="n"/>
      <c r="G62" s="159" t="n"/>
      <c r="H62" s="159" t="n"/>
      <c r="I62" s="159" t="n"/>
      <c r="J62" s="159" t="n"/>
    </row>
    <row r="63" ht="14.25" customFormat="1" customHeight="1" s="12">
      <c r="A63" s="28" t="inlineStr">
        <is>
          <t xml:space="preserve">                         (подпись, инициалы, фамилия)</t>
        </is>
      </c>
      <c r="B63" s="156" t="n"/>
      <c r="C63" s="158" t="n"/>
      <c r="D63" s="156" t="n"/>
      <c r="E63" s="156" t="n"/>
      <c r="F63" s="159" t="n"/>
      <c r="G63" s="159" t="n"/>
      <c r="H63" s="159" t="n"/>
      <c r="I63" s="159" t="n"/>
      <c r="J63" s="159" t="n"/>
    </row>
    <row r="64" ht="14.25" customFormat="1" customHeight="1" s="12">
      <c r="A64" s="4" t="n"/>
      <c r="B64" s="156" t="n"/>
      <c r="C64" s="158" t="n"/>
      <c r="D64" s="156" t="n"/>
      <c r="E64" s="156" t="n"/>
      <c r="F64" s="159" t="n"/>
      <c r="G64" s="159" t="n"/>
      <c r="H64" s="159" t="n"/>
      <c r="I64" s="159" t="n"/>
      <c r="J64" s="159" t="n"/>
    </row>
    <row r="65" ht="14.25" customFormat="1" customHeight="1" s="12">
      <c r="A65" s="4" t="inlineStr">
        <is>
          <t>Проверил ______________________        А.В. Костянецкая</t>
        </is>
      </c>
      <c r="B65" s="156" t="n"/>
      <c r="C65" s="158" t="n"/>
      <c r="D65" s="156" t="n"/>
      <c r="E65" s="156" t="n"/>
      <c r="F65" s="159" t="n"/>
      <c r="G65" s="159" t="n"/>
      <c r="H65" s="159" t="n"/>
      <c r="I65" s="159" t="n"/>
      <c r="J65" s="159" t="n"/>
    </row>
    <row r="66" ht="14.25" customFormat="1" customHeight="1" s="12">
      <c r="A66" s="28" t="inlineStr">
        <is>
          <t xml:space="preserve">                        (подпись, инициалы, фамилия)</t>
        </is>
      </c>
      <c r="B66" s="156" t="n"/>
      <c r="C66" s="158" t="n"/>
      <c r="D66" s="156" t="n"/>
      <c r="E66" s="156" t="n"/>
      <c r="F66" s="159" t="n"/>
      <c r="G66" s="159" t="n"/>
      <c r="H66" s="159" t="n"/>
      <c r="I66" s="159" t="n"/>
      <c r="J66" s="159" t="n"/>
    </row>
  </sheetData>
  <mergeCells count="21">
    <mergeCell ref="F10:G10"/>
    <mergeCell ref="A4:J4"/>
    <mergeCell ref="C10:C11"/>
    <mergeCell ref="H2:J2"/>
    <mergeCell ref="E10:E11"/>
    <mergeCell ref="B20:H20"/>
    <mergeCell ref="B36:H36"/>
    <mergeCell ref="A7:H7"/>
    <mergeCell ref="B10:B11"/>
    <mergeCell ref="D6:J6"/>
    <mergeCell ref="A10:A11"/>
    <mergeCell ref="A8:H8"/>
    <mergeCell ref="D10:D11"/>
    <mergeCell ref="B17:H17"/>
    <mergeCell ref="B13:H13"/>
    <mergeCell ref="I10:J10"/>
    <mergeCell ref="B29:H29"/>
    <mergeCell ref="B19:H19"/>
    <mergeCell ref="B37:H37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1"/>
  <sheetViews>
    <sheetView view="pageBreakPreview" workbookViewId="0">
      <selection activeCell="A17" sqref="A17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25" t="inlineStr">
        <is>
          <t>Приложение №6</t>
        </is>
      </c>
    </row>
    <row r="2" ht="21.75" customHeight="1">
      <c r="A2" s="225" t="n"/>
      <c r="B2" s="225" t="n"/>
      <c r="C2" s="225" t="n"/>
      <c r="D2" s="225" t="n"/>
      <c r="E2" s="225" t="n"/>
      <c r="F2" s="225" t="n"/>
      <c r="G2" s="225" t="n"/>
    </row>
    <row r="3">
      <c r="A3" s="192" t="inlineStr">
        <is>
          <t>Расчет стоимости оборудования</t>
        </is>
      </c>
    </row>
    <row r="4" ht="25.5" customHeight="1">
      <c r="A4" s="195" t="inlineStr">
        <is>
          <t>Наименование разрабатываемого показателя УНЦ — АРМ персонала АСУТП (РЗА)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30" t="inlineStr">
        <is>
          <t>№ пп.</t>
        </is>
      </c>
      <c r="B6" s="216" t="inlineStr">
        <is>
          <t>Код ресурса</t>
        </is>
      </c>
      <c r="C6" s="216" t="inlineStr">
        <is>
          <t>Наименование</t>
        </is>
      </c>
      <c r="D6" s="216" t="inlineStr">
        <is>
          <t>Ед. изм.</t>
        </is>
      </c>
      <c r="E6" s="216" t="inlineStr">
        <is>
          <t>Кол-во единиц по проектным данным</t>
        </is>
      </c>
      <c r="F6" s="230" t="inlineStr">
        <is>
          <t>Сметная стоимость в ценах на 01.01.2000 (руб.)</t>
        </is>
      </c>
      <c r="G6" s="349" t="n"/>
    </row>
    <row r="7">
      <c r="A7" s="351" t="n"/>
      <c r="B7" s="351" t="n"/>
      <c r="C7" s="351" t="n"/>
      <c r="D7" s="351" t="n"/>
      <c r="E7" s="351" t="n"/>
      <c r="F7" s="216" t="inlineStr">
        <is>
          <t>на ед. изм.</t>
        </is>
      </c>
      <c r="G7" s="216" t="inlineStr">
        <is>
          <t>общая</t>
        </is>
      </c>
    </row>
    <row r="8">
      <c r="A8" s="216" t="n">
        <v>1</v>
      </c>
      <c r="B8" s="216" t="n">
        <v>2</v>
      </c>
      <c r="C8" s="216" t="n">
        <v>3</v>
      </c>
      <c r="D8" s="216" t="n">
        <v>4</v>
      </c>
      <c r="E8" s="216" t="n">
        <v>5</v>
      </c>
      <c r="F8" s="216" t="n">
        <v>6</v>
      </c>
      <c r="G8" s="216" t="n">
        <v>7</v>
      </c>
    </row>
    <row r="9" ht="15" customHeight="1">
      <c r="A9" s="100" t="n"/>
      <c r="B9" s="215" t="inlineStr">
        <is>
          <t>ИНЖЕНЕРНОЕ ОБОРУДОВАНИЕ</t>
        </is>
      </c>
      <c r="C9" s="348" t="n"/>
      <c r="D9" s="348" t="n"/>
      <c r="E9" s="348" t="n"/>
      <c r="F9" s="348" t="n"/>
      <c r="G9" s="349" t="n"/>
    </row>
    <row r="10" ht="27" customHeight="1">
      <c r="A10" s="216" t="n"/>
      <c r="B10" s="214" t="n"/>
      <c r="C10" s="215" t="inlineStr">
        <is>
          <t>ИТОГО ИНЖЕНЕРНОЕ ОБОРУДОВАНИЕ</t>
        </is>
      </c>
      <c r="D10" s="214" t="n"/>
      <c r="E10" s="101" t="n"/>
      <c r="F10" s="218" t="n"/>
      <c r="G10" s="218" t="n">
        <v>0</v>
      </c>
    </row>
    <row r="11">
      <c r="A11" s="216" t="n"/>
      <c r="B11" s="215" t="inlineStr">
        <is>
          <t>ТЕХНОЛОГИЧЕСКОЕ ОБОРУДОВАНИЕ</t>
        </is>
      </c>
      <c r="C11" s="348" t="n"/>
      <c r="D11" s="348" t="n"/>
      <c r="E11" s="348" t="n"/>
      <c r="F11" s="348" t="n"/>
      <c r="G11" s="349" t="n"/>
    </row>
    <row r="12" ht="25.5" customHeight="1">
      <c r="A12" s="216" t="n">
        <v>1</v>
      </c>
      <c r="B12" s="216">
        <f>'Прил.5 Расчет СМР и ОБ'!B30</f>
        <v/>
      </c>
      <c r="C12" s="215">
        <f>'Прил.5 Расчет СМР и ОБ'!C30</f>
        <v/>
      </c>
      <c r="D12" s="216">
        <f>'Прил.5 Расчет СМР и ОБ'!D30</f>
        <v/>
      </c>
      <c r="E12" s="365">
        <f>'Прил.5 Расчет СМР и ОБ'!E30</f>
        <v/>
      </c>
      <c r="F12" s="216">
        <f>'Прил.5 Расчет СМР и ОБ'!F30</f>
        <v/>
      </c>
      <c r="G12" s="27">
        <f>ROUND(E12*F12,2)</f>
        <v/>
      </c>
    </row>
    <row r="13" ht="25.5" customHeight="1">
      <c r="A13" s="216" t="n">
        <v>2</v>
      </c>
      <c r="B13" s="216">
        <f>'Прил.5 Расчет СМР и ОБ'!B31</f>
        <v/>
      </c>
      <c r="C13" s="215">
        <f>'Прил.5 Расчет СМР и ОБ'!C31</f>
        <v/>
      </c>
      <c r="D13" s="216">
        <f>'Прил.5 Расчет СМР и ОБ'!D31</f>
        <v/>
      </c>
      <c r="E13" s="365">
        <f>'Прил.5 Расчет СМР и ОБ'!E31</f>
        <v/>
      </c>
      <c r="F13" s="216">
        <f>'Прил.5 Расчет СМР и ОБ'!F31</f>
        <v/>
      </c>
      <c r="G13" s="27">
        <f>ROUND(E13*F13,2)</f>
        <v/>
      </c>
    </row>
    <row r="14" ht="28.9" customHeight="1">
      <c r="A14" s="216" t="n"/>
      <c r="B14" s="216" t="n"/>
      <c r="C14" s="215" t="inlineStr">
        <is>
          <t>ИТОГО ТЕХНОЛОГИЧЕСКОЕ ОБОРУДОВАНИЕ</t>
        </is>
      </c>
      <c r="D14" s="216" t="n"/>
      <c r="E14" s="365" t="n"/>
      <c r="F14" s="216" t="n"/>
      <c r="G14" s="27">
        <f>SUM(G12:G13)</f>
        <v/>
      </c>
    </row>
    <row r="15" ht="19.5" customHeight="1">
      <c r="A15" s="216" t="n"/>
      <c r="B15" s="215" t="n"/>
      <c r="C15" s="215" t="inlineStr">
        <is>
          <t>Всего по разделу «Оборудование»</t>
        </is>
      </c>
      <c r="D15" s="215" t="n"/>
      <c r="E15" s="229" t="n"/>
      <c r="F15" s="218" t="n"/>
      <c r="G15" s="27">
        <f>G10+G14</f>
        <v/>
      </c>
    </row>
    <row r="16">
      <c r="A16" s="25" t="n"/>
      <c r="B16" s="102" t="n"/>
      <c r="C16" s="25" t="n"/>
      <c r="D16" s="25" t="n"/>
      <c r="E16" s="25" t="n"/>
      <c r="F16" s="25" t="n"/>
      <c r="G16" s="25" t="n"/>
    </row>
    <row r="17">
      <c r="A17" s="4" t="inlineStr">
        <is>
          <t>Составил ______________________    А.Р. Маркова</t>
        </is>
      </c>
      <c r="B17" s="12" t="n"/>
      <c r="C17" s="12" t="n"/>
      <c r="D17" s="25" t="n"/>
      <c r="E17" s="25" t="n"/>
      <c r="F17" s="25" t="n"/>
      <c r="G17" s="25" t="n"/>
    </row>
    <row r="18">
      <c r="A18" s="28" t="inlineStr">
        <is>
          <t xml:space="preserve">                         (подпись, инициалы, фамилия)</t>
        </is>
      </c>
      <c r="B18" s="12" t="n"/>
      <c r="C18" s="12" t="n"/>
      <c r="D18" s="25" t="n"/>
      <c r="E18" s="25" t="n"/>
      <c r="F18" s="25" t="n"/>
      <c r="G18" s="25" t="n"/>
    </row>
    <row r="19">
      <c r="A19" s="4" t="n"/>
      <c r="B19" s="12" t="n"/>
      <c r="C19" s="12" t="n"/>
      <c r="D19" s="25" t="n"/>
      <c r="E19" s="25" t="n"/>
      <c r="F19" s="25" t="n"/>
      <c r="G19" s="25" t="n"/>
    </row>
    <row r="20">
      <c r="A20" s="4" t="inlineStr">
        <is>
          <t>Проверил ______________________        А.В. Костянецкая</t>
        </is>
      </c>
      <c r="B20" s="12" t="n"/>
      <c r="C20" s="12" t="n"/>
      <c r="D20" s="25" t="n"/>
      <c r="E20" s="25" t="n"/>
      <c r="F20" s="25" t="n"/>
      <c r="G20" s="25" t="n"/>
    </row>
    <row r="21">
      <c r="A21" s="28" t="inlineStr">
        <is>
          <t xml:space="preserve">                        (подпись, инициалы, фамилия)</t>
        </is>
      </c>
      <c r="B21" s="12" t="n"/>
      <c r="C21" s="12" t="n"/>
      <c r="D21" s="25" t="n"/>
      <c r="E21" s="25" t="n"/>
      <c r="F21" s="25" t="n"/>
      <c r="G21" s="2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A13" sqref="A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25" t="inlineStr">
        <is>
          <t>Приложение №7</t>
        </is>
      </c>
    </row>
    <row r="2">
      <c r="A2" s="225" t="n"/>
      <c r="B2" s="225" t="n"/>
      <c r="C2" s="225" t="n"/>
      <c r="D2" s="225" t="n"/>
    </row>
    <row r="3" ht="24.75" customHeight="1">
      <c r="A3" s="192" t="inlineStr">
        <is>
          <t>Расчет показателя УНЦ</t>
        </is>
      </c>
    </row>
    <row r="4" ht="24.75" customHeight="1">
      <c r="A4" s="192" t="n"/>
      <c r="B4" s="192" t="n"/>
      <c r="C4" s="192" t="n"/>
      <c r="D4" s="192" t="n"/>
    </row>
    <row r="5" ht="24.6" customHeight="1">
      <c r="A5" s="195" t="inlineStr">
        <is>
          <t xml:space="preserve">Наименование разрабатываемого показателя УНЦ - </t>
        </is>
      </c>
      <c r="D5" s="195">
        <f>'Прил.5 Расчет СМР и ОБ'!D6:J6</f>
        <v/>
      </c>
    </row>
    <row r="6" ht="19.9" customHeight="1">
      <c r="A6" s="195" t="inlineStr">
        <is>
          <t>Единица измерения  — 1 ед</t>
        </is>
      </c>
      <c r="D6" s="195" t="n"/>
    </row>
    <row r="7">
      <c r="A7" s="4" t="n"/>
      <c r="B7" s="4" t="n"/>
      <c r="C7" s="4" t="n"/>
      <c r="D7" s="4" t="n"/>
    </row>
    <row r="8" ht="14.45" customHeight="1">
      <c r="A8" s="204" t="inlineStr">
        <is>
          <t>Код показателя</t>
        </is>
      </c>
      <c r="B8" s="204" t="inlineStr">
        <is>
          <t>Наименование показателя</t>
        </is>
      </c>
      <c r="C8" s="204" t="inlineStr">
        <is>
          <t>Наименование РМ, входящих в состав показателя</t>
        </is>
      </c>
      <c r="D8" s="204" t="inlineStr">
        <is>
          <t>Норматив цены на 01.01.2023, тыс.руб.</t>
        </is>
      </c>
    </row>
    <row r="9" ht="15" customHeight="1">
      <c r="A9" s="351" t="n"/>
      <c r="B9" s="351" t="n"/>
      <c r="C9" s="351" t="n"/>
      <c r="D9" s="351" t="n"/>
    </row>
    <row r="10">
      <c r="A10" s="216" t="n">
        <v>1</v>
      </c>
      <c r="B10" s="216" t="n">
        <v>2</v>
      </c>
      <c r="C10" s="216" t="n">
        <v>3</v>
      </c>
      <c r="D10" s="216" t="n">
        <v>4</v>
      </c>
    </row>
    <row r="11" ht="41.45" customHeight="1">
      <c r="A11" s="216" t="inlineStr">
        <is>
          <t>А5-08</t>
        </is>
      </c>
      <c r="B11" s="216" t="inlineStr">
        <is>
          <t xml:space="preserve">УНЦ систем АСУТП и ТМ </t>
        </is>
      </c>
      <c r="C11" s="148">
        <f>D5</f>
        <v/>
      </c>
      <c r="D11" s="3">
        <f>'Прил.4 РМ'!C41/1000</f>
        <v/>
      </c>
      <c r="E11" s="147" t="n"/>
    </row>
    <row r="12">
      <c r="A12" s="25" t="n"/>
      <c r="B12" s="102" t="n"/>
      <c r="C12" s="25" t="n"/>
      <c r="D12" s="25" t="n"/>
    </row>
    <row r="13">
      <c r="A13" s="4" t="inlineStr">
        <is>
          <t>Составил ______________________      А.Р. Маркова</t>
        </is>
      </c>
      <c r="B13" s="12" t="n"/>
      <c r="C13" s="12" t="n"/>
      <c r="D13" s="25" t="n"/>
    </row>
    <row r="14">
      <c r="A14" s="28" t="inlineStr">
        <is>
          <t xml:space="preserve">                         (подпись, инициалы, фамилия)</t>
        </is>
      </c>
      <c r="B14" s="12" t="n"/>
      <c r="C14" s="12" t="n"/>
      <c r="D14" s="25" t="n"/>
    </row>
    <row r="15">
      <c r="A15" s="4" t="n"/>
      <c r="B15" s="12" t="n"/>
      <c r="C15" s="12" t="n"/>
      <c r="D15" s="25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5" t="n"/>
    </row>
    <row r="17">
      <c r="A17" s="28" t="inlineStr">
        <is>
          <t xml:space="preserve">                        (подпись, инициалы, фамилия)</t>
        </is>
      </c>
      <c r="B17" s="12" t="n"/>
      <c r="C17" s="12" t="n"/>
      <c r="D17" s="2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27"/>
  <sheetViews>
    <sheetView view="pageBreakPreview" zoomScale="85" zoomScaleNormal="85" zoomScaleSheetLayoutView="85" workbookViewId="0">
      <selection activeCell="B23" sqref="B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99" t="inlineStr">
        <is>
          <t>Приложение № 10</t>
        </is>
      </c>
    </row>
    <row r="5" ht="18.75" customHeight="1">
      <c r="B5" s="113" t="n"/>
    </row>
    <row r="6" ht="15.75" customHeight="1">
      <c r="B6" s="200" t="inlineStr">
        <is>
          <t>Используемые индексы изменений сметной стоимости и нормы сопутствующих затрат</t>
        </is>
      </c>
    </row>
    <row r="7">
      <c r="B7" s="231" t="n"/>
    </row>
    <row r="8">
      <c r="B8" s="231" t="n"/>
      <c r="C8" s="231" t="n"/>
      <c r="D8" s="231" t="n"/>
      <c r="E8" s="231" t="n"/>
    </row>
    <row r="9" ht="47.25" customHeight="1">
      <c r="B9" s="204" t="inlineStr">
        <is>
          <t>Наименование индекса / норм сопутствующих затрат</t>
        </is>
      </c>
      <c r="C9" s="204" t="inlineStr">
        <is>
          <t>Дата применения и обоснование индекса / норм сопутствующих затрат</t>
        </is>
      </c>
      <c r="D9" s="204" t="inlineStr">
        <is>
          <t>Размер индекса / норма сопутствующих затрат</t>
        </is>
      </c>
    </row>
    <row r="10" ht="15.75" customHeight="1">
      <c r="B10" s="204" t="n">
        <v>1</v>
      </c>
      <c r="C10" s="204" t="n">
        <v>2</v>
      </c>
      <c r="D10" s="204" t="n">
        <v>3</v>
      </c>
    </row>
    <row r="11" ht="45" customHeight="1">
      <c r="B11" s="204" t="inlineStr">
        <is>
          <t xml:space="preserve">Индекс изменения сметной стоимости на 1 квартал 2023 года. ОЗП </t>
        </is>
      </c>
      <c r="C11" s="204" t="inlineStr">
        <is>
          <t>Письмо Минстроя России от 30.03.2023г. №17106-ИФ/09  прил.1</t>
        </is>
      </c>
      <c r="D11" s="204" t="n">
        <v>44.29</v>
      </c>
    </row>
    <row r="12" ht="29.25" customHeight="1">
      <c r="B12" s="204" t="inlineStr">
        <is>
          <t>Индекс изменения сметной стоимости на 1 квартал 2023 года. ЭМ</t>
        </is>
      </c>
      <c r="C12" s="204" t="inlineStr">
        <is>
          <t>Письмо Минстроя России от 30.03.2023г. №17106-ИФ/09  прил.1</t>
        </is>
      </c>
      <c r="D12" s="204" t="n">
        <v>13.47</v>
      </c>
    </row>
    <row r="13" ht="29.25" customHeight="1">
      <c r="B13" s="204" t="inlineStr">
        <is>
          <t>Индекс изменения сметной стоимости на 1 квартал 2023 года. МАТ</t>
        </is>
      </c>
      <c r="C13" s="204" t="inlineStr">
        <is>
          <t>Письмо Минстроя России от 30.03.2023г. №17106-ИФ/09  прил.1</t>
        </is>
      </c>
      <c r="D13" s="204" t="n">
        <v>8.039999999999999</v>
      </c>
    </row>
    <row r="14" ht="30.75" customHeight="1">
      <c r="B14" s="204" t="inlineStr">
        <is>
          <t>Индекс изменения сметной стоимости на 1 квартал 2023 года. ОБ</t>
        </is>
      </c>
      <c r="C14" s="112" t="inlineStr">
        <is>
          <t>Письмо Минстроя России от 23.02.2023г. №9791-ИФ/09 прил.6</t>
        </is>
      </c>
      <c r="D14" s="204" t="n">
        <v>6.26</v>
      </c>
    </row>
    <row r="15" ht="89.25" customHeight="1">
      <c r="B15" s="204" t="inlineStr">
        <is>
          <t>Временные здания и сооружения</t>
        </is>
      </c>
      <c r="C15" s="20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>
      <c r="B16" s="204" t="inlineStr">
        <is>
          <t>Дополнительные затраты при производстве строительно-монтажных работ в зимнее время</t>
        </is>
      </c>
      <c r="C16" s="20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4.5" customHeight="1">
      <c r="B17" s="204" t="n"/>
      <c r="C17" s="204" t="n"/>
      <c r="D17" s="204" t="n"/>
    </row>
    <row r="18" ht="31.5" customHeight="1">
      <c r="B18" s="204" t="inlineStr">
        <is>
          <t>Строительный контроль</t>
        </is>
      </c>
      <c r="C18" s="204" t="inlineStr">
        <is>
          <t>Постановление Правительства РФ от 21.06.10 г. № 468</t>
        </is>
      </c>
      <c r="D18" s="116" t="n">
        <v>0.0214</v>
      </c>
    </row>
    <row r="19" ht="31.5" customHeight="1">
      <c r="B19" s="204" t="inlineStr">
        <is>
          <t>Авторский надзор - 0,2%</t>
        </is>
      </c>
      <c r="C19" s="204" t="inlineStr">
        <is>
          <t>Приказ от 4.08.2020 № 421/пр п.173</t>
        </is>
      </c>
      <c r="D19" s="116" t="n">
        <v>0.002</v>
      </c>
    </row>
    <row r="20" ht="24" customHeight="1">
      <c r="B20" s="204" t="inlineStr">
        <is>
          <t>Непредвиденные расходы</t>
        </is>
      </c>
      <c r="C20" s="204" t="inlineStr">
        <is>
          <t>Приказ от 4.08.2020 № 421/пр п.179</t>
        </is>
      </c>
      <c r="D20" s="116" t="n">
        <v>0.03</v>
      </c>
    </row>
    <row r="21" ht="18.75" customHeight="1">
      <c r="B21" s="114" t="n"/>
    </row>
    <row r="23">
      <c r="B23" s="4" t="inlineStr">
        <is>
          <t>Составил ______________________        А.Р. Маркова</t>
        </is>
      </c>
      <c r="C23" s="12" t="n"/>
    </row>
    <row r="24">
      <c r="B24" s="28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28" t="inlineStr">
        <is>
          <t xml:space="preserve"> 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22"/>
  <sheetViews>
    <sheetView view="pageBreakPreview" zoomScale="60" zoomScaleNormal="100" workbookViewId="0">
      <selection activeCell="E20" sqref="E20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0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0" t="inlineStr">
        <is>
          <t>Составлен в уровне цен на 01.01.2023 г.</t>
        </is>
      </c>
      <c r="B4" s="125" t="n"/>
      <c r="C4" s="125" t="n"/>
      <c r="D4" s="125" t="n"/>
      <c r="E4" s="125" t="n"/>
      <c r="F4" s="125" t="n"/>
      <c r="G4" s="125" t="n"/>
    </row>
    <row r="5" ht="15.75" customHeight="1">
      <c r="A5" s="276" t="inlineStr">
        <is>
          <t>№ пп.</t>
        </is>
      </c>
      <c r="B5" s="276" t="inlineStr">
        <is>
          <t>Наименование элемента</t>
        </is>
      </c>
      <c r="C5" s="276" t="inlineStr">
        <is>
          <t>Обозначение</t>
        </is>
      </c>
      <c r="D5" s="276" t="inlineStr">
        <is>
          <t>Формула</t>
        </is>
      </c>
      <c r="E5" s="276" t="inlineStr">
        <is>
          <t>Величина элемента</t>
        </is>
      </c>
      <c r="F5" s="276" t="inlineStr">
        <is>
          <t>Наименования обосновывающих документов</t>
        </is>
      </c>
      <c r="G5" s="125" t="n"/>
    </row>
    <row r="6" ht="15.75" customHeight="1">
      <c r="A6" s="276" t="n">
        <v>1</v>
      </c>
      <c r="B6" s="276" t="n">
        <v>2</v>
      </c>
      <c r="C6" s="276" t="n">
        <v>3</v>
      </c>
      <c r="D6" s="276" t="n">
        <v>4</v>
      </c>
      <c r="E6" s="276" t="n">
        <v>5</v>
      </c>
      <c r="F6" s="276" t="n">
        <v>6</v>
      </c>
      <c r="G6" s="125" t="n"/>
    </row>
    <row r="7" ht="15.75" customHeight="1">
      <c r="A7" s="277" t="n"/>
      <c r="B7" s="278" t="inlineStr">
        <is>
          <t>Инженер I категории</t>
        </is>
      </c>
      <c r="C7" s="278" t="n"/>
      <c r="D7" s="278" t="n"/>
      <c r="E7" s="278" t="n"/>
      <c r="F7" s="278" t="n"/>
    </row>
    <row r="8" ht="110.25" customHeight="1">
      <c r="A8" s="279" t="inlineStr">
        <is>
          <t>1.1</t>
        </is>
      </c>
      <c r="B8" s="34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8" s="346" t="inlineStr">
        <is>
          <t>С1ср</t>
        </is>
      </c>
      <c r="D8" s="346" t="inlineStr">
        <is>
          <t>-</t>
        </is>
      </c>
      <c r="E8" s="282" t="n">
        <v>47872.94</v>
      </c>
      <c r="F8" s="34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8" s="125" t="n"/>
    </row>
    <row r="9" ht="31.5" customHeight="1">
      <c r="A9" s="279" t="inlineStr">
        <is>
          <t>1.2</t>
        </is>
      </c>
      <c r="B9" s="347" t="inlineStr">
        <is>
          <t>Среднегодовое нормативное число часов работы одного рабочего в месяц, часы (ч.)</t>
        </is>
      </c>
      <c r="C9" s="346" t="inlineStr">
        <is>
          <t>tср</t>
        </is>
      </c>
      <c r="D9" s="346" t="inlineStr">
        <is>
          <t>1973ч/12мес.</t>
        </is>
      </c>
      <c r="E9" s="283">
        <f>1973/12</f>
        <v/>
      </c>
      <c r="F9" s="347" t="inlineStr">
        <is>
          <t>Производственный календарь 2023 год
(40-часов.неделя)</t>
        </is>
      </c>
      <c r="G9" s="191" t="n"/>
    </row>
    <row r="10" ht="15.75" customHeight="1">
      <c r="A10" s="279" t="inlineStr">
        <is>
          <t>1.3</t>
        </is>
      </c>
      <c r="B10" s="347" t="inlineStr">
        <is>
          <t>Коэффициент увеличения</t>
        </is>
      </c>
      <c r="C10" s="346" t="inlineStr">
        <is>
          <t>Кув</t>
        </is>
      </c>
      <c r="D10" s="346" t="inlineStr">
        <is>
          <t>-</t>
        </is>
      </c>
      <c r="E10" s="283" t="n">
        <v>1</v>
      </c>
      <c r="F10" s="347" t="n"/>
      <c r="G10" s="191" t="n"/>
    </row>
    <row r="11" ht="15.75" customHeight="1">
      <c r="A11" s="279" t="inlineStr">
        <is>
          <t>1.4</t>
        </is>
      </c>
      <c r="B11" s="347" t="inlineStr">
        <is>
          <t>Средний разряд работ</t>
        </is>
      </c>
      <c r="C11" s="346" t="n"/>
      <c r="D11" s="346" t="n"/>
      <c r="E11" s="366" t="inlineStr">
        <is>
          <t>Инженер I категории</t>
        </is>
      </c>
      <c r="F11" s="347" t="inlineStr">
        <is>
          <t>РТМ</t>
        </is>
      </c>
      <c r="G11" s="191" t="n"/>
    </row>
    <row r="12" ht="78.75" customHeight="1">
      <c r="A12" s="279" t="inlineStr">
        <is>
          <t>1.5</t>
        </is>
      </c>
      <c r="B12" s="347" t="inlineStr">
        <is>
          <t>Тарифный коэффициент среднего разряда работ</t>
        </is>
      </c>
      <c r="C12" s="346" t="inlineStr">
        <is>
          <t>КТ</t>
        </is>
      </c>
      <c r="D12" s="346" t="inlineStr">
        <is>
          <t>-</t>
        </is>
      </c>
      <c r="E12" s="367" t="n">
        <v>2.15</v>
      </c>
      <c r="F12" s="34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2" s="125" t="n"/>
    </row>
    <row r="13" ht="78.75" customHeight="1">
      <c r="A13" s="279" t="inlineStr">
        <is>
          <t>1.6</t>
        </is>
      </c>
      <c r="B13" s="278" t="inlineStr">
        <is>
          <t>Коэффициент инфляции, определяемый поквартально</t>
        </is>
      </c>
      <c r="C13" s="346" t="inlineStr">
        <is>
          <t>Кинф</t>
        </is>
      </c>
      <c r="D13" s="346" t="inlineStr">
        <is>
          <t>-</t>
        </is>
      </c>
      <c r="E13" s="368" t="n">
        <v>1.139</v>
      </c>
      <c r="F13" s="2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3" s="191" t="inlineStr">
        <is>
          <t>https://economy.gov.ru/material/directions/makroec/prognozy_socialno_ekonomicheskogo_razvitiya/prognoz_socialno_ekonomicheskogo_razvitiya_rf_na_period_do_2024_goda_.html</t>
        </is>
      </c>
    </row>
    <row r="14" ht="63" customHeight="1">
      <c r="A14" s="279" t="inlineStr">
        <is>
          <t>1.7</t>
        </is>
      </c>
      <c r="B14" s="288" t="inlineStr">
        <is>
          <t>Размер средств на оплату труда рабочих-строителей в текущем уровне цен (ФОТр.тек.), руб/чел.-ч</t>
        </is>
      </c>
      <c r="C14" s="346" t="inlineStr">
        <is>
          <t>ФОТр.тек.</t>
        </is>
      </c>
      <c r="D14" s="346" t="inlineStr">
        <is>
          <t>(С1ср/tср*КТ*Т*Кув)*Кинф</t>
        </is>
      </c>
      <c r="E14" s="289">
        <f>((E8*E10/E9)*E12)*E13</f>
        <v/>
      </c>
      <c r="F14" s="3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4" s="125" t="n"/>
    </row>
    <row r="15" ht="15.75" customHeight="1">
      <c r="A15" s="277" t="n"/>
      <c r="B15" s="278" t="inlineStr">
        <is>
          <t>Инженер II категории</t>
        </is>
      </c>
      <c r="C15" s="278" t="n"/>
      <c r="D15" s="278" t="n"/>
      <c r="E15" s="278" t="n"/>
      <c r="F15" s="278" t="n"/>
    </row>
    <row r="16" ht="110.25" customHeight="1">
      <c r="A16" s="279" t="inlineStr">
        <is>
          <t>1.1</t>
        </is>
      </c>
      <c r="B16" s="34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6" s="346" t="inlineStr">
        <is>
          <t>С1ср</t>
        </is>
      </c>
      <c r="D16" s="346" t="inlineStr">
        <is>
          <t>-</t>
        </is>
      </c>
      <c r="E16" s="282" t="n">
        <v>47872.94</v>
      </c>
      <c r="F16" s="34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6" s="125" t="n"/>
    </row>
    <row r="17" ht="31.5" customHeight="1">
      <c r="A17" s="279" t="inlineStr">
        <is>
          <t>1.2</t>
        </is>
      </c>
      <c r="B17" s="347" t="inlineStr">
        <is>
          <t>Среднегодовое нормативное число часов работы одного рабочего в месяц, часы (ч.)</t>
        </is>
      </c>
      <c r="C17" s="346" t="inlineStr">
        <is>
          <t>tср</t>
        </is>
      </c>
      <c r="D17" s="346" t="inlineStr">
        <is>
          <t>1973ч/12мес.</t>
        </is>
      </c>
      <c r="E17" s="283">
        <f>1973/12</f>
        <v/>
      </c>
      <c r="F17" s="347" t="inlineStr">
        <is>
          <t>Производственный календарь 2023 год
(40-часов.неделя)</t>
        </is>
      </c>
      <c r="G17" s="191" t="n"/>
    </row>
    <row r="18" ht="15.75" customHeight="1">
      <c r="A18" s="279" t="inlineStr">
        <is>
          <t>1.3</t>
        </is>
      </c>
      <c r="B18" s="347" t="inlineStr">
        <is>
          <t>Коэффициент увеличения</t>
        </is>
      </c>
      <c r="C18" s="346" t="inlineStr">
        <is>
          <t>Кув</t>
        </is>
      </c>
      <c r="D18" s="346" t="inlineStr">
        <is>
          <t>-</t>
        </is>
      </c>
      <c r="E18" s="283" t="n">
        <v>1</v>
      </c>
      <c r="F18" s="347" t="n"/>
      <c r="G18" s="191" t="n"/>
    </row>
    <row r="19" ht="15.75" customHeight="1">
      <c r="A19" s="279" t="inlineStr">
        <is>
          <t>1.4</t>
        </is>
      </c>
      <c r="B19" s="347" t="inlineStr">
        <is>
          <t>Средний разряд работ</t>
        </is>
      </c>
      <c r="C19" s="346" t="n"/>
      <c r="D19" s="346" t="n"/>
      <c r="E19" s="366" t="inlineStr">
        <is>
          <t>Инженер II категории</t>
        </is>
      </c>
      <c r="F19" s="347" t="inlineStr">
        <is>
          <t>РТМ</t>
        </is>
      </c>
      <c r="G19" s="191" t="n"/>
    </row>
    <row r="20" ht="78.75" customHeight="1">
      <c r="A20" s="279" t="inlineStr">
        <is>
          <t>1.5</t>
        </is>
      </c>
      <c r="B20" s="347" t="inlineStr">
        <is>
          <t>Тарифный коэффициент среднего разряда работ</t>
        </is>
      </c>
      <c r="C20" s="346" t="inlineStr">
        <is>
          <t>КТ</t>
        </is>
      </c>
      <c r="D20" s="346" t="inlineStr">
        <is>
          <t>-</t>
        </is>
      </c>
      <c r="E20" s="367" t="n">
        <v>1.96</v>
      </c>
      <c r="F20" s="34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0" s="125" t="n"/>
    </row>
    <row r="21" ht="78.75" customHeight="1">
      <c r="A21" s="279" t="inlineStr">
        <is>
          <t>1.6</t>
        </is>
      </c>
      <c r="B21" s="278" t="inlineStr">
        <is>
          <t>Коэффициент инфляции, определяемый поквартально</t>
        </is>
      </c>
      <c r="C21" s="346" t="inlineStr">
        <is>
          <t>Кинф</t>
        </is>
      </c>
      <c r="D21" s="346" t="inlineStr">
        <is>
          <t>-</t>
        </is>
      </c>
      <c r="E21" s="368" t="n">
        <v>1.139</v>
      </c>
      <c r="F21" s="2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1" s="191" t="inlineStr">
        <is>
          <t>https://economy.gov.ru/material/directions/makroec/prognozy_socialno_ekonomicheskogo_razvitiya/prognoz_socialno_ekonomicheskogo_razvitiya_rf_na_period_do_2024_goda_.html</t>
        </is>
      </c>
    </row>
    <row r="22" ht="63" customHeight="1">
      <c r="A22" s="279" t="inlineStr">
        <is>
          <t>1.7</t>
        </is>
      </c>
      <c r="B22" s="288" t="inlineStr">
        <is>
          <t>Размер средств на оплату труда рабочих-строителей в текущем уровне цен (ФОТр.тек.), руб/чел.-ч</t>
        </is>
      </c>
      <c r="C22" s="346" t="inlineStr">
        <is>
          <t>ФОТр.тек.</t>
        </is>
      </c>
      <c r="D22" s="346" t="inlineStr">
        <is>
          <t>(С1ср/tср*КТ*Т*Кув)*Кинф</t>
        </is>
      </c>
      <c r="E22" s="289">
        <f>((E16*E18/E17)*E20)*E21</f>
        <v/>
      </c>
      <c r="F22" s="3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2" s="125" t="n"/>
    </row>
  </sheetData>
  <mergeCells count="1">
    <mergeCell ref="A2:F2"/>
  </mergeCells>
  <hyperlinks>
    <hyperlink xmlns:r="http://schemas.openxmlformats.org/officeDocument/2006/relationships" ref="G13" r:id="rId1"/>
    <hyperlink xmlns:r="http://schemas.openxmlformats.org/officeDocument/2006/relationships" ref="G21" r:id="rId2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2025-01-24T11:52:35Z</dcterms:modified>
  <cp:lastModifiedBy>Dmitry Petrakov</cp:lastModifiedBy>
  <cp:lastPrinted>2023-11-30T18:43:27Z</cp:lastPrinted>
</cp:coreProperties>
</file>