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4" fillId="4" borderId="1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4" fillId="4" borderId="5" pivotButton="0" quotePrefix="0" xfId="0"/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4" borderId="7" applyAlignment="1" pivotButton="0" quotePrefix="0" xfId="0">
      <alignment horizontal="left" vertical="center" wrapText="1"/>
    </xf>
    <xf numFmtId="0" fontId="1" fillId="4" borderId="8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2" fillId="4" borderId="3" applyAlignment="1" pivotButton="0" quotePrefix="0" xfId="0">
      <alignment horizontal="left" vertical="center" wrapText="1"/>
    </xf>
    <xf numFmtId="0" fontId="2" fillId="4" borderId="13" applyAlignment="1" pivotButton="0" quotePrefix="0" xfId="0">
      <alignment horizontal="left" vertical="center" wrapText="1"/>
    </xf>
    <xf numFmtId="0" fontId="2" fillId="4" borderId="14" applyAlignment="1" pivotButton="0" quotePrefix="0" xfId="0">
      <alignment horizontal="left" vertical="center" wrapText="1"/>
    </xf>
    <xf numFmtId="0" fontId="4" fillId="4" borderId="4" pivotButton="0" quotePrefix="0" xfId="0"/>
    <xf numFmtId="0" fontId="1" fillId="0" borderId="1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2" fontId="1" fillId="0" borderId="12" applyAlignment="1" pivotButton="0" quotePrefix="0" xfId="0">
      <alignment horizontal="center" vertical="center" wrapText="1"/>
    </xf>
    <xf numFmtId="2" fontId="1" fillId="0" borderId="12" applyAlignment="1" pivotButton="0" quotePrefix="0" xfId="0">
      <alignment horizontal="right" vertical="center" wrapText="1"/>
    </xf>
    <xf numFmtId="10" fontId="1" fillId="0" borderId="12" applyAlignment="1" pivotButton="0" quotePrefix="0" xfId="0">
      <alignment horizontal="right" vertical="center" wrapText="1"/>
    </xf>
    <xf numFmtId="0" fontId="4" fillId="0" borderId="12" pivotButton="0" quotePrefix="0" xfId="0"/>
    <xf numFmtId="49" fontId="1" fillId="0" borderId="1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left" vertical="center" wrapText="1"/>
    </xf>
    <xf numFmtId="165" fontId="1" fillId="0" borderId="12" applyAlignment="1" pivotButton="0" quotePrefix="0" xfId="0">
      <alignment horizontal="center" vertical="center" wrapText="1"/>
    </xf>
    <xf numFmtId="4" fontId="1" fillId="0" borderId="12" applyAlignment="1" pivotButton="0" quotePrefix="0" xfId="0">
      <alignment horizontal="right" vertical="center" wrapText="1"/>
    </xf>
    <xf numFmtId="10" fontId="1" fillId="0" borderId="12" applyAlignment="1" pivotButton="0" quotePrefix="0" xfId="0">
      <alignment horizontal="right" vertical="center" wrapText="1"/>
    </xf>
    <xf numFmtId="0" fontId="2" fillId="0" borderId="12" applyAlignment="1" pivotButton="0" quotePrefix="0" xfId="0">
      <alignment horizontal="left" vertical="center" wrapText="1"/>
    </xf>
    <xf numFmtId="2" fontId="1" fillId="0" borderId="12" applyAlignment="1" pivotButton="0" quotePrefix="0" xfId="0">
      <alignment horizontal="right" vertical="center" wrapText="1"/>
    </xf>
    <xf numFmtId="2" fontId="1" fillId="0" borderId="12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center" vertical="center" wrapText="1"/>
    </xf>
    <xf numFmtId="0" fontId="2" fillId="4" borderId="12" applyAlignment="1" pivotButton="0" quotePrefix="0" xfId="0">
      <alignment horizontal="left" vertical="center" wrapText="1"/>
    </xf>
    <xf numFmtId="2" fontId="1" fillId="4" borderId="12" applyAlignment="1" pivotButton="0" quotePrefix="0" xfId="0">
      <alignment horizontal="center" vertical="center" wrapText="1"/>
    </xf>
    <xf numFmtId="4" fontId="1" fillId="4" borderId="12" applyAlignment="1" pivotButton="0" quotePrefix="0" xfId="0">
      <alignment horizontal="right" vertical="center" wrapText="1"/>
    </xf>
    <xf numFmtId="10" fontId="1" fillId="4" borderId="12" applyAlignment="1" pivotButton="0" quotePrefix="0" xfId="0">
      <alignment horizontal="righ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2" pivotButton="0" quotePrefix="0" xfId="0"/>
    <xf numFmtId="165" fontId="1" fillId="0" borderId="12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Normal="100" zoomScaleSheetLayoutView="100" workbookViewId="0">
      <selection activeCell="D29" sqref="D29"/>
    </sheetView>
  </sheetViews>
  <sheetFormatPr baseColWidth="8" defaultColWidth="9.140625" defaultRowHeight="15.75"/>
  <cols>
    <col width="9.140625" customWidth="1" style="124" min="1" max="2"/>
    <col width="51.7109375" customWidth="1" style="124" min="3" max="3"/>
    <col width="51.42578125" customWidth="1" style="124" min="4" max="4"/>
    <col width="37.42578125" customWidth="1" style="124" min="5" max="5"/>
    <col width="9.140625" customWidth="1" style="124" min="6" max="6"/>
  </cols>
  <sheetData>
    <row r="3">
      <c r="B3" s="206" t="inlineStr">
        <is>
          <t>Приложение № 1</t>
        </is>
      </c>
    </row>
    <row r="4">
      <c r="B4" s="207" t="inlineStr">
        <is>
          <t>Сравнительная таблица отбора объекта-представителя</t>
        </is>
      </c>
    </row>
    <row r="5" ht="84" customHeight="1">
      <c r="B5" s="2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2" t="n"/>
      <c r="C6" s="152" t="n"/>
      <c r="D6" s="152" t="n"/>
    </row>
    <row r="7" ht="40.15" customHeight="1">
      <c r="B7" s="208" t="inlineStr">
        <is>
          <t>Наименование разрабатываемого показателя УНЦ — Шкаф измерительных преобразователей с кол-вом ИП: 9 шт</t>
        </is>
      </c>
    </row>
    <row r="8" ht="31.5" customHeight="1">
      <c r="B8" s="125" t="inlineStr">
        <is>
          <t xml:space="preserve">Сопоставимый уровень цен: </t>
        </is>
      </c>
      <c r="C8" s="125" t="n"/>
      <c r="D8" s="188">
        <f>D22</f>
        <v/>
      </c>
    </row>
    <row r="9" ht="15.75" customHeight="1">
      <c r="B9" s="208" t="inlineStr">
        <is>
          <t>Единица измерения  — 1 ед</t>
        </is>
      </c>
    </row>
    <row r="10">
      <c r="B10" s="208" t="n"/>
    </row>
    <row r="11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 xml:space="preserve">Объект-представитель </t>
        </is>
      </c>
      <c r="E11" s="133" t="n"/>
    </row>
    <row r="12" ht="31.5" customHeight="1">
      <c r="B12" s="211" t="n">
        <v>1</v>
      </c>
      <c r="C12" s="128" t="inlineStr">
        <is>
          <t>Наименование объекта-представителя</t>
        </is>
      </c>
      <c r="D12" s="128" t="inlineStr">
        <is>
          <t>ПС 220 кВ Звезда с заходами ВЛ 220 кВ Береговая-2-Перевал. Корректировка</t>
        </is>
      </c>
    </row>
    <row r="13">
      <c r="B13" s="211" t="n">
        <v>2</v>
      </c>
      <c r="C13" s="128" t="inlineStr">
        <is>
          <t>Наименование субъекта Российской Федерации</t>
        </is>
      </c>
      <c r="D13" s="211" t="inlineStr">
        <is>
          <t>Приморский край</t>
        </is>
      </c>
    </row>
    <row r="14">
      <c r="B14" s="211" t="n">
        <v>3</v>
      </c>
      <c r="C14" s="128" t="inlineStr">
        <is>
          <t>Климатический район и подрайон</t>
        </is>
      </c>
      <c r="D14" s="211" t="inlineStr">
        <is>
          <t>IIг</t>
        </is>
      </c>
    </row>
    <row r="15">
      <c r="B15" s="211" t="n">
        <v>4</v>
      </c>
      <c r="C15" s="128" t="inlineStr">
        <is>
          <t>Мощность объекта</t>
        </is>
      </c>
      <c r="D15" s="211" t="n">
        <v>1</v>
      </c>
    </row>
    <row r="16" ht="63" customHeight="1">
      <c r="B16" s="21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Шкаф измерительных преобразователей - 1 комлпект</t>
        </is>
      </c>
    </row>
    <row r="17" ht="63" customHeight="1">
      <c r="B17" s="21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>
        <f>D18+D19+D20+D21</f>
        <v/>
      </c>
      <c r="E17" s="151" t="n"/>
    </row>
    <row r="18">
      <c r="B18" s="132" t="inlineStr">
        <is>
          <t>6.1</t>
        </is>
      </c>
      <c r="C18" s="128" t="inlineStr">
        <is>
          <t>строительно-монтажные работы</t>
        </is>
      </c>
      <c r="D18" s="190">
        <f>'Прил.2 Расч стоим'!G13</f>
        <v/>
      </c>
    </row>
    <row r="19">
      <c r="B19" s="132" t="inlineStr">
        <is>
          <t>6.2</t>
        </is>
      </c>
      <c r="C19" s="128" t="inlineStr">
        <is>
          <t>оборудование и инвентарь</t>
        </is>
      </c>
      <c r="D19" s="190">
        <f>'Прил.2 Расч стоим'!H13</f>
        <v/>
      </c>
    </row>
    <row r="20">
      <c r="B20" s="132" t="inlineStr">
        <is>
          <t>6.3</t>
        </is>
      </c>
      <c r="C20" s="128" t="inlineStr">
        <is>
          <t>пусконаладочные работы</t>
        </is>
      </c>
      <c r="D20" s="190" t="n">
        <v>0</v>
      </c>
    </row>
    <row r="21">
      <c r="B21" s="132" t="inlineStr">
        <is>
          <t>6.4</t>
        </is>
      </c>
      <c r="C21" s="131" t="inlineStr">
        <is>
          <t>прочие и лимитированные затраты</t>
        </is>
      </c>
      <c r="D21" s="190">
        <f>D18*0.039+(D18*0.039+D18)*0.032</f>
        <v/>
      </c>
    </row>
    <row r="22">
      <c r="B22" s="211" t="n">
        <v>7</v>
      </c>
      <c r="C22" s="131" t="inlineStr">
        <is>
          <t>Сопоставимый уровень цен</t>
        </is>
      </c>
      <c r="D22" s="191" t="inlineStr">
        <is>
          <t>3 кв. 2016 г.</t>
        </is>
      </c>
      <c r="E22" s="129" t="n"/>
    </row>
    <row r="23" ht="78.75" customHeight="1">
      <c r="B23" s="211" t="n">
        <v>8</v>
      </c>
      <c r="C23" s="1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>
        <f>D17</f>
        <v/>
      </c>
      <c r="E23" s="151" t="n"/>
    </row>
    <row r="24" ht="31.5" customHeight="1">
      <c r="B24" s="21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90">
        <f>D23/D15</f>
        <v/>
      </c>
      <c r="E24" s="129" t="n"/>
    </row>
    <row r="25">
      <c r="B25" s="211" t="n">
        <v>10</v>
      </c>
      <c r="C25" s="128" t="inlineStr">
        <is>
          <t>Примечание</t>
        </is>
      </c>
      <c r="D25" s="211" t="n"/>
    </row>
    <row r="26">
      <c r="B26" s="127" t="n"/>
      <c r="C26" s="126" t="n"/>
      <c r="D26" s="126" t="n"/>
    </row>
    <row r="27" ht="37.5" customHeight="1">
      <c r="B27" s="125" t="n"/>
    </row>
    <row r="28">
      <c r="B28" s="124" t="inlineStr">
        <is>
          <t>Составил ______________________    Е. М. Добровольская</t>
        </is>
      </c>
    </row>
    <row r="29">
      <c r="B29" s="125" t="inlineStr">
        <is>
          <t xml:space="preserve">                         (подпись, инициалы, фамилия)</t>
        </is>
      </c>
    </row>
    <row r="31">
      <c r="B31" s="124" t="inlineStr">
        <is>
          <t>Проверил ______________________        А.В. Костянецкая</t>
        </is>
      </c>
    </row>
    <row r="32">
      <c r="B32" s="12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zoomScaleNormal="70" workbookViewId="0">
      <selection activeCell="C15" sqref="C15"/>
    </sheetView>
  </sheetViews>
  <sheetFormatPr baseColWidth="8" defaultColWidth="9.140625" defaultRowHeight="15.75"/>
  <cols>
    <col width="5.5703125" customWidth="1" style="124" min="1" max="1"/>
    <col width="9.140625" customWidth="1" style="124" min="2" max="2"/>
    <col width="35.28515625" customWidth="1" style="124" min="3" max="3"/>
    <col width="13.85546875" customWidth="1" style="124" min="4" max="4"/>
    <col width="24.85546875" customWidth="1" style="124" min="5" max="5"/>
    <col width="15.5703125" customWidth="1" style="124" min="6" max="6"/>
    <col width="14.85546875" customWidth="1" style="124" min="7" max="7"/>
    <col width="16.7109375" customWidth="1" style="124" min="8" max="8"/>
    <col width="13" customWidth="1" style="124" min="9" max="10"/>
    <col width="12.28515625" customWidth="1" style="124" min="11" max="11"/>
    <col width="11.28515625" customWidth="1" style="124" min="12" max="12"/>
  </cols>
  <sheetData>
    <row r="3">
      <c r="B3" s="206" t="inlineStr">
        <is>
          <t>Приложение № 2</t>
        </is>
      </c>
      <c r="K3" s="125" t="n"/>
    </row>
    <row r="4">
      <c r="B4" s="207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  <c r="K5" s="134" t="n"/>
    </row>
    <row r="6">
      <c r="B6" s="212" t="inlineStr">
        <is>
          <t>Наименование разрабатываемого показателя УНЦ — Шкаф измерительных преобразователей с кол-вом ИП: 9 шт</t>
        </is>
      </c>
      <c r="K6" s="125" t="n"/>
    </row>
    <row r="7" ht="15.75" customHeight="1">
      <c r="B7" s="213" t="inlineStr">
        <is>
          <t>Единица измерения  — 1 ед</t>
        </is>
      </c>
      <c r="K7" s="125" t="n"/>
    </row>
    <row r="8" ht="18.75" customHeight="1">
      <c r="B8" s="113" t="n"/>
    </row>
    <row r="9" ht="15.75" customHeight="1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>
      <c r="B10" s="330" t="n"/>
      <c r="C10" s="330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3 кв. 2016 г., тыс. руб.</t>
        </is>
      </c>
      <c r="G10" s="328" t="n"/>
      <c r="H10" s="328" t="n"/>
      <c r="I10" s="328" t="n"/>
      <c r="J10" s="329" t="n"/>
    </row>
    <row r="11" ht="63" customHeight="1">
      <c r="B11" s="331" t="n"/>
      <c r="C11" s="331" t="n"/>
      <c r="D11" s="331" t="n"/>
      <c r="E11" s="331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31.5" customHeight="1">
      <c r="B12" s="192" t="n">
        <v>1</v>
      </c>
      <c r="C12" s="141">
        <f>'Прил.1 Сравнит табл'!D16</f>
        <v/>
      </c>
      <c r="D12" s="193" t="inlineStr">
        <is>
          <t>02-05-03</t>
        </is>
      </c>
      <c r="E12" s="128" t="inlineStr">
        <is>
          <t>АСУ ТП. Приобретение и монтаж оборудования</t>
        </is>
      </c>
      <c r="F12" s="194" t="n"/>
      <c r="G12" s="194" t="n">
        <v>1029.76786048</v>
      </c>
      <c r="H12" s="194" t="n">
        <v>2133.162914</v>
      </c>
      <c r="I12" s="194" t="n"/>
      <c r="J12" s="195">
        <f>SUM(F12:I12)</f>
        <v/>
      </c>
      <c r="K12" s="196" t="n"/>
      <c r="L12" s="196" t="n"/>
    </row>
    <row r="13" ht="15" customHeight="1">
      <c r="B13" s="210" t="inlineStr">
        <is>
          <t>Всего по объекту:</t>
        </is>
      </c>
      <c r="C13" s="328" t="n"/>
      <c r="D13" s="328" t="n"/>
      <c r="E13" s="329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6" t="n"/>
      <c r="L13" s="196" t="n"/>
    </row>
    <row r="14" ht="15.75" customHeight="1">
      <c r="B14" s="210" t="inlineStr">
        <is>
          <t>Всего по объекту в сопоставимом уровне цен 3 кв. 2016 г. :</t>
        </is>
      </c>
      <c r="C14" s="328" t="n"/>
      <c r="D14" s="328" t="n"/>
      <c r="E14" s="329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  <c r="L14" s="196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5"/>
  <sheetViews>
    <sheetView view="pageBreakPreview" topLeftCell="A38" workbookViewId="0">
      <selection activeCell="D38" sqref="D38"/>
    </sheetView>
  </sheetViews>
  <sheetFormatPr baseColWidth="8" defaultColWidth="9.140625" defaultRowHeight="15.75"/>
  <cols>
    <col width="9.140625" customWidth="1" style="124" min="1" max="1"/>
    <col width="12.5703125" customWidth="1" style="124" min="2" max="2"/>
    <col width="22.42578125" customWidth="1" style="124" min="3" max="3"/>
    <col width="49.7109375" customWidth="1" style="124" min="4" max="4"/>
    <col width="10.140625" customWidth="1" style="124" min="5" max="5"/>
    <col width="20.7109375" customWidth="1" style="124" min="6" max="6"/>
    <col width="20" customWidth="1" style="124" min="7" max="7"/>
    <col width="16.7109375" customWidth="1" style="124" min="8" max="8"/>
    <col width="12.5703125" customWidth="1" style="124" min="9" max="9"/>
    <col width="12.85546875" customWidth="1" style="124" min="10" max="10"/>
    <col width="15" customWidth="1" style="124" min="11" max="11"/>
    <col width="9.140625" customWidth="1" style="124" min="12" max="12"/>
  </cols>
  <sheetData>
    <row r="2">
      <c r="A2" s="206" t="inlineStr">
        <is>
          <t xml:space="preserve">Приложение № 3 </t>
        </is>
      </c>
    </row>
    <row r="3">
      <c r="A3" s="207" t="inlineStr">
        <is>
          <t>Объектная ресурсная ведомость</t>
        </is>
      </c>
    </row>
    <row r="4" ht="18.75" customHeight="1">
      <c r="A4" s="160" t="n"/>
      <c r="B4" s="160" t="n"/>
      <c r="C4" s="218" t="n"/>
    </row>
    <row r="5">
      <c r="A5" s="208" t="n"/>
    </row>
    <row r="6">
      <c r="A6" s="212" t="inlineStr">
        <is>
          <t>Наименование разрабатываемого показателя УНЦ — Шкаф измерительных преобразователей с кол-вом ИП: 9 шт</t>
        </is>
      </c>
    </row>
    <row r="7">
      <c r="A7" s="213" t="n"/>
      <c r="B7" s="213" t="n"/>
      <c r="C7" s="213" t="n"/>
      <c r="D7" s="213" t="n"/>
      <c r="E7" s="213" t="n"/>
      <c r="F7" s="213" t="n"/>
      <c r="G7" s="213" t="n"/>
      <c r="H7" s="213" t="n"/>
    </row>
    <row r="8" ht="38.25" customHeight="1">
      <c r="A8" s="211" t="inlineStr">
        <is>
          <t>п/п</t>
        </is>
      </c>
      <c r="B8" s="211" t="inlineStr">
        <is>
          <t>№ЛСР</t>
        </is>
      </c>
      <c r="C8" s="211" t="inlineStr">
        <is>
          <t>Код ресурса</t>
        </is>
      </c>
      <c r="D8" s="211" t="inlineStr">
        <is>
          <t>Наименование ресурса</t>
        </is>
      </c>
      <c r="E8" s="211" t="inlineStr">
        <is>
          <t>Ед. изм.</t>
        </is>
      </c>
      <c r="F8" s="211" t="inlineStr">
        <is>
          <t>Кол-во единиц по данным объекта-представителя</t>
        </is>
      </c>
      <c r="G8" s="211" t="inlineStr">
        <is>
          <t>Сметная стоимость в ценах на 01.01.2000 (руб.)</t>
        </is>
      </c>
      <c r="H8" s="329" t="n"/>
    </row>
    <row r="9" ht="40.5" customHeight="1">
      <c r="A9" s="331" t="n"/>
      <c r="B9" s="331" t="n"/>
      <c r="C9" s="331" t="n"/>
      <c r="D9" s="331" t="n"/>
      <c r="E9" s="331" t="n"/>
      <c r="F9" s="331" t="n"/>
      <c r="G9" s="211" t="inlineStr">
        <is>
          <t>на ед.изм.</t>
        </is>
      </c>
      <c r="H9" s="211" t="inlineStr">
        <is>
          <t>общая</t>
        </is>
      </c>
    </row>
    <row r="10">
      <c r="A10" s="141" t="n">
        <v>1</v>
      </c>
      <c r="B10" s="141" t="n"/>
      <c r="C10" s="141" t="n">
        <v>2</v>
      </c>
      <c r="D10" s="141" t="inlineStr">
        <is>
          <t>З</t>
        </is>
      </c>
      <c r="E10" s="141" t="n">
        <v>4</v>
      </c>
      <c r="F10" s="141" t="n">
        <v>5</v>
      </c>
      <c r="G10" s="141" t="n">
        <v>6</v>
      </c>
      <c r="H10" s="141" t="n">
        <v>7</v>
      </c>
    </row>
    <row r="11" customFormat="1" s="137">
      <c r="A11" s="215" t="inlineStr">
        <is>
          <t>Затраты труда рабочих</t>
        </is>
      </c>
      <c r="B11" s="328" t="n"/>
      <c r="C11" s="328" t="n"/>
      <c r="D11" s="328" t="n"/>
      <c r="E11" s="329" t="n"/>
      <c r="F11" s="332" t="n">
        <v>260.28</v>
      </c>
      <c r="G11" s="10" t="n"/>
      <c r="H11" s="332">
        <f>SUM(H12:H15)</f>
        <v/>
      </c>
      <c r="I11" s="333" t="n"/>
      <c r="J11" s="333" t="n"/>
      <c r="L11" s="124" t="n"/>
    </row>
    <row r="12">
      <c r="A12" s="153" t="n">
        <v>1</v>
      </c>
      <c r="B12" s="140" t="n"/>
      <c r="C12" s="153" t="inlineStr">
        <is>
          <t>1-3-8</t>
        </is>
      </c>
      <c r="D12" s="154" t="inlineStr">
        <is>
          <t>Затраты труда рабочих (ср 3,8)</t>
        </is>
      </c>
      <c r="E12" s="244" t="inlineStr">
        <is>
          <t>чел.-ч</t>
        </is>
      </c>
      <c r="F12" s="153" t="n">
        <v>234.53</v>
      </c>
      <c r="G12" s="156" t="n">
        <v>9.4</v>
      </c>
      <c r="H12" s="156">
        <f>ROUND(F12*G12,2)</f>
        <v/>
      </c>
    </row>
    <row r="13">
      <c r="A13" s="244" t="n">
        <v>2</v>
      </c>
      <c r="B13" s="140" t="n"/>
      <c r="C13" s="153" t="inlineStr">
        <is>
          <t>1-3-6</t>
        </is>
      </c>
      <c r="D13" s="154" t="inlineStr">
        <is>
          <t>Затраты труда рабочих (ср 3,6)</t>
        </is>
      </c>
      <c r="E13" s="244" t="inlineStr">
        <is>
          <t>чел.-ч</t>
        </is>
      </c>
      <c r="F13" s="153" t="n">
        <v>15.2</v>
      </c>
      <c r="G13" s="156" t="n">
        <v>9.18</v>
      </c>
      <c r="H13" s="156">
        <f>ROUND(F13*G13,2)</f>
        <v/>
      </c>
    </row>
    <row r="14">
      <c r="A14" s="153" t="n">
        <v>3</v>
      </c>
      <c r="B14" s="140" t="n"/>
      <c r="C14" s="153" t="inlineStr">
        <is>
          <t>1-3-3</t>
        </is>
      </c>
      <c r="D14" s="154" t="inlineStr">
        <is>
          <t>Затраты труда рабочих (ср 3,3)</t>
        </is>
      </c>
      <c r="E14" s="244" t="inlineStr">
        <is>
          <t>чел.-ч</t>
        </is>
      </c>
      <c r="F14" s="153" t="n">
        <v>7.21</v>
      </c>
      <c r="G14" s="156" t="n">
        <v>8.859999999999999</v>
      </c>
      <c r="H14" s="156">
        <f>ROUND(F14*G14,2)</f>
        <v/>
      </c>
    </row>
    <row r="15">
      <c r="A15" s="244" t="n">
        <v>4</v>
      </c>
      <c r="B15" s="140" t="n"/>
      <c r="C15" s="153" t="inlineStr">
        <is>
          <t>1-4-1</t>
        </is>
      </c>
      <c r="D15" s="154" t="inlineStr">
        <is>
          <t>Затраты труда рабочих (ср 4,1)</t>
        </is>
      </c>
      <c r="E15" s="244" t="inlineStr">
        <is>
          <t>чел.-ч</t>
        </is>
      </c>
      <c r="F15" s="153" t="n">
        <v>3.34</v>
      </c>
      <c r="G15" s="156" t="n">
        <v>9.76</v>
      </c>
      <c r="H15" s="156">
        <f>ROUND(F15*G15,2)</f>
        <v/>
      </c>
    </row>
    <row r="16">
      <c r="A16" s="214" t="inlineStr">
        <is>
          <t>Затраты труда машинистов</t>
        </is>
      </c>
      <c r="B16" s="328" t="n"/>
      <c r="C16" s="328" t="n"/>
      <c r="D16" s="328" t="n"/>
      <c r="E16" s="329" t="n"/>
      <c r="F16" s="215" t="n"/>
      <c r="G16" s="138" t="n"/>
      <c r="H16" s="332">
        <f>H17</f>
        <v/>
      </c>
    </row>
    <row r="17">
      <c r="A17" s="244" t="n">
        <v>5</v>
      </c>
      <c r="B17" s="216" t="n"/>
      <c r="C17" s="153" t="n">
        <v>2</v>
      </c>
      <c r="D17" s="154" t="inlineStr">
        <is>
          <t>Затраты труда машинистов</t>
        </is>
      </c>
      <c r="E17" s="244" t="inlineStr">
        <is>
          <t>чел.-ч</t>
        </is>
      </c>
      <c r="F17" s="153" t="n">
        <v>14.54</v>
      </c>
      <c r="G17" s="156" t="n">
        <v>0</v>
      </c>
      <c r="H17" s="334" t="n">
        <v>182.5</v>
      </c>
    </row>
    <row r="18" customFormat="1" s="137">
      <c r="A18" s="215" t="inlineStr">
        <is>
          <t>Машины и механизмы</t>
        </is>
      </c>
      <c r="B18" s="328" t="n"/>
      <c r="C18" s="328" t="n"/>
      <c r="D18" s="328" t="n"/>
      <c r="E18" s="329" t="n"/>
      <c r="F18" s="215" t="n"/>
      <c r="G18" s="138" t="n"/>
      <c r="H18" s="332">
        <f>SUM(H19:H24)</f>
        <v/>
      </c>
      <c r="I18" s="333" t="n"/>
      <c r="J18" s="333" t="n"/>
      <c r="L18" s="124" t="n"/>
    </row>
    <row r="19" ht="25.5" customHeight="1">
      <c r="A19" s="244" t="n">
        <v>6</v>
      </c>
      <c r="B19" s="216" t="n"/>
      <c r="C19" s="153" t="inlineStr">
        <is>
          <t>91.05.05-015</t>
        </is>
      </c>
      <c r="D19" s="154" t="inlineStr">
        <is>
          <t>Краны на автомобильном ходу, грузоподъемность 16 т</t>
        </is>
      </c>
      <c r="E19" s="244" t="inlineStr">
        <is>
          <t>маш.час</t>
        </is>
      </c>
      <c r="F19" s="153" t="n">
        <v>7.28</v>
      </c>
      <c r="G19" s="165" t="n">
        <v>115.4</v>
      </c>
      <c r="H19" s="156">
        <f>ROUND(F19*G19,2)</f>
        <v/>
      </c>
      <c r="I19" s="142" t="n"/>
      <c r="J19" s="142" t="n"/>
    </row>
    <row r="20">
      <c r="A20" s="244" t="n">
        <v>7</v>
      </c>
      <c r="B20" s="216" t="n"/>
      <c r="C20" s="153" t="inlineStr">
        <is>
          <t>91.14.02-001</t>
        </is>
      </c>
      <c r="D20" s="154" t="inlineStr">
        <is>
          <t>Автомобили бортовые, грузоподъемность до 5 т</t>
        </is>
      </c>
      <c r="E20" s="244" t="inlineStr">
        <is>
          <t>маш.час</t>
        </is>
      </c>
      <c r="F20" s="153" t="n">
        <v>7.26</v>
      </c>
      <c r="G20" s="165" t="n">
        <v>65.70999999999999</v>
      </c>
      <c r="H20" s="156">
        <f>ROUND(F20*G20,2)</f>
        <v/>
      </c>
      <c r="I20" s="142" t="n"/>
      <c r="J20" s="142" t="n"/>
      <c r="K20" s="137" t="n"/>
    </row>
    <row r="21" ht="25.5" customHeight="1">
      <c r="A21" s="244" t="n">
        <v>8</v>
      </c>
      <c r="B21" s="216" t="n"/>
      <c r="C21" s="153" t="inlineStr">
        <is>
          <t>91.06.03-061</t>
        </is>
      </c>
      <c r="D21" s="154" t="inlineStr">
        <is>
          <t>Лебедки электрические тяговым усилием до 12,26 кН (1,25 т)</t>
        </is>
      </c>
      <c r="E21" s="244" t="inlineStr">
        <is>
          <t>маш.час</t>
        </is>
      </c>
      <c r="F21" s="153" t="n">
        <v>52.64</v>
      </c>
      <c r="G21" s="165" t="n">
        <v>3.28</v>
      </c>
      <c r="H21" s="156">
        <f>ROUND(F21*G21,2)</f>
        <v/>
      </c>
      <c r="I21" s="142" t="n"/>
      <c r="J21" s="142" t="n"/>
    </row>
    <row r="22" ht="25.5" customHeight="1">
      <c r="A22" s="244" t="n">
        <v>9</v>
      </c>
      <c r="B22" s="216" t="n"/>
      <c r="C22" s="153" t="inlineStr">
        <is>
          <t>91.06.01-003</t>
        </is>
      </c>
      <c r="D22" s="154" t="inlineStr">
        <is>
          <t>Домкраты гидравлические, грузоподъемность 63-100 т</t>
        </is>
      </c>
      <c r="E22" s="244" t="inlineStr">
        <is>
          <t>маш.час</t>
        </is>
      </c>
      <c r="F22" s="153" t="n">
        <v>52.64</v>
      </c>
      <c r="G22" s="165" t="n">
        <v>0.9</v>
      </c>
      <c r="H22" s="156">
        <f>ROUND(F22*G22,2)</f>
        <v/>
      </c>
    </row>
    <row r="23">
      <c r="A23" s="244" t="n">
        <v>10</v>
      </c>
      <c r="B23" s="216" t="n"/>
      <c r="C23" s="153" t="inlineStr">
        <is>
          <t>91.21.19-031</t>
        </is>
      </c>
      <c r="D23" s="154" t="inlineStr">
        <is>
          <t>Станки сверлильные</t>
        </is>
      </c>
      <c r="E23" s="244" t="inlineStr">
        <is>
          <t>маш.час</t>
        </is>
      </c>
      <c r="F23" s="153" t="n">
        <v>0.92</v>
      </c>
      <c r="G23" s="165" t="n">
        <v>2.36</v>
      </c>
      <c r="H23" s="156">
        <f>ROUND(F23*G23,2)</f>
        <v/>
      </c>
    </row>
    <row r="24" ht="25.5" customHeight="1">
      <c r="A24" s="244" t="n">
        <v>11</v>
      </c>
      <c r="B24" s="216" t="n"/>
      <c r="C24" s="153" t="inlineStr">
        <is>
          <t>91.17.04-233</t>
        </is>
      </c>
      <c r="D24" s="154" t="inlineStr">
        <is>
          <t>Установки для сварки ручной дуговой (постоянного тока)</t>
        </is>
      </c>
      <c r="E24" s="244" t="inlineStr">
        <is>
          <t>маш.час</t>
        </is>
      </c>
      <c r="F24" s="153" t="n">
        <v>0.2</v>
      </c>
      <c r="G24" s="165" t="n">
        <v>8.1</v>
      </c>
      <c r="H24" s="156">
        <f>ROUND(F24*G24,2)</f>
        <v/>
      </c>
    </row>
    <row r="25">
      <c r="A25" s="215" t="inlineStr">
        <is>
          <t>Оборудование</t>
        </is>
      </c>
      <c r="B25" s="328" t="n"/>
      <c r="C25" s="328" t="n"/>
      <c r="D25" s="328" t="n"/>
      <c r="E25" s="329" t="n"/>
      <c r="F25" s="215" t="n"/>
      <c r="G25" s="138" t="n"/>
      <c r="H25" s="332">
        <f>SUM(H26:H26)</f>
        <v/>
      </c>
      <c r="I25" s="333" t="n"/>
      <c r="J25" s="333" t="n"/>
    </row>
    <row r="26" ht="25.5" customHeight="1">
      <c r="A26" s="244" t="n">
        <v>12</v>
      </c>
      <c r="B26" s="216" t="n"/>
      <c r="C26" s="153" t="inlineStr">
        <is>
          <t>Прайс из СД ОП</t>
        </is>
      </c>
      <c r="D26" s="154" t="inlineStr">
        <is>
          <t>Шкаф измерительных преобразователей с кол-вом ИП: 9 шт</t>
        </is>
      </c>
      <c r="E26" s="244" t="inlineStr">
        <is>
          <t>компл</t>
        </is>
      </c>
      <c r="F26" s="244" t="n">
        <v>1</v>
      </c>
      <c r="G26" s="156" t="n">
        <v>498402.55</v>
      </c>
      <c r="H26" s="156">
        <f>ROUND(F26*G26,2)</f>
        <v/>
      </c>
      <c r="I26" s="161" t="n"/>
      <c r="L26" s="142" t="n"/>
    </row>
    <row r="27">
      <c r="A27" s="215" t="inlineStr">
        <is>
          <t>Материалы</t>
        </is>
      </c>
      <c r="B27" s="328" t="n"/>
      <c r="C27" s="328" t="n"/>
      <c r="D27" s="328" t="n"/>
      <c r="E27" s="329" t="n"/>
      <c r="F27" s="215" t="n"/>
      <c r="G27" s="138" t="n"/>
      <c r="H27" s="332">
        <f>SUM(H28:H58)</f>
        <v/>
      </c>
      <c r="I27" s="333" t="n"/>
      <c r="J27" s="333" t="n"/>
    </row>
    <row r="28">
      <c r="A28" s="159" t="n">
        <v>13</v>
      </c>
      <c r="B28" s="216" t="n"/>
      <c r="C28" s="153" t="inlineStr">
        <is>
          <t>21.1.08.03-0579</t>
        </is>
      </c>
      <c r="D28" s="154" t="inlineStr">
        <is>
          <t>Кабель контрольный КВВГЭнг(A)-LS 5х2,5</t>
        </is>
      </c>
      <c r="E28" s="244" t="inlineStr">
        <is>
          <t>1000 м</t>
        </is>
      </c>
      <c r="F28" s="153" t="n">
        <v>3.672</v>
      </c>
      <c r="G28" s="156" t="n">
        <v>38348.22</v>
      </c>
      <c r="H28" s="156">
        <f>ROUND(F28*G28,2)</f>
        <v/>
      </c>
      <c r="I28" s="333" t="n"/>
      <c r="J28" s="333" t="n"/>
      <c r="K28" s="333" t="n"/>
    </row>
    <row r="29" ht="51" customHeight="1">
      <c r="A29" s="159" t="n">
        <v>14</v>
      </c>
      <c r="B29" s="216" t="n"/>
      <c r="C29" s="153" t="inlineStr">
        <is>
          <t>21.1.01.01-0001</t>
        </is>
      </c>
      <c r="D29" s="15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44" t="inlineStr">
        <is>
          <t>1000 м</t>
        </is>
      </c>
      <c r="F29" s="153" t="n">
        <v>0.1</v>
      </c>
      <c r="G29" s="156" t="n">
        <v>45920.85</v>
      </c>
      <c r="H29" s="156">
        <f>ROUND(F29*G29,2)</f>
        <v/>
      </c>
      <c r="I29" s="161" t="n"/>
    </row>
    <row r="30" ht="25.5" customHeight="1">
      <c r="A30" s="159" t="n">
        <v>15</v>
      </c>
      <c r="B30" s="216" t="n"/>
      <c r="C30" s="153" t="inlineStr">
        <is>
          <t>10.3.02.03-0011</t>
        </is>
      </c>
      <c r="D30" s="154" t="inlineStr">
        <is>
          <t>Припои оловянно-свинцовые бессурьмянистые, марка ПОС30</t>
        </is>
      </c>
      <c r="E30" s="244" t="inlineStr">
        <is>
          <t>т</t>
        </is>
      </c>
      <c r="F30" s="153" t="n">
        <v>0.01794</v>
      </c>
      <c r="G30" s="156" t="n">
        <v>68050</v>
      </c>
      <c r="H30" s="156">
        <f>ROUND(F30*G30,2)</f>
        <v/>
      </c>
      <c r="I30" s="161" t="n"/>
    </row>
    <row r="31" ht="25.5" customHeight="1">
      <c r="A31" s="159" t="n">
        <v>16</v>
      </c>
      <c r="B31" s="216" t="n"/>
      <c r="C31" s="153" t="inlineStr">
        <is>
          <t>24.3.01.02-0002</t>
        </is>
      </c>
      <c r="D31" s="154" t="inlineStr">
        <is>
          <t>Трубы гибкие гофрированные из самозатухающего ПВХ легкие с протяжкой, диаметр 25 мм</t>
        </is>
      </c>
      <c r="E31" s="244" t="inlineStr">
        <is>
          <t>м</t>
        </is>
      </c>
      <c r="F31" s="153" t="n">
        <v>102</v>
      </c>
      <c r="G31" s="156" t="n">
        <v>3.43</v>
      </c>
      <c r="H31" s="156">
        <f>ROUND(F31*G31,2)</f>
        <v/>
      </c>
      <c r="I31" s="161" t="n"/>
    </row>
    <row r="32">
      <c r="A32" s="159" t="n">
        <v>17</v>
      </c>
      <c r="B32" s="216" t="n"/>
      <c r="C32" s="153" t="inlineStr">
        <is>
          <t>01.7.06.07-0002</t>
        </is>
      </c>
      <c r="D32" s="154" t="inlineStr">
        <is>
          <t>Лента монтажная, тип ЛМ-5</t>
        </is>
      </c>
      <c r="E32" s="244" t="inlineStr">
        <is>
          <t>10 м</t>
        </is>
      </c>
      <c r="F32" s="153" t="n">
        <v>31.7</v>
      </c>
      <c r="G32" s="156" t="n">
        <v>6.9</v>
      </c>
      <c r="H32" s="156">
        <f>ROUND(F32*G32,2)</f>
        <v/>
      </c>
      <c r="I32" s="161" t="n"/>
    </row>
    <row r="33" ht="38.25" customHeight="1">
      <c r="A33" s="159" t="n">
        <v>18</v>
      </c>
      <c r="B33" s="216" t="n"/>
      <c r="C33" s="153" t="inlineStr">
        <is>
          <t>08.3.06.01-0003</t>
        </is>
      </c>
      <c r="D33" s="154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3" s="244" t="inlineStr">
        <is>
          <t>т</t>
        </is>
      </c>
      <c r="F33" s="153" t="n">
        <v>0.014</v>
      </c>
      <c r="G33" s="156" t="n">
        <v>6834.81</v>
      </c>
      <c r="H33" s="156">
        <f>ROUND(F33*G33,2)</f>
        <v/>
      </c>
      <c r="I33" s="161" t="n"/>
    </row>
    <row r="34">
      <c r="A34" s="159" t="n">
        <v>19</v>
      </c>
      <c r="B34" s="216" t="n"/>
      <c r="C34" s="153" t="inlineStr">
        <is>
          <t>07.2.07.13-0171</t>
        </is>
      </c>
      <c r="D34" s="154" t="inlineStr">
        <is>
          <t>Подкладки металлические</t>
        </is>
      </c>
      <c r="E34" s="244" t="inlineStr">
        <is>
          <t>кг</t>
        </is>
      </c>
      <c r="F34" s="153" t="n">
        <v>6</v>
      </c>
      <c r="G34" s="156" t="n">
        <v>12.6</v>
      </c>
      <c r="H34" s="156">
        <f>ROUND(F34*G34,2)</f>
        <v/>
      </c>
      <c r="I34" s="161" t="n"/>
    </row>
    <row r="35" ht="25.5" customHeight="1">
      <c r="A35" s="159" t="n">
        <v>20</v>
      </c>
      <c r="B35" s="216" t="n"/>
      <c r="C35" s="153" t="inlineStr">
        <is>
          <t>999-9950</t>
        </is>
      </c>
      <c r="D35" s="154" t="inlineStr">
        <is>
          <t>Вспомогательные ненормируемые ресурсы (2% от Оплаты труда рабочих)</t>
        </is>
      </c>
      <c r="E35" s="244" t="inlineStr">
        <is>
          <t>руб</t>
        </is>
      </c>
      <c r="F35" s="153" t="n">
        <v>48.8016</v>
      </c>
      <c r="G35" s="156" t="n">
        <v>1</v>
      </c>
      <c r="H35" s="156">
        <f>ROUND(F35*G35,2)</f>
        <v/>
      </c>
      <c r="I35" s="161" t="n"/>
    </row>
    <row r="36">
      <c r="A36" s="159" t="n">
        <v>21</v>
      </c>
      <c r="B36" s="216" t="n"/>
      <c r="C36" s="153" t="inlineStr">
        <is>
          <t>14.4.03.03-0002</t>
        </is>
      </c>
      <c r="D36" s="154" t="inlineStr">
        <is>
          <t>Лак битумный БТ-123</t>
        </is>
      </c>
      <c r="E36" s="244" t="inlineStr">
        <is>
          <t>т</t>
        </is>
      </c>
      <c r="F36" s="153" t="n">
        <v>0.0048</v>
      </c>
      <c r="G36" s="156" t="n">
        <v>7826.9</v>
      </c>
      <c r="H36" s="156">
        <f>ROUND(F36*G36,2)</f>
        <v/>
      </c>
      <c r="I36" s="161" t="n"/>
    </row>
    <row r="37">
      <c r="A37" s="159" t="n">
        <v>22</v>
      </c>
      <c r="B37" s="216" t="n"/>
      <c r="C37" s="153" t="inlineStr">
        <is>
          <t>20.1.02.06-0001</t>
        </is>
      </c>
      <c r="D37" s="154" t="inlineStr">
        <is>
          <t>Жир паяльный</t>
        </is>
      </c>
      <c r="E37" s="244" t="inlineStr">
        <is>
          <t>кг</t>
        </is>
      </c>
      <c r="F37" s="153" t="n">
        <v>0.36</v>
      </c>
      <c r="G37" s="156" t="n">
        <v>100.8</v>
      </c>
      <c r="H37" s="156">
        <f>ROUND(F37*G37,2)</f>
        <v/>
      </c>
      <c r="I37" s="161" t="n"/>
    </row>
    <row r="38">
      <c r="A38" s="159" t="n">
        <v>23</v>
      </c>
      <c r="B38" s="216" t="n"/>
      <c r="C38" s="153" t="inlineStr">
        <is>
          <t>01.7.15.07-0152</t>
        </is>
      </c>
      <c r="D38" s="154" t="inlineStr">
        <is>
          <t>Дюбели с шурупом, размер 6х35 мм</t>
        </is>
      </c>
      <c r="E38" s="244" t="inlineStr">
        <is>
          <t>100 шт</t>
        </is>
      </c>
      <c r="F38" s="153" t="n">
        <v>1.75</v>
      </c>
      <c r="G38" s="156" t="n">
        <v>8</v>
      </c>
      <c r="H38" s="156">
        <f>ROUND(F38*G38,2)</f>
        <v/>
      </c>
      <c r="I38" s="161" t="n"/>
    </row>
    <row r="39">
      <c r="A39" s="159" t="n">
        <v>24</v>
      </c>
      <c r="B39" s="216" t="n"/>
      <c r="C39" s="153" t="inlineStr">
        <is>
          <t>25.2.01.01-0017</t>
        </is>
      </c>
      <c r="D39" s="154" t="inlineStr">
        <is>
          <t>Бирки маркировочные пластмассовые</t>
        </is>
      </c>
      <c r="E39" s="244" t="inlineStr">
        <is>
          <t>100 шт</t>
        </is>
      </c>
      <c r="F39" s="153" t="n">
        <v>0.36</v>
      </c>
      <c r="G39" s="156" t="n">
        <v>30.74</v>
      </c>
      <c r="H39" s="156">
        <f>ROUND(F39*G39,2)</f>
        <v/>
      </c>
      <c r="I39" s="161" t="n"/>
    </row>
    <row r="40" ht="25.5" customHeight="1">
      <c r="A40" s="159" t="n">
        <v>25</v>
      </c>
      <c r="B40" s="216" t="n"/>
      <c r="C40" s="153" t="inlineStr">
        <is>
          <t>01.7.06.05-0041</t>
        </is>
      </c>
      <c r="D40" s="154" t="inlineStr">
        <is>
          <t>Лента изоляционная прорезиненная односторонняя, ширина 20 мм, толщина 0,25-0,35 мм</t>
        </is>
      </c>
      <c r="E40" s="244" t="inlineStr">
        <is>
          <t>кг</t>
        </is>
      </c>
      <c r="F40" s="153" t="n">
        <v>0.34</v>
      </c>
      <c r="G40" s="156" t="n">
        <v>30.4</v>
      </c>
      <c r="H40" s="156">
        <f>ROUND(F40*G40,2)</f>
        <v/>
      </c>
      <c r="I40" s="161" t="n"/>
    </row>
    <row r="41" ht="25.5" customHeight="1">
      <c r="A41" s="159" t="n">
        <v>26</v>
      </c>
      <c r="B41" s="216" t="n"/>
      <c r="C41" s="153" t="inlineStr">
        <is>
          <t>01.7.15.03-0034</t>
        </is>
      </c>
      <c r="D41" s="154" t="inlineStr">
        <is>
          <t>Болты с гайками и шайбами оцинкованные, диаметр 12 мм</t>
        </is>
      </c>
      <c r="E41" s="244" t="inlineStr">
        <is>
          <t>кг</t>
        </is>
      </c>
      <c r="F41" s="153" t="n">
        <v>0.2378</v>
      </c>
      <c r="G41" s="156" t="n">
        <v>25.76</v>
      </c>
      <c r="H41" s="156">
        <f>ROUND(F41*G41,2)</f>
        <v/>
      </c>
      <c r="I41" s="161" t="n"/>
    </row>
    <row r="42">
      <c r="A42" s="159" t="n">
        <v>27</v>
      </c>
      <c r="B42" s="216" t="n"/>
      <c r="C42" s="153" t="inlineStr">
        <is>
          <t>01.7.15.14-0165</t>
        </is>
      </c>
      <c r="D42" s="154" t="inlineStr">
        <is>
          <t>Шурупы с полукруглой головкой 4х40 мм</t>
        </is>
      </c>
      <c r="E42" s="244" t="inlineStr">
        <is>
          <t>т</t>
        </is>
      </c>
      <c r="F42" s="153" t="n">
        <v>0.00044</v>
      </c>
      <c r="G42" s="156" t="n">
        <v>12430</v>
      </c>
      <c r="H42" s="156">
        <f>ROUND(F42*G42,2)</f>
        <v/>
      </c>
      <c r="I42" s="161" t="n"/>
    </row>
    <row r="43">
      <c r="A43" s="159" t="n">
        <v>28</v>
      </c>
      <c r="B43" s="216" t="n"/>
      <c r="C43" s="153" t="inlineStr">
        <is>
          <t>20.2.01.05-0001</t>
        </is>
      </c>
      <c r="D43" s="154" t="inlineStr">
        <is>
          <t>Гильзы кабельные медные ГМ 2,5</t>
        </is>
      </c>
      <c r="E43" s="244" t="inlineStr">
        <is>
          <t>100 шт</t>
        </is>
      </c>
      <c r="F43" s="153" t="n">
        <v>0.05</v>
      </c>
      <c r="G43" s="156" t="n">
        <v>66</v>
      </c>
      <c r="H43" s="156">
        <f>ROUND(F43*G43,2)</f>
        <v/>
      </c>
      <c r="I43" s="161" t="n"/>
    </row>
    <row r="44" ht="25.5" customHeight="1">
      <c r="A44" s="159" t="n">
        <v>29</v>
      </c>
      <c r="B44" s="216" t="n"/>
      <c r="C44" s="153" t="inlineStr">
        <is>
          <t>10.3.02.03-0013</t>
        </is>
      </c>
      <c r="D44" s="154" t="inlineStr">
        <is>
          <t>Припои оловянно-свинцовые бессурьмянистые, марка ПОС61</t>
        </is>
      </c>
      <c r="E44" s="244" t="inlineStr">
        <is>
          <t>т</t>
        </is>
      </c>
      <c r="F44" s="153" t="n">
        <v>2.88e-05</v>
      </c>
      <c r="G44" s="156" t="n">
        <v>114220</v>
      </c>
      <c r="H44" s="156">
        <f>ROUND(F44*G44,2)</f>
        <v/>
      </c>
      <c r="I44" s="161" t="n"/>
    </row>
    <row r="45">
      <c r="A45" s="159" t="n">
        <v>30</v>
      </c>
      <c r="B45" s="216" t="n"/>
      <c r="C45" s="153" t="inlineStr">
        <is>
          <t>25.2.02.11-0041</t>
        </is>
      </c>
      <c r="D45" s="154" t="inlineStr">
        <is>
          <t>Рамка для надписей 55х15 мм</t>
        </is>
      </c>
      <c r="E45" s="244" t="inlineStr">
        <is>
          <t>шт</t>
        </is>
      </c>
      <c r="F45" s="153" t="n">
        <v>10</v>
      </c>
      <c r="G45" s="156" t="n">
        <v>0.27</v>
      </c>
      <c r="H45" s="156">
        <f>ROUND(F45*G45,2)</f>
        <v/>
      </c>
      <c r="I45" s="161" t="n"/>
    </row>
    <row r="46">
      <c r="A46" s="159" t="n">
        <v>31</v>
      </c>
      <c r="B46" s="216" t="n"/>
      <c r="C46" s="153" t="inlineStr">
        <is>
          <t>01.7.11.07-0032</t>
        </is>
      </c>
      <c r="D46" s="154" t="inlineStr">
        <is>
          <t>Электроды сварочные Э42, диаметр 4 мм</t>
        </is>
      </c>
      <c r="E46" s="244" t="inlineStr">
        <is>
          <t>т</t>
        </is>
      </c>
      <c r="F46" s="153" t="n">
        <v>0.00024</v>
      </c>
      <c r="G46" s="156" t="n">
        <v>10315.01</v>
      </c>
      <c r="H46" s="156">
        <f>ROUND(F46*G46,2)</f>
        <v/>
      </c>
      <c r="I46" s="161" t="n"/>
    </row>
    <row r="47">
      <c r="A47" s="159" t="n">
        <v>32</v>
      </c>
      <c r="B47" s="216" t="n"/>
      <c r="C47" s="153" t="inlineStr">
        <is>
          <t>01.3.01.05-0009</t>
        </is>
      </c>
      <c r="D47" s="154" t="inlineStr">
        <is>
          <t>Парафин нефтяной твердый Т-1</t>
        </is>
      </c>
      <c r="E47" s="244" t="inlineStr">
        <is>
          <t>т</t>
        </is>
      </c>
      <c r="F47" s="153" t="n">
        <v>0.00018</v>
      </c>
      <c r="G47" s="156" t="n">
        <v>8105.71</v>
      </c>
      <c r="H47" s="156">
        <f>ROUND(F47*G47,2)</f>
        <v/>
      </c>
      <c r="I47" s="161" t="n"/>
    </row>
    <row r="48">
      <c r="A48" s="159" t="n">
        <v>33</v>
      </c>
      <c r="B48" s="216" t="n"/>
      <c r="C48" s="153" t="inlineStr">
        <is>
          <t>20.2.02.01-0011</t>
        </is>
      </c>
      <c r="D48" s="154" t="inlineStr">
        <is>
          <t>Втулки, диаметр 17 мм</t>
        </is>
      </c>
      <c r="E48" s="244" t="inlineStr">
        <is>
          <t>1000 шт</t>
        </is>
      </c>
      <c r="F48" s="153" t="n">
        <v>0.0122</v>
      </c>
      <c r="G48" s="156" t="n">
        <v>75.40000000000001</v>
      </c>
      <c r="H48" s="156">
        <f>ROUND(F48*G48,2)</f>
        <v/>
      </c>
      <c r="I48" s="161" t="n"/>
    </row>
    <row r="49">
      <c r="A49" s="159" t="n">
        <v>34</v>
      </c>
      <c r="B49" s="216" t="n"/>
      <c r="C49" s="153" t="inlineStr">
        <is>
          <t>01.7.07.20-0002</t>
        </is>
      </c>
      <c r="D49" s="154" t="inlineStr">
        <is>
          <t>Тальк молотый, сорт I</t>
        </is>
      </c>
      <c r="E49" s="244" t="inlineStr">
        <is>
          <t>т</t>
        </is>
      </c>
      <c r="F49" s="153" t="n">
        <v>0.00043</v>
      </c>
      <c r="G49" s="156" t="n">
        <v>1820</v>
      </c>
      <c r="H49" s="156">
        <f>ROUND(F49*G49,2)</f>
        <v/>
      </c>
      <c r="I49" s="161" t="n"/>
    </row>
    <row r="50">
      <c r="A50" s="159" t="n">
        <v>35</v>
      </c>
      <c r="B50" s="216" t="n"/>
      <c r="C50" s="153" t="inlineStr">
        <is>
          <t>14.4.02.09-0001</t>
        </is>
      </c>
      <c r="D50" s="154" t="inlineStr">
        <is>
          <t>Краска</t>
        </is>
      </c>
      <c r="E50" s="244" t="inlineStr">
        <is>
          <t>кг</t>
        </is>
      </c>
      <c r="F50" s="153" t="n">
        <v>0.02</v>
      </c>
      <c r="G50" s="156" t="n">
        <v>28.6</v>
      </c>
      <c r="H50" s="156">
        <f>ROUND(F50*G50,2)</f>
        <v/>
      </c>
      <c r="I50" s="161" t="n"/>
    </row>
    <row r="51">
      <c r="A51" s="159" t="n">
        <v>36</v>
      </c>
      <c r="B51" s="216" t="n"/>
      <c r="C51" s="153" t="inlineStr">
        <is>
          <t>14.4.04.09-0017</t>
        </is>
      </c>
      <c r="D51" s="154" t="inlineStr">
        <is>
          <t>Эмаль ХВ-124, защитная, зеленая</t>
        </is>
      </c>
      <c r="E51" s="244" t="inlineStr">
        <is>
          <t>т</t>
        </is>
      </c>
      <c r="F51" s="153" t="n">
        <v>2e-05</v>
      </c>
      <c r="G51" s="156" t="n">
        <v>28300.4</v>
      </c>
      <c r="H51" s="156">
        <f>ROUND(F51*G51,2)</f>
        <v/>
      </c>
      <c r="I51" s="161" t="n"/>
    </row>
    <row r="52">
      <c r="A52" s="159" t="n">
        <v>37</v>
      </c>
      <c r="B52" s="216" t="n"/>
      <c r="C52" s="153" t="inlineStr">
        <is>
          <t>24.3.01.01-0002</t>
        </is>
      </c>
      <c r="D52" s="154" t="inlineStr">
        <is>
          <t>Трубка полихлорвиниловая</t>
        </is>
      </c>
      <c r="E52" s="244" t="inlineStr">
        <is>
          <t>кг</t>
        </is>
      </c>
      <c r="F52" s="153" t="n">
        <v>0.0144</v>
      </c>
      <c r="G52" s="156" t="n">
        <v>35.7</v>
      </c>
      <c r="H52" s="156">
        <f>ROUND(F52*G52,2)</f>
        <v/>
      </c>
      <c r="I52" s="161" t="n"/>
    </row>
    <row r="53">
      <c r="A53" s="159" t="n">
        <v>38</v>
      </c>
      <c r="B53" s="216" t="n"/>
      <c r="C53" s="153" t="inlineStr">
        <is>
          <t>01.3.01.07-0009</t>
        </is>
      </c>
      <c r="D53" s="154" t="inlineStr">
        <is>
          <t>Спирт этиловый ректификованный технический, сорт I</t>
        </is>
      </c>
      <c r="E53" s="244" t="inlineStr">
        <is>
          <t>кг</t>
        </is>
      </c>
      <c r="F53" s="153" t="n">
        <v>0.01044</v>
      </c>
      <c r="G53" s="156" t="n">
        <v>38.89</v>
      </c>
      <c r="H53" s="156">
        <f>ROUND(F53*G53,2)</f>
        <v/>
      </c>
      <c r="I53" s="161" t="n"/>
    </row>
    <row r="54">
      <c r="A54" s="159" t="n">
        <v>39</v>
      </c>
      <c r="B54" s="216" t="n"/>
      <c r="C54" s="153" t="inlineStr">
        <is>
          <t>01.3.05.17-0002</t>
        </is>
      </c>
      <c r="D54" s="154" t="inlineStr">
        <is>
          <t>Канифоль сосновая</t>
        </is>
      </c>
      <c r="E54" s="244" t="inlineStr">
        <is>
          <t>кг</t>
        </is>
      </c>
      <c r="F54" s="153" t="n">
        <v>0.00684</v>
      </c>
      <c r="G54" s="156" t="n">
        <v>27.74</v>
      </c>
      <c r="H54" s="156">
        <f>ROUND(F54*G54,2)</f>
        <v/>
      </c>
      <c r="I54" s="161" t="n"/>
    </row>
    <row r="55">
      <c r="A55" s="159" t="n">
        <v>40</v>
      </c>
      <c r="B55" s="216" t="n"/>
      <c r="C55" s="153" t="inlineStr">
        <is>
          <t>14.4.01.01-0003</t>
        </is>
      </c>
      <c r="D55" s="154" t="inlineStr">
        <is>
          <t>Грунтовка ГФ-021</t>
        </is>
      </c>
      <c r="E55" s="244" t="inlineStr">
        <is>
          <t>т</t>
        </is>
      </c>
      <c r="F55" s="153" t="n">
        <v>1e-05</v>
      </c>
      <c r="G55" s="156" t="n">
        <v>15620</v>
      </c>
      <c r="H55" s="156">
        <f>ROUND(F55*G55,2)</f>
        <v/>
      </c>
      <c r="I55" s="161" t="n"/>
    </row>
    <row r="56">
      <c r="A56" s="159" t="n">
        <v>41</v>
      </c>
      <c r="B56" s="216" t="n"/>
      <c r="C56" s="153" t="inlineStr">
        <is>
          <t>14.5.09.07-0030</t>
        </is>
      </c>
      <c r="D56" s="154" t="inlineStr">
        <is>
          <t>Растворитель Р-4</t>
        </is>
      </c>
      <c r="E56" s="244" t="inlineStr">
        <is>
          <t>кг</t>
        </is>
      </c>
      <c r="F56" s="153" t="n">
        <v>0.01</v>
      </c>
      <c r="G56" s="156" t="n">
        <v>9.42</v>
      </c>
      <c r="H56" s="156">
        <f>ROUND(F56*G56,2)</f>
        <v/>
      </c>
      <c r="I56" s="161" t="n"/>
    </row>
    <row r="57">
      <c r="A57" s="159" t="n">
        <v>42</v>
      </c>
      <c r="B57" s="216" t="n"/>
      <c r="C57" s="153" t="inlineStr">
        <is>
          <t>14.5.09.11-0102</t>
        </is>
      </c>
      <c r="D57" s="154" t="inlineStr">
        <is>
          <t>Уайт-спирит</t>
        </is>
      </c>
      <c r="E57" s="244" t="inlineStr">
        <is>
          <t>кг</t>
        </is>
      </c>
      <c r="F57" s="153" t="n">
        <v>0.01</v>
      </c>
      <c r="G57" s="156" t="n">
        <v>6.67</v>
      </c>
      <c r="H57" s="156">
        <f>ROUND(F57*G57,2)</f>
        <v/>
      </c>
      <c r="I57" s="161" t="n"/>
    </row>
    <row r="58">
      <c r="A58" s="159" t="n">
        <v>43</v>
      </c>
      <c r="B58" s="216" t="n"/>
      <c r="C58" s="153" t="inlineStr">
        <is>
          <t>01.3.05.11-0001</t>
        </is>
      </c>
      <c r="D58" s="154" t="inlineStr">
        <is>
          <t>Дихлорэтан технический, сорт I</t>
        </is>
      </c>
      <c r="E58" s="244" t="inlineStr">
        <is>
          <t>т</t>
        </is>
      </c>
      <c r="F58" s="153" t="n">
        <v>7.2e-06</v>
      </c>
      <c r="G58" s="156" t="n">
        <v>4934.48</v>
      </c>
      <c r="H58" s="156">
        <f>ROUND(F58*G58,2)</f>
        <v/>
      </c>
      <c r="I58" s="161" t="n"/>
    </row>
    <row r="61">
      <c r="B61" s="124" t="inlineStr">
        <is>
          <t>Составил ______________________     Е. М. Добровольская</t>
        </is>
      </c>
    </row>
    <row r="62">
      <c r="B62" s="125" t="inlineStr">
        <is>
          <t xml:space="preserve">                         (подпись, инициалы, фамилия)</t>
        </is>
      </c>
    </row>
    <row r="64">
      <c r="B64" s="124" t="inlineStr">
        <is>
          <t>Проверил ______________________        А.В. Костянецкая</t>
        </is>
      </c>
    </row>
    <row r="65">
      <c r="B65" s="1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9" t="inlineStr">
        <is>
          <t>Ресурсная модель</t>
        </is>
      </c>
    </row>
    <row r="6">
      <c r="B6" s="150" t="n"/>
      <c r="C6" s="4" t="n"/>
      <c r="D6" s="4" t="n"/>
      <c r="E6" s="4" t="n"/>
    </row>
    <row r="7" ht="29.45" customHeight="1">
      <c r="B7" s="219" t="inlineStr">
        <is>
          <t>Наименование разрабатываемого показателя УНЦ — Шкаф измерительных преобразователей с кол-вом ИП: 9 шт</t>
        </is>
      </c>
    </row>
    <row r="8">
      <c r="B8" s="220" t="inlineStr">
        <is>
          <t>Единица измерения  — 1 ед</t>
        </is>
      </c>
    </row>
    <row r="9">
      <c r="B9" s="150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4">
        <f>'Прил.5 Расчет СМР и ОБ'!J15</f>
        <v/>
      </c>
      <c r="D11" s="145">
        <f>C11/$C$24</f>
        <v/>
      </c>
      <c r="E11" s="145">
        <f>C11/$C$40</f>
        <v/>
      </c>
    </row>
    <row r="12">
      <c r="B12" s="99" t="inlineStr">
        <is>
          <t>Эксплуатация машин основных</t>
        </is>
      </c>
      <c r="C12" s="144">
        <f>'Прил.5 Расчет СМР и ОБ'!J22</f>
        <v/>
      </c>
      <c r="D12" s="145">
        <f>C12/$C$24</f>
        <v/>
      </c>
      <c r="E12" s="145">
        <f>C12/$C$40</f>
        <v/>
      </c>
    </row>
    <row r="13">
      <c r="B13" s="99" t="inlineStr">
        <is>
          <t>Эксплуатация машин прочих</t>
        </is>
      </c>
      <c r="C13" s="144">
        <f>'Прил.5 Расчет СМР и ОБ'!J27</f>
        <v/>
      </c>
      <c r="D13" s="145">
        <f>C13/$C$24</f>
        <v/>
      </c>
      <c r="E13" s="145">
        <f>C13/$C$40</f>
        <v/>
      </c>
    </row>
    <row r="14">
      <c r="B14" s="99" t="inlineStr">
        <is>
          <t>ЭКСПЛУАТАЦИЯ МАШИН, ВСЕГО:</t>
        </is>
      </c>
      <c r="C14" s="144">
        <f>C13+C12</f>
        <v/>
      </c>
      <c r="D14" s="145">
        <f>C14/$C$24</f>
        <v/>
      </c>
      <c r="E14" s="145">
        <f>C14/$C$40</f>
        <v/>
      </c>
    </row>
    <row r="15">
      <c r="B15" s="99" t="inlineStr">
        <is>
          <t>в том числе зарплата машинистов</t>
        </is>
      </c>
      <c r="C15" s="144">
        <f>'Прил.5 Расчет СМР и ОБ'!J17</f>
        <v/>
      </c>
      <c r="D15" s="145">
        <f>C15/$C$24</f>
        <v/>
      </c>
      <c r="E15" s="145">
        <f>C15/$C$40</f>
        <v/>
      </c>
    </row>
    <row r="16">
      <c r="B16" s="99" t="inlineStr">
        <is>
          <t>Материалы основные</t>
        </is>
      </c>
      <c r="C16" s="144">
        <f>'Прил.5 Расчет СМР и ОБ'!J39</f>
        <v/>
      </c>
      <c r="D16" s="145">
        <f>C16/$C$24</f>
        <v/>
      </c>
      <c r="E16" s="145">
        <f>C16/$C$40</f>
        <v/>
      </c>
    </row>
    <row r="17">
      <c r="B17" s="99" t="inlineStr">
        <is>
          <t>Материалы прочие</t>
        </is>
      </c>
      <c r="C17" s="144">
        <f>'Прил.5 Расчет СМР и ОБ'!J70</f>
        <v/>
      </c>
      <c r="D17" s="145">
        <f>C17/$C$24</f>
        <v/>
      </c>
      <c r="E17" s="145">
        <f>C17/$C$40</f>
        <v/>
      </c>
      <c r="G17" s="335" t="n"/>
    </row>
    <row r="18">
      <c r="B18" s="99" t="inlineStr">
        <is>
          <t>МАТЕРИАЛЫ, ВСЕГО:</t>
        </is>
      </c>
      <c r="C18" s="144">
        <f>C17+C16</f>
        <v/>
      </c>
      <c r="D18" s="145">
        <f>C18/$C$24</f>
        <v/>
      </c>
      <c r="E18" s="145">
        <f>C18/$C$40</f>
        <v/>
      </c>
    </row>
    <row r="19">
      <c r="B19" s="99" t="inlineStr">
        <is>
          <t>ИТОГО</t>
        </is>
      </c>
      <c r="C19" s="144">
        <f>C18+C14+C11</f>
        <v/>
      </c>
      <c r="D19" s="145" t="n"/>
      <c r="E19" s="99" t="n"/>
    </row>
    <row r="20">
      <c r="B20" s="99" t="inlineStr">
        <is>
          <t>Сметная прибыль, руб.</t>
        </is>
      </c>
      <c r="C20" s="144">
        <f>ROUND(C21*(C11+C15),2)</f>
        <v/>
      </c>
      <c r="D20" s="145">
        <f>C20/$C$24</f>
        <v/>
      </c>
      <c r="E20" s="145">
        <f>C20/$C$40</f>
        <v/>
      </c>
    </row>
    <row r="21">
      <c r="B21" s="99" t="inlineStr">
        <is>
          <t>Сметная прибыль, %</t>
        </is>
      </c>
      <c r="C21" s="148">
        <f>'Прил.5 Расчет СМР и ОБ'!D74</f>
        <v/>
      </c>
      <c r="D21" s="145" t="n"/>
      <c r="E21" s="99" t="n"/>
    </row>
    <row r="22">
      <c r="B22" s="99" t="inlineStr">
        <is>
          <t>Накладные расходы, руб.</t>
        </is>
      </c>
      <c r="C22" s="144">
        <f>ROUND(C23*(C11+C15),2)</f>
        <v/>
      </c>
      <c r="D22" s="145">
        <f>C22/$C$24</f>
        <v/>
      </c>
      <c r="E22" s="145">
        <f>C22/$C$40</f>
        <v/>
      </c>
    </row>
    <row r="23">
      <c r="B23" s="99" t="inlineStr">
        <is>
          <t>Накладные расходы, %</t>
        </is>
      </c>
      <c r="C23" s="148">
        <f>'Прил.5 Расчет СМР и ОБ'!D73</f>
        <v/>
      </c>
      <c r="D23" s="145" t="n"/>
      <c r="E23" s="99" t="n"/>
    </row>
    <row r="24">
      <c r="B24" s="99" t="inlineStr">
        <is>
          <t>ВСЕГО СМР с НР и СП</t>
        </is>
      </c>
      <c r="C24" s="144">
        <f>C19+C20+C22</f>
        <v/>
      </c>
      <c r="D24" s="145">
        <f>C24/$C$24</f>
        <v/>
      </c>
      <c r="E24" s="145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44">
        <f>'Прил.5 Расчет СМР и ОБ'!J34</f>
        <v/>
      </c>
      <c r="D25" s="145" t="n"/>
      <c r="E25" s="145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44">
        <f>'Прил.5 Расчет СМР и ОБ'!J35</f>
        <v/>
      </c>
      <c r="D26" s="145" t="n"/>
      <c r="E26" s="145">
        <f>C26/$C$40</f>
        <v/>
      </c>
    </row>
    <row r="27">
      <c r="B27" s="99" t="inlineStr">
        <is>
          <t>ИТОГО (СМР + ОБОРУДОВАНИЕ)</t>
        </is>
      </c>
      <c r="C27" s="147">
        <f>C24+C25</f>
        <v/>
      </c>
      <c r="D27" s="145" t="n"/>
      <c r="E27" s="145">
        <f>C27/$C$40</f>
        <v/>
      </c>
      <c r="G27" s="146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47">
        <f>ROUND(C24*3.3%,2)</f>
        <v/>
      </c>
      <c r="D29" s="99" t="n"/>
      <c r="E29" s="145" t="n">
        <v>0.039</v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7">
        <f>ROUND((C24+C29)*1%,2)</f>
        <v/>
      </c>
      <c r="D30" s="99" t="n"/>
      <c r="E30" s="145" t="n">
        <v>0.021</v>
      </c>
    </row>
    <row r="31">
      <c r="B31" s="99" t="inlineStr">
        <is>
          <t>Пусконаладочные работы</t>
        </is>
      </c>
      <c r="C31" s="147" t="n">
        <v>105140</v>
      </c>
      <c r="D31" s="99" t="n"/>
      <c r="E31" s="145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47" t="n">
        <v>0</v>
      </c>
      <c r="D32" s="99" t="n"/>
      <c r="E32" s="145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47">
        <f>ROUND(C27*0%,2)</f>
        <v/>
      </c>
      <c r="D33" s="99" t="n"/>
      <c r="E33" s="145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7" t="n">
        <v>0</v>
      </c>
      <c r="D34" s="99" t="n"/>
      <c r="E34" s="145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7">
        <f>ROUND(C27*0%,2)</f>
        <v/>
      </c>
      <c r="D35" s="99" t="n"/>
      <c r="E35" s="145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47">
        <f>ROUND((C27+C32+C33+C34+C35+C29+C31+C30)*2.14%,2)</f>
        <v/>
      </c>
      <c r="D36" s="99" t="n"/>
      <c r="E36" s="145">
        <f>C36/$C$40</f>
        <v/>
      </c>
      <c r="L36" s="146" t="n"/>
    </row>
    <row r="37">
      <c r="B37" s="99" t="inlineStr">
        <is>
          <t>Авторский надзор - 0,2%</t>
        </is>
      </c>
      <c r="C37" s="147">
        <f>ROUND((C27+C32+C33+C34+C35+C29+C31+C30)*0.2%,2)</f>
        <v/>
      </c>
      <c r="D37" s="99" t="n"/>
      <c r="E37" s="145">
        <f>C37/$C$40</f>
        <v/>
      </c>
      <c r="L37" s="146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99" t="n"/>
      <c r="E38" s="145">
        <f>C38/$C$40</f>
        <v/>
      </c>
    </row>
    <row r="39" ht="13.5" customHeight="1">
      <c r="B39" s="99" t="inlineStr">
        <is>
          <t>Непредвиденные расходы</t>
        </is>
      </c>
      <c r="C39" s="144">
        <f>ROUND(C38*3%,2)</f>
        <v/>
      </c>
      <c r="D39" s="99" t="n"/>
      <c r="E39" s="145">
        <f>C39/$C$38</f>
        <v/>
      </c>
    </row>
    <row r="40">
      <c r="B40" s="99" t="inlineStr">
        <is>
          <t>ВСЕГО:</t>
        </is>
      </c>
      <c r="C40" s="144">
        <f>C39+C38</f>
        <v/>
      </c>
      <c r="D40" s="99" t="n"/>
      <c r="E40" s="145">
        <f>C40/$C$40</f>
        <v/>
      </c>
    </row>
    <row r="41">
      <c r="B41" s="99" t="inlineStr">
        <is>
          <t>ИТОГО ПОКАЗАТЕЛЬ НА ЕД. ИЗМ.</t>
        </is>
      </c>
      <c r="C41" s="144">
        <f>C40/'Прил.5 Расчет СМР и ОБ'!E77</f>
        <v/>
      </c>
      <c r="D41" s="99" t="n"/>
      <c r="E41" s="99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3"/>
  <sheetViews>
    <sheetView tabSelected="1" view="pageBreakPreview" topLeftCell="A7" workbookViewId="0">
      <selection activeCell="C22" sqref="C2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9" t="inlineStr">
        <is>
          <t>Расчет стоимости СМР и оборудования</t>
        </is>
      </c>
    </row>
    <row r="5" ht="12.75" customFormat="1" customHeight="1" s="4">
      <c r="A5" s="199" t="n"/>
      <c r="B5" s="199" t="n"/>
      <c r="C5" s="246" t="n"/>
      <c r="D5" s="199" t="n"/>
      <c r="E5" s="199" t="n"/>
      <c r="F5" s="199" t="n"/>
      <c r="G5" s="199" t="n"/>
      <c r="H5" s="199" t="n"/>
      <c r="I5" s="199" t="n"/>
      <c r="J5" s="199" t="n"/>
    </row>
    <row r="6" ht="12.75" customFormat="1" customHeight="1" s="4">
      <c r="A6" s="163" t="inlineStr">
        <is>
          <t>Наименование разрабатываемого показателя УНЦ</t>
        </is>
      </c>
      <c r="B6" s="122" t="n"/>
      <c r="C6" s="122" t="n"/>
      <c r="D6" s="202" t="inlineStr">
        <is>
          <t>Шкаф измерительных преобразователей с кол-вом ИП: 9 шт</t>
        </is>
      </c>
    </row>
    <row r="7" ht="12.75" customFormat="1" customHeight="1" s="4">
      <c r="A7" s="202" t="inlineStr">
        <is>
          <t>Единица измерения  — 1 ед</t>
        </is>
      </c>
      <c r="I7" s="219" t="n"/>
      <c r="J7" s="219" t="n"/>
    </row>
    <row r="8" ht="13.5" customFormat="1" customHeight="1" s="4">
      <c r="A8" s="202" t="n"/>
    </row>
    <row r="9" ht="13.15" customFormat="1" customHeight="1" s="4"/>
    <row r="10" ht="27" customHeight="1">
      <c r="A10" s="308" t="inlineStr">
        <is>
          <t>№ пп.</t>
        </is>
      </c>
      <c r="B10" s="308" t="inlineStr">
        <is>
          <t>Код ресурса</t>
        </is>
      </c>
      <c r="C10" s="308" t="inlineStr">
        <is>
          <t>Наименование</t>
        </is>
      </c>
      <c r="D10" s="308" t="inlineStr">
        <is>
          <t>Ед. изм.</t>
        </is>
      </c>
      <c r="E10" s="308" t="inlineStr">
        <is>
          <t>Кол-во единиц по проектным данным</t>
        </is>
      </c>
      <c r="F10" s="308" t="inlineStr">
        <is>
          <t>Сметная стоимость в ценах на 01.01.2000 (руб.)</t>
        </is>
      </c>
      <c r="G10" s="336" t="n"/>
      <c r="H10" s="308" t="inlineStr">
        <is>
          <t>Удельный вес, %</t>
        </is>
      </c>
      <c r="I10" s="308" t="inlineStr">
        <is>
          <t>Сметная стоимость в ценах на 01.01.2023 (руб.)</t>
        </is>
      </c>
      <c r="J10" s="336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308" t="inlineStr">
        <is>
          <t>на ед. изм.</t>
        </is>
      </c>
      <c r="G11" s="308" t="inlineStr">
        <is>
          <t>общая</t>
        </is>
      </c>
      <c r="H11" s="337" t="n"/>
      <c r="I11" s="308" t="inlineStr">
        <is>
          <t>на ед. изм.</t>
        </is>
      </c>
      <c r="J11" s="308" t="inlineStr">
        <is>
          <t>общая</t>
        </is>
      </c>
      <c r="M11" s="12" t="n"/>
      <c r="N11" s="12" t="n"/>
    </row>
    <row r="12">
      <c r="A12" s="308" t="n">
        <v>1</v>
      </c>
      <c r="B12" s="308" t="n">
        <v>2</v>
      </c>
      <c r="C12" s="308" t="n">
        <v>3</v>
      </c>
      <c r="D12" s="308" t="n">
        <v>4</v>
      </c>
      <c r="E12" s="308" t="n">
        <v>5</v>
      </c>
      <c r="F12" s="308" t="n">
        <v>6</v>
      </c>
      <c r="G12" s="308" t="n">
        <v>7</v>
      </c>
      <c r="H12" s="308" t="n">
        <v>8</v>
      </c>
      <c r="I12" s="308" t="n">
        <v>9</v>
      </c>
      <c r="J12" s="308" t="n">
        <v>10</v>
      </c>
      <c r="M12" s="12" t="n"/>
      <c r="N12" s="12" t="n"/>
    </row>
    <row r="13">
      <c r="A13" s="308" t="n"/>
      <c r="B13" s="320" t="inlineStr">
        <is>
          <t>Затраты труда рабочих-строителей</t>
        </is>
      </c>
      <c r="C13" s="338" t="n"/>
      <c r="D13" s="338" t="n"/>
      <c r="E13" s="338" t="n"/>
      <c r="F13" s="338" t="n"/>
      <c r="G13" s="338" t="n"/>
      <c r="H13" s="336" t="n"/>
      <c r="I13" s="314" t="n"/>
      <c r="J13" s="314" t="n"/>
    </row>
    <row r="14" ht="25.5" customHeight="1">
      <c r="A14" s="308" t="n">
        <v>1</v>
      </c>
      <c r="B14" s="315" t="inlineStr">
        <is>
          <t>1-3-8</t>
        </is>
      </c>
      <c r="C14" s="316" t="inlineStr">
        <is>
          <t>Затраты труда рабочих-строителей среднего разряда (3,8)</t>
        </is>
      </c>
      <c r="D14" s="308" t="inlineStr">
        <is>
          <t>чел.-ч.</t>
        </is>
      </c>
      <c r="E14" s="339">
        <f>G14/F14</f>
        <v/>
      </c>
      <c r="F14" s="318" t="n">
        <v>9.4</v>
      </c>
      <c r="G14" s="318">
        <f>'Прил. 3'!H11</f>
        <v/>
      </c>
      <c r="H14" s="319">
        <f>G14/G15</f>
        <v/>
      </c>
      <c r="I14" s="318">
        <f>ФОТр.тек.!E13</f>
        <v/>
      </c>
      <c r="J14" s="318">
        <f>ROUND(I14*E14,2)</f>
        <v/>
      </c>
    </row>
    <row r="15" ht="25.5" customFormat="1" customHeight="1" s="12">
      <c r="A15" s="308" t="n"/>
      <c r="B15" s="308" t="n"/>
      <c r="C15" s="320" t="inlineStr">
        <is>
          <t>Итого по разделу "Затраты труда рабочих-строителей"</t>
        </is>
      </c>
      <c r="D15" s="308" t="inlineStr">
        <is>
          <t>чел.-ч.</t>
        </is>
      </c>
      <c r="E15" s="339">
        <f>SUM(E14:E14)</f>
        <v/>
      </c>
      <c r="F15" s="318" t="n"/>
      <c r="G15" s="318">
        <f>SUM(G14:G14)</f>
        <v/>
      </c>
      <c r="H15" s="319" t="n">
        <v>1</v>
      </c>
      <c r="I15" s="314" t="n"/>
      <c r="J15" s="318">
        <f>SUM(J14:J14)</f>
        <v/>
      </c>
    </row>
    <row r="16" ht="14.25" customFormat="1" customHeight="1" s="12">
      <c r="A16" s="308" t="n"/>
      <c r="B16" s="316" t="inlineStr">
        <is>
          <t>Затраты труда машинистов</t>
        </is>
      </c>
      <c r="C16" s="338" t="n"/>
      <c r="D16" s="338" t="n"/>
      <c r="E16" s="338" t="n"/>
      <c r="F16" s="338" t="n"/>
      <c r="G16" s="338" t="n"/>
      <c r="H16" s="336" t="n"/>
      <c r="I16" s="314" t="n"/>
      <c r="J16" s="314" t="n"/>
    </row>
    <row r="17" ht="14.25" customFormat="1" customHeight="1" s="12">
      <c r="A17" s="308" t="n">
        <v>2</v>
      </c>
      <c r="B17" s="308" t="n">
        <v>2</v>
      </c>
      <c r="C17" s="316" t="inlineStr">
        <is>
          <t>Затраты труда машинистов</t>
        </is>
      </c>
      <c r="D17" s="308" t="inlineStr">
        <is>
          <t>чел.-ч.</t>
        </is>
      </c>
      <c r="E17" s="339">
        <f>'Прил. 3'!F17</f>
        <v/>
      </c>
      <c r="F17" s="318">
        <f>G17/E17</f>
        <v/>
      </c>
      <c r="G17" s="318">
        <f>'Прил. 3'!H16</f>
        <v/>
      </c>
      <c r="H17" s="319" t="n">
        <v>1</v>
      </c>
      <c r="I17" s="318">
        <f>ROUND(F17*'Прил. 10'!D11,2)</f>
        <v/>
      </c>
      <c r="J17" s="318">
        <f>ROUND(I17*E17,2)</f>
        <v/>
      </c>
    </row>
    <row r="18" ht="14.25" customFormat="1" customHeight="1" s="12">
      <c r="A18" s="308" t="n"/>
      <c r="B18" s="320" t="inlineStr">
        <is>
          <t>Машины и механизмы</t>
        </is>
      </c>
      <c r="C18" s="338" t="n"/>
      <c r="D18" s="338" t="n"/>
      <c r="E18" s="338" t="n"/>
      <c r="F18" s="338" t="n"/>
      <c r="G18" s="338" t="n"/>
      <c r="H18" s="336" t="n"/>
      <c r="I18" s="314" t="n"/>
      <c r="J18" s="314" t="n"/>
    </row>
    <row r="19" ht="14.25" customFormat="1" customHeight="1" s="12">
      <c r="A19" s="308" t="n"/>
      <c r="B19" s="316" t="inlineStr">
        <is>
          <t>Основные машины и механизмы</t>
        </is>
      </c>
      <c r="C19" s="338" t="n"/>
      <c r="D19" s="338" t="n"/>
      <c r="E19" s="338" t="n"/>
      <c r="F19" s="338" t="n"/>
      <c r="G19" s="338" t="n"/>
      <c r="H19" s="336" t="n"/>
      <c r="I19" s="314" t="n"/>
      <c r="J19" s="314" t="n"/>
    </row>
    <row r="20" ht="25.5" customFormat="1" customHeight="1" s="12">
      <c r="A20" s="308" t="n">
        <v>3</v>
      </c>
      <c r="B20" s="315" t="inlineStr">
        <is>
          <t>91.05.05-015</t>
        </is>
      </c>
      <c r="C20" s="316" t="inlineStr">
        <is>
          <t>Краны на автомобильном ходу, грузоподъемность 16 т</t>
        </is>
      </c>
      <c r="D20" s="308" t="inlineStr">
        <is>
          <t>маш.час</t>
        </is>
      </c>
      <c r="E20" s="339" t="n">
        <v>7.28</v>
      </c>
      <c r="F20" s="321" t="n">
        <v>115.4</v>
      </c>
      <c r="G20" s="318">
        <f>ROUND(E20*F20,2)</f>
        <v/>
      </c>
      <c r="H20" s="319">
        <f>G20/$G$28</f>
        <v/>
      </c>
      <c r="I20" s="318">
        <f>ROUND(F20*'Прил. 10'!$D$12,2)</f>
        <v/>
      </c>
      <c r="J20" s="318">
        <f>ROUND(I20*E20,2)</f>
        <v/>
      </c>
    </row>
    <row r="21" ht="25.5" customFormat="1" customHeight="1" s="12">
      <c r="A21" s="308" t="n">
        <v>4</v>
      </c>
      <c r="B21" s="315" t="inlineStr">
        <is>
          <t>91.14.02-001</t>
        </is>
      </c>
      <c r="C21" s="316" t="inlineStr">
        <is>
          <t>Автомобили бортовые, грузоподъемность до 5 т</t>
        </is>
      </c>
      <c r="D21" s="308" t="inlineStr">
        <is>
          <t>маш.час</t>
        </is>
      </c>
      <c r="E21" s="339" t="n">
        <v>7.26</v>
      </c>
      <c r="F21" s="321" t="n">
        <v>65.70999999999999</v>
      </c>
      <c r="G21" s="318">
        <f>ROUND(E21*F21,2)</f>
        <v/>
      </c>
      <c r="H21" s="319">
        <f>G21/$G$28</f>
        <v/>
      </c>
      <c r="I21" s="318">
        <f>ROUND(F21*'Прил. 10'!$D$12,2)</f>
        <v/>
      </c>
      <c r="J21" s="318">
        <f>ROUND(I21*E21,2)</f>
        <v/>
      </c>
    </row>
    <row r="22" ht="14.25" customFormat="1" customHeight="1" s="12">
      <c r="A22" s="308" t="n">
        <v>5</v>
      </c>
      <c r="B22" s="308" t="n"/>
      <c r="C22" s="316" t="inlineStr">
        <is>
          <t>Итого основные машины и механизмы</t>
        </is>
      </c>
      <c r="D22" s="308" t="n"/>
      <c r="E22" s="339" t="n"/>
      <c r="F22" s="318" t="n"/>
      <c r="G22" s="318">
        <f>SUM(G20:G21)</f>
        <v/>
      </c>
      <c r="H22" s="319">
        <f>G22/G28</f>
        <v/>
      </c>
      <c r="I22" s="318" t="n"/>
      <c r="J22" s="318">
        <f>SUM(J20:J21)</f>
        <v/>
      </c>
    </row>
    <row r="23" hidden="1" outlineLevel="1" ht="25.5" customFormat="1" customHeight="1" s="12">
      <c r="A23" s="308" t="n">
        <v>6</v>
      </c>
      <c r="B23" s="315" t="inlineStr">
        <is>
          <t>91.06.03-061</t>
        </is>
      </c>
      <c r="C23" s="316" t="inlineStr">
        <is>
          <t>Лебедки электрические тяговым усилием до 12,26 кН (1,25 т)</t>
        </is>
      </c>
      <c r="D23" s="308" t="inlineStr">
        <is>
          <t>маш.час</t>
        </is>
      </c>
      <c r="E23" s="339" t="n">
        <v>52.64</v>
      </c>
      <c r="F23" s="321" t="n">
        <v>3.28</v>
      </c>
      <c r="G23" s="318">
        <f>ROUND(E23*F23,2)</f>
        <v/>
      </c>
      <c r="H23" s="319">
        <f>G23/$G$28</f>
        <v/>
      </c>
      <c r="I23" s="318">
        <f>ROUND(F23*'Прил. 10'!$D$12,2)</f>
        <v/>
      </c>
      <c r="J23" s="318">
        <f>ROUND(I23*E23,2)</f>
        <v/>
      </c>
    </row>
    <row r="24" hidden="1" outlineLevel="1" ht="25.5" customFormat="1" customHeight="1" s="12">
      <c r="A24" s="308" t="n">
        <v>7</v>
      </c>
      <c r="B24" s="315" t="inlineStr">
        <is>
          <t>91.06.01-003</t>
        </is>
      </c>
      <c r="C24" s="316" t="inlineStr">
        <is>
          <t>Домкраты гидравлические, грузоподъемность 63-100 т</t>
        </is>
      </c>
      <c r="D24" s="308" t="inlineStr">
        <is>
          <t>маш.час</t>
        </is>
      </c>
      <c r="E24" s="339" t="n">
        <v>52.64</v>
      </c>
      <c r="F24" s="321" t="n">
        <v>0.9</v>
      </c>
      <c r="G24" s="318">
        <f>ROUND(E24*F24,2)</f>
        <v/>
      </c>
      <c r="H24" s="319">
        <f>G24/$G$28</f>
        <v/>
      </c>
      <c r="I24" s="318">
        <f>ROUND(F24*'Прил. 10'!$D$12,2)</f>
        <v/>
      </c>
      <c r="J24" s="318">
        <f>ROUND(I24*E24,2)</f>
        <v/>
      </c>
    </row>
    <row r="25" hidden="1" outlineLevel="1" ht="14.25" customFormat="1" customHeight="1" s="12">
      <c r="A25" s="308" t="n">
        <v>8</v>
      </c>
      <c r="B25" s="315" t="inlineStr">
        <is>
          <t>91.21.19-031</t>
        </is>
      </c>
      <c r="C25" s="316" t="inlineStr">
        <is>
          <t>Станки сверлильные</t>
        </is>
      </c>
      <c r="D25" s="308" t="inlineStr">
        <is>
          <t>маш.час</t>
        </is>
      </c>
      <c r="E25" s="339" t="n">
        <v>0.92</v>
      </c>
      <c r="F25" s="321" t="n">
        <v>2.36</v>
      </c>
      <c r="G25" s="318">
        <f>ROUND(E25*F25,2)</f>
        <v/>
      </c>
      <c r="H25" s="319">
        <f>G25/$G$28</f>
        <v/>
      </c>
      <c r="I25" s="318">
        <f>ROUND(F25*'Прил. 10'!$D$12,2)</f>
        <v/>
      </c>
      <c r="J25" s="318">
        <f>ROUND(I25*E25,2)</f>
        <v/>
      </c>
    </row>
    <row r="26" hidden="1" outlineLevel="1" ht="25.5" customFormat="1" customHeight="1" s="12">
      <c r="A26" s="308" t="n">
        <v>9</v>
      </c>
      <c r="B26" s="315" t="inlineStr">
        <is>
          <t>91.17.04-233</t>
        </is>
      </c>
      <c r="C26" s="316" t="inlineStr">
        <is>
          <t>Установки для сварки ручной дуговой (постоянного тока)</t>
        </is>
      </c>
      <c r="D26" s="308" t="inlineStr">
        <is>
          <t>маш.час</t>
        </is>
      </c>
      <c r="E26" s="339" t="n">
        <v>0.2</v>
      </c>
      <c r="F26" s="321" t="n">
        <v>8.1</v>
      </c>
      <c r="G26" s="318">
        <f>ROUND(E26*F26,2)</f>
        <v/>
      </c>
      <c r="H26" s="319">
        <f>G26/$G$28</f>
        <v/>
      </c>
      <c r="I26" s="318">
        <f>ROUND(F26*'Прил. 10'!$D$12,2)</f>
        <v/>
      </c>
      <c r="J26" s="318">
        <f>ROUND(I26*E26,2)</f>
        <v/>
      </c>
    </row>
    <row r="27" collapsed="1" ht="14.25" customFormat="1" customHeight="1" s="12">
      <c r="A27" s="308" t="n"/>
      <c r="B27" s="308" t="n"/>
      <c r="C27" s="316" t="inlineStr">
        <is>
          <t>Итого прочие машины и механизмы</t>
        </is>
      </c>
      <c r="D27" s="308" t="n"/>
      <c r="E27" s="322" t="n"/>
      <c r="F27" s="318" t="n"/>
      <c r="G27" s="318">
        <f>SUM(G23:G26)</f>
        <v/>
      </c>
      <c r="H27" s="319">
        <f>G27/G28</f>
        <v/>
      </c>
      <c r="I27" s="318" t="n"/>
      <c r="J27" s="318">
        <f>SUM(J23:J26)</f>
        <v/>
      </c>
    </row>
    <row r="28" ht="25.5" customFormat="1" customHeight="1" s="12">
      <c r="A28" s="323" t="n"/>
      <c r="B28" s="323" t="n"/>
      <c r="C28" s="324" t="inlineStr">
        <is>
          <t>Итого по разделу «Машины и механизмы»</t>
        </is>
      </c>
      <c r="D28" s="323" t="n"/>
      <c r="E28" s="325" t="n"/>
      <c r="F28" s="326" t="n"/>
      <c r="G28" s="326">
        <f>G27+G22</f>
        <v/>
      </c>
      <c r="H28" s="327" t="n">
        <v>1</v>
      </c>
      <c r="I28" s="326" t="n"/>
      <c r="J28" s="326">
        <f>J27+J22</f>
        <v/>
      </c>
    </row>
    <row r="29" ht="14.25" customFormat="1" customHeight="1" s="12">
      <c r="A29" s="184" t="n"/>
      <c r="B29" s="340" t="inlineStr">
        <is>
          <t>Оборудование</t>
        </is>
      </c>
      <c r="C29" s="341" t="n"/>
      <c r="D29" s="341" t="n"/>
      <c r="E29" s="341" t="n"/>
      <c r="F29" s="341" t="n"/>
      <c r="G29" s="341" t="n"/>
      <c r="H29" s="342" t="n"/>
      <c r="I29" s="306" t="n"/>
      <c r="J29" s="306" t="n"/>
    </row>
    <row r="30">
      <c r="A30" s="166" t="n"/>
      <c r="B30" s="221" t="inlineStr">
        <is>
          <t>Основное оборудование</t>
        </is>
      </c>
      <c r="C30" s="343" t="n"/>
      <c r="D30" s="343" t="n"/>
      <c r="E30" s="343" t="n"/>
      <c r="F30" s="343" t="n"/>
      <c r="G30" s="343" t="n"/>
      <c r="H30" s="344" t="n"/>
      <c r="I30" s="171" t="n"/>
      <c r="J30" s="171" t="n"/>
    </row>
    <row r="31" ht="25.5" customHeight="1">
      <c r="A31" s="166" t="n">
        <v>10</v>
      </c>
      <c r="B31" s="172" t="inlineStr">
        <is>
          <t>БЦ.33.19</t>
        </is>
      </c>
      <c r="C31" s="173" t="inlineStr">
        <is>
          <t>Шкаф измерительных преобразователей с кол-вом ИП: 9 шт</t>
        </is>
      </c>
      <c r="D31" s="166" t="inlineStr">
        <is>
          <t>компл</t>
        </is>
      </c>
      <c r="E31" s="345" t="n">
        <v>1</v>
      </c>
      <c r="F31" s="169">
        <f>ROUND(I31/'Прил. 10'!D14,2)</f>
        <v/>
      </c>
      <c r="G31" s="169">
        <f>ROUND(E31*F31,2)</f>
        <v/>
      </c>
      <c r="H31" s="175">
        <f>G31/G34</f>
        <v/>
      </c>
      <c r="I31" s="169" t="n">
        <v>3250000</v>
      </c>
      <c r="J31" s="169">
        <f>ROUND(I31*E31,2)</f>
        <v/>
      </c>
    </row>
    <row r="32">
      <c r="A32" s="166" t="n"/>
      <c r="B32" s="166" t="n"/>
      <c r="C32" s="173" t="inlineStr">
        <is>
          <t>Итого основное оборудование</t>
        </is>
      </c>
      <c r="D32" s="166" t="n"/>
      <c r="E32" s="345" t="n"/>
      <c r="F32" s="176" t="n"/>
      <c r="G32" s="169">
        <f>G31</f>
        <v/>
      </c>
      <c r="H32" s="177" t="n">
        <v>0</v>
      </c>
      <c r="I32" s="178" t="n"/>
      <c r="J32" s="169">
        <f>J31</f>
        <v/>
      </c>
    </row>
    <row r="33">
      <c r="A33" s="166" t="n"/>
      <c r="B33" s="166" t="n"/>
      <c r="C33" s="173" t="inlineStr">
        <is>
          <t>Итого прочее оборудование</t>
        </is>
      </c>
      <c r="D33" s="166" t="n"/>
      <c r="E33" s="345" t="n"/>
      <c r="F33" s="176" t="n"/>
      <c r="G33" s="169" t="n">
        <v>0</v>
      </c>
      <c r="H33" s="177" t="n">
        <v>0</v>
      </c>
      <c r="I33" s="178" t="n"/>
      <c r="J33" s="169" t="n">
        <v>0</v>
      </c>
    </row>
    <row r="34">
      <c r="A34" s="166" t="n"/>
      <c r="B34" s="166" t="n"/>
      <c r="C34" s="231" t="inlineStr">
        <is>
          <t>Итого по разделу «Оборудование»</t>
        </is>
      </c>
      <c r="D34" s="166" t="n"/>
      <c r="E34" s="168" t="n"/>
      <c r="F34" s="176" t="n"/>
      <c r="G34" s="169">
        <f>G33+G32</f>
        <v/>
      </c>
      <c r="H34" s="177">
        <f>H33+H32</f>
        <v/>
      </c>
      <c r="I34" s="178" t="n"/>
      <c r="J34" s="169">
        <f>J33+J32</f>
        <v/>
      </c>
    </row>
    <row r="35" ht="25.5" customHeight="1">
      <c r="A35" s="166" t="n"/>
      <c r="B35" s="166" t="n"/>
      <c r="C35" s="173" t="inlineStr">
        <is>
          <t>в том числе технологическое оборудование</t>
        </is>
      </c>
      <c r="D35" s="166" t="n"/>
      <c r="E35" s="346" t="n"/>
      <c r="F35" s="176" t="n"/>
      <c r="G35" s="169">
        <f>G34</f>
        <v/>
      </c>
      <c r="H35" s="177" t="n"/>
      <c r="I35" s="178" t="n"/>
      <c r="J35" s="169">
        <f>J34</f>
        <v/>
      </c>
    </row>
    <row r="36" ht="14.25" customFormat="1" customHeight="1" s="12">
      <c r="A36" s="166" t="n"/>
      <c r="B36" s="231" t="inlineStr">
        <is>
          <t>Материалы</t>
        </is>
      </c>
      <c r="C36" s="328" t="n"/>
      <c r="D36" s="328" t="n"/>
      <c r="E36" s="328" t="n"/>
      <c r="F36" s="328" t="n"/>
      <c r="G36" s="328" t="n"/>
      <c r="H36" s="329" t="n"/>
      <c r="I36" s="171" t="n"/>
      <c r="J36" s="171" t="n"/>
    </row>
    <row r="37" ht="14.25" customFormat="1" customHeight="1" s="12">
      <c r="A37" s="222" t="n"/>
      <c r="B37" s="221" t="inlineStr">
        <is>
          <t>Основные материалы</t>
        </is>
      </c>
      <c r="C37" s="343" t="n"/>
      <c r="D37" s="343" t="n"/>
      <c r="E37" s="343" t="n"/>
      <c r="F37" s="343" t="n"/>
      <c r="G37" s="343" t="n"/>
      <c r="H37" s="344" t="n"/>
      <c r="I37" s="181" t="n"/>
      <c r="J37" s="181" t="n"/>
    </row>
    <row r="38" ht="14.25" customFormat="1" customHeight="1" s="12">
      <c r="A38" s="166" t="n">
        <v>11</v>
      </c>
      <c r="B38" s="172" t="inlineStr">
        <is>
          <t>21.1.08.03-0579</t>
        </is>
      </c>
      <c r="C38" s="173" t="inlineStr">
        <is>
          <t>Кабель контрольный КВВГЭнг(A)-LS 5х2,5</t>
        </is>
      </c>
      <c r="D38" s="166" t="inlineStr">
        <is>
          <t>1000 м</t>
        </is>
      </c>
      <c r="E38" s="345" t="n">
        <v>3.672</v>
      </c>
      <c r="F38" s="169" t="n">
        <v>38348.22</v>
      </c>
      <c r="G38" s="169">
        <f>ROUND(E38*F38,2)</f>
        <v/>
      </c>
      <c r="H38" s="175">
        <f>G38/$G$71</f>
        <v/>
      </c>
      <c r="I38" s="169">
        <f>ROUND(F38*'Прил. 10'!$D$13,2)</f>
        <v/>
      </c>
      <c r="J38" s="169">
        <f>ROUND(I38*E38,2)</f>
        <v/>
      </c>
    </row>
    <row r="39" ht="14.25" customFormat="1" customHeight="1" s="12">
      <c r="A39" s="166" t="n"/>
      <c r="B39" s="182" t="n"/>
      <c r="C39" s="183" t="inlineStr">
        <is>
          <t>Итого основные материалы</t>
        </is>
      </c>
      <c r="D39" s="184" t="n"/>
      <c r="E39" s="345" t="n"/>
      <c r="F39" s="170" t="n"/>
      <c r="G39" s="170">
        <f>SUM(G38:G38)</f>
        <v/>
      </c>
      <c r="H39" s="175">
        <f>G39/$G$71</f>
        <v/>
      </c>
      <c r="I39" s="169" t="n"/>
      <c r="J39" s="170">
        <f>SUM(J38:J38)</f>
        <v/>
      </c>
    </row>
    <row r="40" outlineLevel="1" ht="63.75" customFormat="1" customHeight="1" s="12">
      <c r="A40" s="166" t="n">
        <v>12</v>
      </c>
      <c r="B40" s="172" t="inlineStr">
        <is>
          <t>21.1.01.01-0001</t>
        </is>
      </c>
      <c r="C40" s="17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166" t="inlineStr">
        <is>
          <t>1000 м</t>
        </is>
      </c>
      <c r="E40" s="345" t="n">
        <v>0.1</v>
      </c>
      <c r="F40" s="169" t="n">
        <v>45920.85</v>
      </c>
      <c r="G40" s="169">
        <f>ROUND(E40*F40,2)</f>
        <v/>
      </c>
      <c r="H40" s="175">
        <f>G40/$G$71</f>
        <v/>
      </c>
      <c r="I40" s="169">
        <f>ROUND(F40*'Прил. 10'!$D$13,2)</f>
        <v/>
      </c>
      <c r="J40" s="169">
        <f>ROUND(I40*E40,2)</f>
        <v/>
      </c>
    </row>
    <row r="41" outlineLevel="1" ht="25.5" customFormat="1" customHeight="1" s="12">
      <c r="A41" s="166" t="n">
        <v>13</v>
      </c>
      <c r="B41" s="172" t="inlineStr">
        <is>
          <t>10.3.02.03-0011</t>
        </is>
      </c>
      <c r="C41" s="173" t="inlineStr">
        <is>
          <t>Припои оловянно-свинцовые бессурьмянистые, марка ПОС30</t>
        </is>
      </c>
      <c r="D41" s="166" t="inlineStr">
        <is>
          <t>т</t>
        </is>
      </c>
      <c r="E41" s="345" t="n">
        <v>0.01794</v>
      </c>
      <c r="F41" s="169" t="n">
        <v>68050</v>
      </c>
      <c r="G41" s="169">
        <f>ROUND(E41*F41,2)</f>
        <v/>
      </c>
      <c r="H41" s="175">
        <f>G41/$G$71</f>
        <v/>
      </c>
      <c r="I41" s="169">
        <f>ROUND(F41*'Прил. 10'!$D$13,2)</f>
        <v/>
      </c>
      <c r="J41" s="169">
        <f>ROUND(I41*E41,2)</f>
        <v/>
      </c>
    </row>
    <row r="42" outlineLevel="1" ht="38.25" customFormat="1" customHeight="1" s="12">
      <c r="A42" s="166" t="n">
        <v>14</v>
      </c>
      <c r="B42" s="172" t="inlineStr">
        <is>
          <t>24.3.01.02-0002</t>
        </is>
      </c>
      <c r="C42" s="173" t="inlineStr">
        <is>
          <t>Трубы гибкие гофрированные из самозатухающего ПВХ легкие с протяжкой, диаметр 25 мм</t>
        </is>
      </c>
      <c r="D42" s="166" t="inlineStr">
        <is>
          <t>м</t>
        </is>
      </c>
      <c r="E42" s="345" t="n">
        <v>102</v>
      </c>
      <c r="F42" s="169" t="n">
        <v>3.43</v>
      </c>
      <c r="G42" s="169">
        <f>ROUND(E42*F42,2)</f>
        <v/>
      </c>
      <c r="H42" s="175">
        <f>G42/$G$71</f>
        <v/>
      </c>
      <c r="I42" s="169">
        <f>ROUND(F42*'Прил. 10'!$D$13,2)</f>
        <v/>
      </c>
      <c r="J42" s="169">
        <f>ROUND(I42*E42,2)</f>
        <v/>
      </c>
    </row>
    <row r="43" outlineLevel="1" ht="14.25" customFormat="1" customHeight="1" s="12">
      <c r="A43" s="166" t="n">
        <v>15</v>
      </c>
      <c r="B43" s="172" t="inlineStr">
        <is>
          <t>01.7.06.07-0002</t>
        </is>
      </c>
      <c r="C43" s="173" t="inlineStr">
        <is>
          <t>Лента монтажная, тип ЛМ-5</t>
        </is>
      </c>
      <c r="D43" s="166" t="inlineStr">
        <is>
          <t>10 м</t>
        </is>
      </c>
      <c r="E43" s="345" t="n">
        <v>31.7</v>
      </c>
      <c r="F43" s="169" t="n">
        <v>6.9</v>
      </c>
      <c r="G43" s="169">
        <f>ROUND(E43*F43,2)</f>
        <v/>
      </c>
      <c r="H43" s="175">
        <f>G43/$G$71</f>
        <v/>
      </c>
      <c r="I43" s="169">
        <f>ROUND(F43*'Прил. 10'!$D$13,2)</f>
        <v/>
      </c>
      <c r="J43" s="169">
        <f>ROUND(I43*E43,2)</f>
        <v/>
      </c>
    </row>
    <row r="44" outlineLevel="1" ht="51" customFormat="1" customHeight="1" s="12">
      <c r="A44" s="166" t="n">
        <v>16</v>
      </c>
      <c r="B44" s="172" t="inlineStr">
        <is>
          <t>08.3.06.01-0003</t>
        </is>
      </c>
      <c r="C44" s="173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4" s="166" t="inlineStr">
        <is>
          <t>т</t>
        </is>
      </c>
      <c r="E44" s="345" t="n">
        <v>0.014</v>
      </c>
      <c r="F44" s="169" t="n">
        <v>6834.81</v>
      </c>
      <c r="G44" s="169">
        <f>ROUND(E44*F44,2)</f>
        <v/>
      </c>
      <c r="H44" s="175">
        <f>G44/$G$71</f>
        <v/>
      </c>
      <c r="I44" s="169">
        <f>ROUND(F44*'Прил. 10'!$D$13,2)</f>
        <v/>
      </c>
      <c r="J44" s="169">
        <f>ROUND(I44*E44,2)</f>
        <v/>
      </c>
    </row>
    <row r="45" outlineLevel="1" ht="14.25" customFormat="1" customHeight="1" s="12">
      <c r="A45" s="166" t="n">
        <v>17</v>
      </c>
      <c r="B45" s="172" t="inlineStr">
        <is>
          <t>07.2.07.13-0171</t>
        </is>
      </c>
      <c r="C45" s="173" t="inlineStr">
        <is>
          <t>Подкладки металлические</t>
        </is>
      </c>
      <c r="D45" s="166" t="inlineStr">
        <is>
          <t>кг</t>
        </is>
      </c>
      <c r="E45" s="345" t="n">
        <v>6</v>
      </c>
      <c r="F45" s="169" t="n">
        <v>12.6</v>
      </c>
      <c r="G45" s="169">
        <f>ROUND(E45*F45,2)</f>
        <v/>
      </c>
      <c r="H45" s="175">
        <f>G45/$G$71</f>
        <v/>
      </c>
      <c r="I45" s="169">
        <f>ROUND(F45*'Прил. 10'!$D$13,2)</f>
        <v/>
      </c>
      <c r="J45" s="169">
        <f>ROUND(I45*E45,2)</f>
        <v/>
      </c>
    </row>
    <row r="46" outlineLevel="1" ht="25.5" customFormat="1" customHeight="1" s="12">
      <c r="A46" s="166" t="n">
        <v>18</v>
      </c>
      <c r="B46" s="172" t="inlineStr">
        <is>
          <t>999-9950</t>
        </is>
      </c>
      <c r="C46" s="173" t="inlineStr">
        <is>
          <t>Вспомогательные ненормируемые ресурсы (2% от Оплаты труда рабочих)</t>
        </is>
      </c>
      <c r="D46" s="166" t="inlineStr">
        <is>
          <t>руб</t>
        </is>
      </c>
      <c r="E46" s="345" t="n">
        <v>48.8016</v>
      </c>
      <c r="F46" s="169" t="n">
        <v>1</v>
      </c>
      <c r="G46" s="169">
        <f>ROUND(E46*F46,2)</f>
        <v/>
      </c>
      <c r="H46" s="175">
        <f>G46/$G$71</f>
        <v/>
      </c>
      <c r="I46" s="169">
        <f>ROUND(F46*'Прил. 10'!$D$13,2)</f>
        <v/>
      </c>
      <c r="J46" s="169">
        <f>ROUND(I46*E46,2)</f>
        <v/>
      </c>
    </row>
    <row r="47" outlineLevel="1" ht="14.25" customFormat="1" customHeight="1" s="12">
      <c r="A47" s="166" t="n">
        <v>19</v>
      </c>
      <c r="B47" s="172" t="inlineStr">
        <is>
          <t>14.4.03.03-0002</t>
        </is>
      </c>
      <c r="C47" s="173" t="inlineStr">
        <is>
          <t>Лак битумный БТ-123</t>
        </is>
      </c>
      <c r="D47" s="166" t="inlineStr">
        <is>
          <t>т</t>
        </is>
      </c>
      <c r="E47" s="345" t="n">
        <v>0.0048</v>
      </c>
      <c r="F47" s="169" t="n">
        <v>7826.9</v>
      </c>
      <c r="G47" s="169">
        <f>ROUND(E47*F47,2)</f>
        <v/>
      </c>
      <c r="H47" s="175">
        <f>G47/$G$71</f>
        <v/>
      </c>
      <c r="I47" s="169">
        <f>ROUND(F47*'Прил. 10'!$D$13,2)</f>
        <v/>
      </c>
      <c r="J47" s="169">
        <f>ROUND(I47*E47,2)</f>
        <v/>
      </c>
    </row>
    <row r="48" outlineLevel="1" ht="14.25" customFormat="1" customHeight="1" s="12">
      <c r="A48" s="166" t="n">
        <v>20</v>
      </c>
      <c r="B48" s="172" t="inlineStr">
        <is>
          <t>20.1.02.06-0001</t>
        </is>
      </c>
      <c r="C48" s="173" t="inlineStr">
        <is>
          <t>Жир паяльный</t>
        </is>
      </c>
      <c r="D48" s="166" t="inlineStr">
        <is>
          <t>кг</t>
        </is>
      </c>
      <c r="E48" s="345" t="n">
        <v>0.36</v>
      </c>
      <c r="F48" s="169" t="n">
        <v>100.8</v>
      </c>
      <c r="G48" s="169">
        <f>ROUND(E48*F48,2)</f>
        <v/>
      </c>
      <c r="H48" s="175">
        <f>G48/$G$71</f>
        <v/>
      </c>
      <c r="I48" s="169">
        <f>ROUND(F48*'Прил. 10'!$D$13,2)</f>
        <v/>
      </c>
      <c r="J48" s="169">
        <f>ROUND(I48*E48,2)</f>
        <v/>
      </c>
    </row>
    <row r="49" outlineLevel="1" ht="14.25" customFormat="1" customHeight="1" s="12">
      <c r="A49" s="166" t="n">
        <v>21</v>
      </c>
      <c r="B49" s="172" t="inlineStr">
        <is>
          <t>01.7.15.07-0152</t>
        </is>
      </c>
      <c r="C49" s="173" t="inlineStr">
        <is>
          <t>Дюбели с шурупом, размер 6х35 мм</t>
        </is>
      </c>
      <c r="D49" s="166" t="inlineStr">
        <is>
          <t>100 шт</t>
        </is>
      </c>
      <c r="E49" s="345" t="n">
        <v>1.75</v>
      </c>
      <c r="F49" s="169" t="n">
        <v>8</v>
      </c>
      <c r="G49" s="169">
        <f>ROUND(E49*F49,2)</f>
        <v/>
      </c>
      <c r="H49" s="175">
        <f>G49/$G$71</f>
        <v/>
      </c>
      <c r="I49" s="169">
        <f>ROUND(F49*'Прил. 10'!$D$13,2)</f>
        <v/>
      </c>
      <c r="J49" s="169">
        <f>ROUND(I49*E49,2)</f>
        <v/>
      </c>
    </row>
    <row r="50" outlineLevel="1" ht="14.25" customFormat="1" customHeight="1" s="12">
      <c r="A50" s="166" t="n">
        <v>22</v>
      </c>
      <c r="B50" s="172" t="inlineStr">
        <is>
          <t>25.2.01.01-0017</t>
        </is>
      </c>
      <c r="C50" s="173" t="inlineStr">
        <is>
          <t>Бирки маркировочные пластмассовые</t>
        </is>
      </c>
      <c r="D50" s="166" t="inlineStr">
        <is>
          <t>100 шт</t>
        </is>
      </c>
      <c r="E50" s="345" t="n">
        <v>0.36</v>
      </c>
      <c r="F50" s="169" t="n">
        <v>30.74</v>
      </c>
      <c r="G50" s="169">
        <f>ROUND(E50*F50,2)</f>
        <v/>
      </c>
      <c r="H50" s="175">
        <f>G50/$G$71</f>
        <v/>
      </c>
      <c r="I50" s="169">
        <f>ROUND(F50*'Прил. 10'!$D$13,2)</f>
        <v/>
      </c>
      <c r="J50" s="169">
        <f>ROUND(I50*E50,2)</f>
        <v/>
      </c>
    </row>
    <row r="51" outlineLevel="1" ht="38.25" customFormat="1" customHeight="1" s="12">
      <c r="A51" s="166" t="n">
        <v>23</v>
      </c>
      <c r="B51" s="172" t="inlineStr">
        <is>
          <t>01.7.06.05-0041</t>
        </is>
      </c>
      <c r="C51" s="173" t="inlineStr">
        <is>
          <t>Лента изоляционная прорезиненная односторонняя, ширина 20 мм, толщина 0,25-0,35 мм</t>
        </is>
      </c>
      <c r="D51" s="166" t="inlineStr">
        <is>
          <t>кг</t>
        </is>
      </c>
      <c r="E51" s="345" t="n">
        <v>0.34</v>
      </c>
      <c r="F51" s="169" t="n">
        <v>30.4</v>
      </c>
      <c r="G51" s="169">
        <f>ROUND(E51*F51,2)</f>
        <v/>
      </c>
      <c r="H51" s="175">
        <f>G51/$G$71</f>
        <v/>
      </c>
      <c r="I51" s="169">
        <f>ROUND(F51*'Прил. 10'!$D$13,2)</f>
        <v/>
      </c>
      <c r="J51" s="169">
        <f>ROUND(I51*E51,2)</f>
        <v/>
      </c>
    </row>
    <row r="52" outlineLevel="1" ht="25.5" customFormat="1" customHeight="1" s="12">
      <c r="A52" s="166" t="n">
        <v>24</v>
      </c>
      <c r="B52" s="172" t="inlineStr">
        <is>
          <t>01.7.15.03-0034</t>
        </is>
      </c>
      <c r="C52" s="173" t="inlineStr">
        <is>
          <t>Болты с гайками и шайбами оцинкованные, диаметр 12 мм</t>
        </is>
      </c>
      <c r="D52" s="166" t="inlineStr">
        <is>
          <t>кг</t>
        </is>
      </c>
      <c r="E52" s="345" t="n">
        <v>0.2378</v>
      </c>
      <c r="F52" s="169" t="n">
        <v>25.76</v>
      </c>
      <c r="G52" s="169">
        <f>ROUND(E52*F52,2)</f>
        <v/>
      </c>
      <c r="H52" s="175">
        <f>G52/$G$71</f>
        <v/>
      </c>
      <c r="I52" s="169">
        <f>ROUND(F52*'Прил. 10'!$D$13,2)</f>
        <v/>
      </c>
      <c r="J52" s="169">
        <f>ROUND(I52*E52,2)</f>
        <v/>
      </c>
    </row>
    <row r="53" outlineLevel="1" ht="14.25" customFormat="1" customHeight="1" s="12">
      <c r="A53" s="166" t="n">
        <v>25</v>
      </c>
      <c r="B53" s="172" t="inlineStr">
        <is>
          <t>01.7.15.14-0165</t>
        </is>
      </c>
      <c r="C53" s="173" t="inlineStr">
        <is>
          <t>Шурупы с полукруглой головкой 4х40 мм</t>
        </is>
      </c>
      <c r="D53" s="166" t="inlineStr">
        <is>
          <t>т</t>
        </is>
      </c>
      <c r="E53" s="345" t="n">
        <v>0.00044</v>
      </c>
      <c r="F53" s="169" t="n">
        <v>12430</v>
      </c>
      <c r="G53" s="169">
        <f>ROUND(E53*F53,2)</f>
        <v/>
      </c>
      <c r="H53" s="175">
        <f>G53/$G$71</f>
        <v/>
      </c>
      <c r="I53" s="169">
        <f>ROUND(F53*'Прил. 10'!$D$13,2)</f>
        <v/>
      </c>
      <c r="J53" s="169">
        <f>ROUND(I53*E53,2)</f>
        <v/>
      </c>
    </row>
    <row r="54" outlineLevel="1" ht="14.25" customFormat="1" customHeight="1" s="12">
      <c r="A54" s="166" t="n">
        <v>26</v>
      </c>
      <c r="B54" s="172" t="inlineStr">
        <is>
          <t>20.2.01.05-0001</t>
        </is>
      </c>
      <c r="C54" s="173" t="inlineStr">
        <is>
          <t>Гильзы кабельные медные ГМ 2,5</t>
        </is>
      </c>
      <c r="D54" s="166" t="inlineStr">
        <is>
          <t>100 шт</t>
        </is>
      </c>
      <c r="E54" s="345" t="n">
        <v>0.05</v>
      </c>
      <c r="F54" s="169" t="n">
        <v>66</v>
      </c>
      <c r="G54" s="169">
        <f>ROUND(E54*F54,2)</f>
        <v/>
      </c>
      <c r="H54" s="175">
        <f>G54/$G$71</f>
        <v/>
      </c>
      <c r="I54" s="169">
        <f>ROUND(F54*'Прил. 10'!$D$13,2)</f>
        <v/>
      </c>
      <c r="J54" s="169">
        <f>ROUND(I54*E54,2)</f>
        <v/>
      </c>
    </row>
    <row r="55" outlineLevel="1" ht="25.5" customFormat="1" customHeight="1" s="12">
      <c r="A55" s="166" t="n">
        <v>27</v>
      </c>
      <c r="B55" s="172" t="inlineStr">
        <is>
          <t>10.3.02.03-0013</t>
        </is>
      </c>
      <c r="C55" s="173" t="inlineStr">
        <is>
          <t>Припои оловянно-свинцовые бессурьмянистые, марка ПОС61</t>
        </is>
      </c>
      <c r="D55" s="166" t="inlineStr">
        <is>
          <t>т</t>
        </is>
      </c>
      <c r="E55" s="345" t="n">
        <v>2.88e-05</v>
      </c>
      <c r="F55" s="169" t="n">
        <v>114220</v>
      </c>
      <c r="G55" s="169">
        <f>ROUND(E55*F55,2)</f>
        <v/>
      </c>
      <c r="H55" s="175">
        <f>G55/$G$71</f>
        <v/>
      </c>
      <c r="I55" s="169">
        <f>ROUND(F55*'Прил. 10'!$D$13,2)</f>
        <v/>
      </c>
      <c r="J55" s="169">
        <f>ROUND(I55*E55,2)</f>
        <v/>
      </c>
    </row>
    <row r="56" outlineLevel="1" ht="14.25" customFormat="1" customHeight="1" s="12">
      <c r="A56" s="166" t="n">
        <v>28</v>
      </c>
      <c r="B56" s="172" t="inlineStr">
        <is>
          <t>25.2.02.11-0041</t>
        </is>
      </c>
      <c r="C56" s="173" t="inlineStr">
        <is>
          <t>Рамка для надписей 55х15 мм</t>
        </is>
      </c>
      <c r="D56" s="166" t="inlineStr">
        <is>
          <t>шт</t>
        </is>
      </c>
      <c r="E56" s="345" t="n">
        <v>10</v>
      </c>
      <c r="F56" s="169" t="n">
        <v>0.27</v>
      </c>
      <c r="G56" s="169">
        <f>ROUND(E56*F56,2)</f>
        <v/>
      </c>
      <c r="H56" s="175">
        <f>G56/$G$71</f>
        <v/>
      </c>
      <c r="I56" s="169">
        <f>ROUND(F56*'Прил. 10'!$D$13,2)</f>
        <v/>
      </c>
      <c r="J56" s="169">
        <f>ROUND(I56*E56,2)</f>
        <v/>
      </c>
    </row>
    <row r="57" outlineLevel="1" ht="14.25" customFormat="1" customHeight="1" s="12">
      <c r="A57" s="166" t="n">
        <v>29</v>
      </c>
      <c r="B57" s="172" t="inlineStr">
        <is>
          <t>01.7.11.07-0032</t>
        </is>
      </c>
      <c r="C57" s="173" t="inlineStr">
        <is>
          <t>Электроды сварочные Э42, диаметр 4 мм</t>
        </is>
      </c>
      <c r="D57" s="166" t="inlineStr">
        <is>
          <t>т</t>
        </is>
      </c>
      <c r="E57" s="345" t="n">
        <v>0.00024</v>
      </c>
      <c r="F57" s="169" t="n">
        <v>10315.01</v>
      </c>
      <c r="G57" s="169">
        <f>ROUND(E57*F57,2)</f>
        <v/>
      </c>
      <c r="H57" s="175">
        <f>G57/$G$71</f>
        <v/>
      </c>
      <c r="I57" s="169">
        <f>ROUND(F57*'Прил. 10'!$D$13,2)</f>
        <v/>
      </c>
      <c r="J57" s="169">
        <f>ROUND(I57*E57,2)</f>
        <v/>
      </c>
    </row>
    <row r="58" outlineLevel="1" ht="14.25" customFormat="1" customHeight="1" s="12">
      <c r="A58" s="166" t="n">
        <v>30</v>
      </c>
      <c r="B58" s="172" t="inlineStr">
        <is>
          <t>01.3.01.05-0009</t>
        </is>
      </c>
      <c r="C58" s="173" t="inlineStr">
        <is>
          <t>Парафин нефтяной твердый Т-1</t>
        </is>
      </c>
      <c r="D58" s="166" t="inlineStr">
        <is>
          <t>т</t>
        </is>
      </c>
      <c r="E58" s="345" t="n">
        <v>0.00018</v>
      </c>
      <c r="F58" s="169" t="n">
        <v>8105.71</v>
      </c>
      <c r="G58" s="169">
        <f>ROUND(E58*F58,2)</f>
        <v/>
      </c>
      <c r="H58" s="175">
        <f>G58/$G$71</f>
        <v/>
      </c>
      <c r="I58" s="169">
        <f>ROUND(F58*'Прил. 10'!$D$13,2)</f>
        <v/>
      </c>
      <c r="J58" s="169">
        <f>ROUND(I58*E58,2)</f>
        <v/>
      </c>
    </row>
    <row r="59" outlineLevel="1" ht="14.25" customFormat="1" customHeight="1" s="12">
      <c r="A59" s="166" t="n">
        <v>31</v>
      </c>
      <c r="B59" s="172" t="inlineStr">
        <is>
          <t>20.2.02.01-0011</t>
        </is>
      </c>
      <c r="C59" s="173" t="inlineStr">
        <is>
          <t>Втулки, диаметр 17 мм</t>
        </is>
      </c>
      <c r="D59" s="166" t="inlineStr">
        <is>
          <t>1000 шт</t>
        </is>
      </c>
      <c r="E59" s="345" t="n">
        <v>0.0122</v>
      </c>
      <c r="F59" s="169" t="n">
        <v>75.40000000000001</v>
      </c>
      <c r="G59" s="169">
        <f>ROUND(E59*F59,2)</f>
        <v/>
      </c>
      <c r="H59" s="175">
        <f>G59/$G$71</f>
        <v/>
      </c>
      <c r="I59" s="169">
        <f>ROUND(F59*'Прил. 10'!$D$13,2)</f>
        <v/>
      </c>
      <c r="J59" s="169">
        <f>ROUND(I59*E59,2)</f>
        <v/>
      </c>
    </row>
    <row r="60" outlineLevel="1" ht="14.25" customFormat="1" customHeight="1" s="12">
      <c r="A60" s="166" t="n">
        <v>32</v>
      </c>
      <c r="B60" s="172" t="inlineStr">
        <is>
          <t>01.7.07.20-0002</t>
        </is>
      </c>
      <c r="C60" s="173" t="inlineStr">
        <is>
          <t>Тальк молотый, сорт I</t>
        </is>
      </c>
      <c r="D60" s="166" t="inlineStr">
        <is>
          <t>т</t>
        </is>
      </c>
      <c r="E60" s="345" t="n">
        <v>0.00043</v>
      </c>
      <c r="F60" s="169" t="n">
        <v>1820</v>
      </c>
      <c r="G60" s="169">
        <f>ROUND(E60*F60,2)</f>
        <v/>
      </c>
      <c r="H60" s="175">
        <f>G60/$G$71</f>
        <v/>
      </c>
      <c r="I60" s="169">
        <f>ROUND(F60*'Прил. 10'!$D$13,2)</f>
        <v/>
      </c>
      <c r="J60" s="169">
        <f>ROUND(I60*E60,2)</f>
        <v/>
      </c>
    </row>
    <row r="61" outlineLevel="1" ht="14.25" customFormat="1" customHeight="1" s="12">
      <c r="A61" s="166" t="n">
        <v>33</v>
      </c>
      <c r="B61" s="172" t="inlineStr">
        <is>
          <t>14.4.02.09-0001</t>
        </is>
      </c>
      <c r="C61" s="173" t="inlineStr">
        <is>
          <t>Краска</t>
        </is>
      </c>
      <c r="D61" s="166" t="inlineStr">
        <is>
          <t>кг</t>
        </is>
      </c>
      <c r="E61" s="345" t="n">
        <v>0.02</v>
      </c>
      <c r="F61" s="169" t="n">
        <v>28.6</v>
      </c>
      <c r="G61" s="169">
        <f>ROUND(E61*F61,2)</f>
        <v/>
      </c>
      <c r="H61" s="175">
        <f>G61/$G$71</f>
        <v/>
      </c>
      <c r="I61" s="169">
        <f>ROUND(F61*'Прил. 10'!$D$13,2)</f>
        <v/>
      </c>
      <c r="J61" s="169">
        <f>ROUND(I61*E61,2)</f>
        <v/>
      </c>
    </row>
    <row r="62" outlineLevel="1" ht="14.25" customFormat="1" customHeight="1" s="12">
      <c r="A62" s="166" t="n">
        <v>34</v>
      </c>
      <c r="B62" s="172" t="inlineStr">
        <is>
          <t>14.4.04.09-0017</t>
        </is>
      </c>
      <c r="C62" s="173" t="inlineStr">
        <is>
          <t>Эмаль ХВ-124, защитная, зеленая</t>
        </is>
      </c>
      <c r="D62" s="166" t="inlineStr">
        <is>
          <t>т</t>
        </is>
      </c>
      <c r="E62" s="345" t="n">
        <v>2e-05</v>
      </c>
      <c r="F62" s="169" t="n">
        <v>28300.4</v>
      </c>
      <c r="G62" s="169">
        <f>ROUND(E62*F62,2)</f>
        <v/>
      </c>
      <c r="H62" s="175">
        <f>G62/$G$71</f>
        <v/>
      </c>
      <c r="I62" s="169">
        <f>ROUND(F62*'Прил. 10'!$D$13,2)</f>
        <v/>
      </c>
      <c r="J62" s="169">
        <f>ROUND(I62*E62,2)</f>
        <v/>
      </c>
    </row>
    <row r="63" outlineLevel="1" ht="14.25" customFormat="1" customHeight="1" s="12">
      <c r="A63" s="166" t="n">
        <v>35</v>
      </c>
      <c r="B63" s="172" t="inlineStr">
        <is>
          <t>24.3.01.01-0002</t>
        </is>
      </c>
      <c r="C63" s="173" t="inlineStr">
        <is>
          <t>Трубка полихлорвиниловая</t>
        </is>
      </c>
      <c r="D63" s="166" t="inlineStr">
        <is>
          <t>кг</t>
        </is>
      </c>
      <c r="E63" s="345" t="n">
        <v>0.0144</v>
      </c>
      <c r="F63" s="169" t="n">
        <v>35.7</v>
      </c>
      <c r="G63" s="169">
        <f>ROUND(E63*F63,2)</f>
        <v/>
      </c>
      <c r="H63" s="175">
        <f>G63/$G$71</f>
        <v/>
      </c>
      <c r="I63" s="169">
        <f>ROUND(F63*'Прил. 10'!$D$13,2)</f>
        <v/>
      </c>
      <c r="J63" s="169">
        <f>ROUND(I63*E63,2)</f>
        <v/>
      </c>
    </row>
    <row r="64" outlineLevel="1" ht="25.5" customFormat="1" customHeight="1" s="12">
      <c r="A64" s="166" t="n">
        <v>36</v>
      </c>
      <c r="B64" s="172" t="inlineStr">
        <is>
          <t>01.3.01.07-0009</t>
        </is>
      </c>
      <c r="C64" s="173" t="inlineStr">
        <is>
          <t>Спирт этиловый ректификованный технический, сорт I</t>
        </is>
      </c>
      <c r="D64" s="166" t="inlineStr">
        <is>
          <t>кг</t>
        </is>
      </c>
      <c r="E64" s="345" t="n">
        <v>0.01044</v>
      </c>
      <c r="F64" s="169" t="n">
        <v>38.89</v>
      </c>
      <c r="G64" s="169">
        <f>ROUND(E64*F64,2)</f>
        <v/>
      </c>
      <c r="H64" s="175">
        <f>G64/$G$71</f>
        <v/>
      </c>
      <c r="I64" s="169">
        <f>ROUND(F64*'Прил. 10'!$D$13,2)</f>
        <v/>
      </c>
      <c r="J64" s="169">
        <f>ROUND(I64*E64,2)</f>
        <v/>
      </c>
    </row>
    <row r="65" outlineLevel="1" ht="14.25" customFormat="1" customHeight="1" s="12">
      <c r="A65" s="166" t="n">
        <v>37</v>
      </c>
      <c r="B65" s="172" t="inlineStr">
        <is>
          <t>01.3.05.17-0002</t>
        </is>
      </c>
      <c r="C65" s="173" t="inlineStr">
        <is>
          <t>Канифоль сосновая</t>
        </is>
      </c>
      <c r="D65" s="166" t="inlineStr">
        <is>
          <t>кг</t>
        </is>
      </c>
      <c r="E65" s="345" t="n">
        <v>0.00684</v>
      </c>
      <c r="F65" s="169" t="n">
        <v>27.74</v>
      </c>
      <c r="G65" s="169">
        <f>ROUND(E65*F65,2)</f>
        <v/>
      </c>
      <c r="H65" s="175">
        <f>G65/$G$71</f>
        <v/>
      </c>
      <c r="I65" s="169">
        <f>ROUND(F65*'Прил. 10'!$D$13,2)</f>
        <v/>
      </c>
      <c r="J65" s="169">
        <f>ROUND(I65*E65,2)</f>
        <v/>
      </c>
    </row>
    <row r="66" outlineLevel="1" ht="14.25" customFormat="1" customHeight="1" s="12">
      <c r="A66" s="166" t="n">
        <v>38</v>
      </c>
      <c r="B66" s="172" t="inlineStr">
        <is>
          <t>14.4.01.01-0003</t>
        </is>
      </c>
      <c r="C66" s="173" t="inlineStr">
        <is>
          <t>Грунтовка ГФ-021</t>
        </is>
      </c>
      <c r="D66" s="166" t="inlineStr">
        <is>
          <t>т</t>
        </is>
      </c>
      <c r="E66" s="345" t="n">
        <v>1e-05</v>
      </c>
      <c r="F66" s="169" t="n">
        <v>15620</v>
      </c>
      <c r="G66" s="169">
        <f>ROUND(E66*F66,2)</f>
        <v/>
      </c>
      <c r="H66" s="175">
        <f>G66/$G$71</f>
        <v/>
      </c>
      <c r="I66" s="169">
        <f>ROUND(F66*'Прил. 10'!$D$13,2)</f>
        <v/>
      </c>
      <c r="J66" s="169">
        <f>ROUND(I66*E66,2)</f>
        <v/>
      </c>
    </row>
    <row r="67" outlineLevel="1" ht="14.25" customFormat="1" customHeight="1" s="12">
      <c r="A67" s="166" t="n">
        <v>39</v>
      </c>
      <c r="B67" s="172" t="inlineStr">
        <is>
          <t>14.5.09.07-0030</t>
        </is>
      </c>
      <c r="C67" s="173" t="inlineStr">
        <is>
          <t>Растворитель Р-4</t>
        </is>
      </c>
      <c r="D67" s="166" t="inlineStr">
        <is>
          <t>кг</t>
        </is>
      </c>
      <c r="E67" s="345" t="n">
        <v>0.01</v>
      </c>
      <c r="F67" s="169" t="n">
        <v>9.42</v>
      </c>
      <c r="G67" s="169">
        <f>ROUND(E67*F67,2)</f>
        <v/>
      </c>
      <c r="H67" s="175">
        <f>G67/$G$71</f>
        <v/>
      </c>
      <c r="I67" s="169">
        <f>ROUND(F67*'Прил. 10'!$D$13,2)</f>
        <v/>
      </c>
      <c r="J67" s="169">
        <f>ROUND(I67*E67,2)</f>
        <v/>
      </c>
    </row>
    <row r="68" outlineLevel="1" ht="14.25" customFormat="1" customHeight="1" s="12">
      <c r="A68" s="166" t="n">
        <v>40</v>
      </c>
      <c r="B68" s="172" t="inlineStr">
        <is>
          <t>14.5.09.11-0102</t>
        </is>
      </c>
      <c r="C68" s="173" t="inlineStr">
        <is>
          <t>Уайт-спирит</t>
        </is>
      </c>
      <c r="D68" s="166" t="inlineStr">
        <is>
          <t>кг</t>
        </is>
      </c>
      <c r="E68" s="345" t="n">
        <v>0.01</v>
      </c>
      <c r="F68" s="169" t="n">
        <v>6.67</v>
      </c>
      <c r="G68" s="169">
        <f>ROUND(E68*F68,2)</f>
        <v/>
      </c>
      <c r="H68" s="175">
        <f>G68/$G$71</f>
        <v/>
      </c>
      <c r="I68" s="169">
        <f>ROUND(F68*'Прил. 10'!$D$13,2)</f>
        <v/>
      </c>
      <c r="J68" s="169">
        <f>ROUND(I68*E68,2)</f>
        <v/>
      </c>
    </row>
    <row r="69" outlineLevel="1" ht="14.25" customFormat="1" customHeight="1" s="12">
      <c r="A69" s="166" t="n">
        <v>41</v>
      </c>
      <c r="B69" s="172" t="inlineStr">
        <is>
          <t>01.3.05.11-0001</t>
        </is>
      </c>
      <c r="C69" s="173" t="inlineStr">
        <is>
          <t>Дихлорэтан технический, сорт I</t>
        </is>
      </c>
      <c r="D69" s="166" t="inlineStr">
        <is>
          <t>т</t>
        </is>
      </c>
      <c r="E69" s="345" t="n">
        <v>7.2e-06</v>
      </c>
      <c r="F69" s="169" t="n">
        <v>4934.48</v>
      </c>
      <c r="G69" s="169">
        <f>ROUND(E69*F69,2)</f>
        <v/>
      </c>
      <c r="H69" s="175">
        <f>G69/$G$71</f>
        <v/>
      </c>
      <c r="I69" s="169">
        <f>ROUND(F69*'Прил. 10'!$D$13,2)</f>
        <v/>
      </c>
      <c r="J69" s="169">
        <f>ROUND(I69*E69,2)</f>
        <v/>
      </c>
    </row>
    <row r="70" ht="14.25" customFormat="1" customHeight="1" s="12">
      <c r="A70" s="166" t="n"/>
      <c r="B70" s="166" t="n"/>
      <c r="C70" s="173" t="inlineStr">
        <is>
          <t>Итого прочие материалы</t>
        </is>
      </c>
      <c r="D70" s="166" t="n"/>
      <c r="E70" s="168" t="n"/>
      <c r="F70" s="176" t="n"/>
      <c r="G70" s="170">
        <f>SUM(G40:G69)</f>
        <v/>
      </c>
      <c r="H70" s="175">
        <f>G70/$G$71</f>
        <v/>
      </c>
      <c r="I70" s="169" t="n"/>
      <c r="J70" s="170">
        <f>SUM(J40:J69)</f>
        <v/>
      </c>
    </row>
    <row r="71" ht="14.25" customFormat="1" customHeight="1" s="12">
      <c r="A71" s="166" t="n"/>
      <c r="B71" s="166" t="n"/>
      <c r="C71" s="231" t="inlineStr">
        <is>
          <t>Итого по разделу «Материалы»</t>
        </is>
      </c>
      <c r="D71" s="166" t="n"/>
      <c r="E71" s="168" t="n"/>
      <c r="F71" s="176" t="n"/>
      <c r="G71" s="169">
        <f>G39+G70</f>
        <v/>
      </c>
      <c r="H71" s="175">
        <f>G71/$G$71</f>
        <v/>
      </c>
      <c r="I71" s="169" t="n"/>
      <c r="J71" s="169">
        <f>J39+J70</f>
        <v/>
      </c>
    </row>
    <row r="72" ht="14.25" customFormat="1" customHeight="1" s="12">
      <c r="A72" s="166" t="n"/>
      <c r="B72" s="166" t="n"/>
      <c r="C72" s="173" t="inlineStr">
        <is>
          <t>ИТОГО ПО РМ</t>
        </is>
      </c>
      <c r="D72" s="166" t="n"/>
      <c r="E72" s="168" t="n"/>
      <c r="F72" s="176" t="n"/>
      <c r="G72" s="169">
        <f>G15+G28+G71</f>
        <v/>
      </c>
      <c r="H72" s="177" t="n"/>
      <c r="I72" s="169" t="n"/>
      <c r="J72" s="169">
        <f>J15+J28+J71</f>
        <v/>
      </c>
    </row>
    <row r="73" ht="14.25" customFormat="1" customHeight="1" s="12">
      <c r="A73" s="2" t="n"/>
      <c r="B73" s="2" t="n"/>
      <c r="C73" s="226" t="inlineStr">
        <is>
          <t>Накладные расходы</t>
        </is>
      </c>
      <c r="D73" s="120">
        <f>ROUND(G73/(G$17+$G$15),2)</f>
        <v/>
      </c>
      <c r="E73" s="117" t="n"/>
      <c r="F73" s="227" t="n"/>
      <c r="G73" s="26" t="n">
        <v>2537.4</v>
      </c>
      <c r="H73" s="118" t="n"/>
      <c r="I73" s="26" t="n"/>
      <c r="J73" s="26">
        <f>ROUND(D73*(J15+J17),2)</f>
        <v/>
      </c>
    </row>
    <row r="74" ht="14.25" customFormat="1" customHeight="1" s="12">
      <c r="A74" s="2" t="n"/>
      <c r="B74" s="2" t="n"/>
      <c r="C74" s="226" t="inlineStr">
        <is>
          <t>Сметная прибыль</t>
        </is>
      </c>
      <c r="D74" s="120">
        <f>ROUND(G74/(G$15+G$17),2)</f>
        <v/>
      </c>
      <c r="E74" s="117" t="n"/>
      <c r="F74" s="227" t="n"/>
      <c r="G74" s="26" t="n">
        <v>1332.8</v>
      </c>
      <c r="H74" s="118" t="n"/>
      <c r="I74" s="26" t="n"/>
      <c r="J74" s="26">
        <f>ROUND(D74*(J15+J17),2)</f>
        <v/>
      </c>
    </row>
    <row r="75" ht="14.25" customFormat="1" customHeight="1" s="12">
      <c r="A75" s="2" t="n"/>
      <c r="B75" s="2" t="n"/>
      <c r="C75" s="226" t="inlineStr">
        <is>
          <t>Итого СМР (с НР и СП)</t>
        </is>
      </c>
      <c r="D75" s="2" t="n"/>
      <c r="E75" s="117" t="n"/>
      <c r="F75" s="227" t="n"/>
      <c r="G75" s="26">
        <f>G15+G28+G71+G73+G74</f>
        <v/>
      </c>
      <c r="H75" s="118" t="n"/>
      <c r="I75" s="26" t="n"/>
      <c r="J75" s="26">
        <f>J15+J28+J71+J73+J74</f>
        <v/>
      </c>
    </row>
    <row r="76" ht="14.25" customFormat="1" customHeight="1" s="12">
      <c r="A76" s="2" t="n"/>
      <c r="B76" s="2" t="n"/>
      <c r="C76" s="226" t="inlineStr">
        <is>
          <t>ВСЕГО СМР + ОБОРУДОВАНИЕ</t>
        </is>
      </c>
      <c r="D76" s="2" t="n"/>
      <c r="E76" s="117" t="n"/>
      <c r="F76" s="227" t="n"/>
      <c r="G76" s="26">
        <f>G75+G34</f>
        <v/>
      </c>
      <c r="H76" s="118" t="n"/>
      <c r="I76" s="26" t="n"/>
      <c r="J76" s="26">
        <f>J75+J34</f>
        <v/>
      </c>
    </row>
    <row r="77" ht="34.5" customFormat="1" customHeight="1" s="12">
      <c r="A77" s="2" t="n"/>
      <c r="B77" s="2" t="n"/>
      <c r="C77" s="226" t="inlineStr">
        <is>
          <t>ИТОГО ПОКАЗАТЕЛЬ НА ЕД. ИЗМ.</t>
        </is>
      </c>
      <c r="D77" s="2" t="inlineStr">
        <is>
          <t>ед</t>
        </is>
      </c>
      <c r="E77" s="347" t="n">
        <v>1</v>
      </c>
      <c r="F77" s="227" t="n"/>
      <c r="G77" s="26">
        <f>G76/E77</f>
        <v/>
      </c>
      <c r="H77" s="118" t="n"/>
      <c r="I77" s="26" t="n"/>
      <c r="J77" s="26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27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2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9" t="inlineStr">
        <is>
          <t>Приложение №6</t>
        </is>
      </c>
    </row>
    <row r="2" ht="21.75" customHeight="1">
      <c r="A2" s="239" t="n"/>
      <c r="B2" s="239" t="n"/>
      <c r="C2" s="239" t="n"/>
      <c r="D2" s="239" t="n"/>
      <c r="E2" s="239" t="n"/>
      <c r="F2" s="239" t="n"/>
      <c r="G2" s="239" t="n"/>
    </row>
    <row r="3">
      <c r="A3" s="199" t="inlineStr">
        <is>
          <t>Расчет стоимости оборудования</t>
        </is>
      </c>
    </row>
    <row r="4">
      <c r="A4" s="202" t="inlineStr">
        <is>
          <t>Наименование разрабатываемого показателя УНЦ — Шкаф измерительных преобразователей с кол-вом ИП: 9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99" t="n"/>
      <c r="B9" s="226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>
      <c r="A10" s="2" t="n"/>
      <c r="B10" s="214" t="n"/>
      <c r="C10" s="226" t="inlineStr">
        <is>
          <t>ИТОГО ИНЖЕНЕРНОЕ ОБОРУДОВАНИЕ</t>
        </is>
      </c>
      <c r="D10" s="214" t="n"/>
      <c r="E10" s="100" t="n"/>
      <c r="F10" s="227" t="n"/>
      <c r="G10" s="227" t="n">
        <v>0</v>
      </c>
    </row>
    <row r="11">
      <c r="A11" s="2" t="n"/>
      <c r="B11" s="226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>
      <c r="A12" s="2" t="n">
        <v>1</v>
      </c>
      <c r="B12" s="164">
        <f>'Прил.5 Расчет СМР и ОБ'!B31</f>
        <v/>
      </c>
      <c r="C12" s="226">
        <f>'Прил.5 Расчет СМР и ОБ'!C31</f>
        <v/>
      </c>
      <c r="D12" s="2">
        <f>'Прил.5 Расчет СМР и ОБ'!D31</f>
        <v/>
      </c>
      <c r="E12" s="348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>
      <c r="A13" s="2" t="n"/>
      <c r="B13" s="226" t="n"/>
      <c r="C13" s="226" t="inlineStr">
        <is>
          <t>ИТОГО ТЕХНОЛОГИЧЕСКОЕ ОБОРУДОВАНИЕ</t>
        </is>
      </c>
      <c r="D13" s="226" t="n"/>
      <c r="E13" s="243" t="n"/>
      <c r="F13" s="227" t="n"/>
      <c r="G13" s="26">
        <f>SUM(G12:G12)</f>
        <v/>
      </c>
    </row>
    <row r="14" ht="19.5" customHeight="1">
      <c r="A14" s="2" t="n"/>
      <c r="B14" s="226" t="n"/>
      <c r="C14" s="226" t="inlineStr">
        <is>
          <t>Всего по разделу «Оборудование»</t>
        </is>
      </c>
      <c r="D14" s="226" t="n"/>
      <c r="E14" s="243" t="n"/>
      <c r="F14" s="227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>
      <c r="A3" s="199" t="inlineStr">
        <is>
          <t>Расчет показателя УНЦ</t>
        </is>
      </c>
    </row>
    <row r="4" ht="24.75" customHeight="1">
      <c r="A4" s="199" t="n"/>
      <c r="B4" s="199" t="n"/>
      <c r="C4" s="199" t="n"/>
      <c r="D4" s="199" t="n"/>
    </row>
    <row r="5" ht="24.6" customHeight="1">
      <c r="A5" s="202" t="inlineStr">
        <is>
          <t xml:space="preserve">Наименование разрабатываемого показателя УНЦ - </t>
        </is>
      </c>
      <c r="D5" s="202">
        <f>'Прил.5 Расчет СМР и ОБ'!D6:J6</f>
        <v/>
      </c>
    </row>
    <row r="6" ht="19.9" customHeight="1">
      <c r="A6" s="202" t="inlineStr">
        <is>
          <t>Единица измерения  — 1 ед</t>
        </is>
      </c>
      <c r="D6" s="202" t="n"/>
    </row>
    <row r="7">
      <c r="A7" s="4" t="n"/>
      <c r="B7" s="4" t="n"/>
      <c r="C7" s="4" t="n"/>
      <c r="D7" s="4" t="n"/>
    </row>
    <row r="8" ht="14.45" customHeight="1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>
      <c r="A9" s="331" t="n"/>
      <c r="B9" s="331" t="n"/>
      <c r="C9" s="331" t="n"/>
      <c r="D9" s="331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А5-12</t>
        </is>
      </c>
      <c r="B11" s="2" t="inlineStr">
        <is>
          <t xml:space="preserve">УНЦ систем АСУТП и ТМ </t>
        </is>
      </c>
      <c r="C11" s="144">
        <f>D5</f>
        <v/>
      </c>
      <c r="D11" s="3">
        <f>'Прил.4 РМ'!C41/1000</f>
        <v/>
      </c>
      <c r="E11" s="143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7" zoomScale="130" zoomScaleNormal="85" zoomScaleSheetLayoutView="130" workbookViewId="0">
      <selection activeCell="B27" sqref="B27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06" t="inlineStr">
        <is>
          <t>Приложение № 10</t>
        </is>
      </c>
    </row>
    <row r="5" ht="18.75" customHeight="1">
      <c r="B5" s="112" t="n"/>
    </row>
    <row r="6" ht="15.75" customHeight="1">
      <c r="B6" s="207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11" t="inlineStr">
        <is>
          <t>Наименование индекса / норм сопутствующих затрат</t>
        </is>
      </c>
      <c r="C9" s="211" t="inlineStr">
        <is>
          <t>Дата применения и обоснование индекса / норм сопутствующих затрат</t>
        </is>
      </c>
      <c r="D9" s="211" t="inlineStr">
        <is>
          <t>Размер индекса / норма сопутствующих затрат</t>
        </is>
      </c>
    </row>
    <row r="10" ht="15.75" customHeight="1">
      <c r="B10" s="211" t="n">
        <v>1</v>
      </c>
      <c r="C10" s="211" t="n">
        <v>2</v>
      </c>
      <c r="D10" s="211" t="n">
        <v>3</v>
      </c>
    </row>
    <row r="11" ht="45" customHeight="1">
      <c r="B11" s="211" t="inlineStr">
        <is>
          <t xml:space="preserve">Индекс изменения сметной стоимости на 1 квартал 2023 года. ОЗП </t>
        </is>
      </c>
      <c r="C11" s="211" t="inlineStr">
        <is>
          <t>Письмо Минстроя России от 01.04.2023г. №17772-ИФ/09 прил.9</t>
        </is>
      </c>
      <c r="D11" s="211" t="n">
        <v>44.29</v>
      </c>
    </row>
    <row r="12" ht="29.25" customHeight="1">
      <c r="B12" s="211" t="inlineStr">
        <is>
          <t>Индекс изменения сметной стоимости на 1 квартал 2023 года. ЭМ</t>
        </is>
      </c>
      <c r="C12" s="211" t="inlineStr">
        <is>
          <t>Письмо Минстроя России от 01.04.2023г. №17772-ИФ/09 прил.9</t>
        </is>
      </c>
      <c r="D12" s="211" t="n">
        <v>13.47</v>
      </c>
    </row>
    <row r="13" ht="29.25" customHeight="1">
      <c r="B13" s="211" t="inlineStr">
        <is>
          <t>Индекс изменения сметной стоимости на 1 квартал 2023 года. МАТ</t>
        </is>
      </c>
      <c r="C13" s="211" t="inlineStr">
        <is>
          <t>Письмо Минстроя России от 01.04.2023г. №17772-ИФ/09 прил.9</t>
        </is>
      </c>
      <c r="D13" s="211" t="n">
        <v>8.039999999999999</v>
      </c>
    </row>
    <row r="14" ht="30.75" customHeight="1">
      <c r="B14" s="211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11" t="n">
        <v>6.26</v>
      </c>
    </row>
    <row r="15" ht="89.25" customHeight="1">
      <c r="B15" s="211" t="inlineStr">
        <is>
          <t>Временные здания и сооружения</t>
        </is>
      </c>
      <c r="C15" s="2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211" t="inlineStr">
        <is>
          <t>Дополнительные затраты при производстве строительно-монтажных работ в зимнее время</t>
        </is>
      </c>
      <c r="C16" s="2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>
      <c r="B17" s="211" t="inlineStr">
        <is>
          <t>Строительный контроль</t>
        </is>
      </c>
      <c r="C17" s="211" t="inlineStr">
        <is>
          <t>Постановление Правительства РФ от 21.06.10 г. № 468</t>
        </is>
      </c>
      <c r="D17" s="115" t="n">
        <v>0.0214</v>
      </c>
    </row>
    <row r="18" ht="31.5" customHeight="1">
      <c r="B18" s="211" t="inlineStr">
        <is>
          <t>Авторский надзор - 0,2%</t>
        </is>
      </c>
      <c r="C18" s="211" t="inlineStr">
        <is>
          <t>Приказ от 4.08.2020 № 421/пр п.173</t>
        </is>
      </c>
      <c r="D18" s="115" t="n">
        <v>0.002</v>
      </c>
    </row>
    <row r="19" ht="24" customHeight="1">
      <c r="B19" s="211" t="inlineStr">
        <is>
          <t>Непредвиденные расходы</t>
        </is>
      </c>
      <c r="C19" s="211" t="inlineStr">
        <is>
          <t>Приказ от 4.08.2020 № 421/пр п.179</t>
        </is>
      </c>
      <c r="D19" s="115" t="n">
        <v>0.03</v>
      </c>
    </row>
    <row r="20" ht="18.75" customHeight="1">
      <c r="B20" s="113" t="n"/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6" t="inlineStr">
        <is>
          <t>Составлен в уровне цен на 01.01.2023 г.</t>
        </is>
      </c>
      <c r="B4" s="124" t="n"/>
      <c r="C4" s="124" t="n"/>
      <c r="D4" s="124" t="n"/>
      <c r="E4" s="124" t="n"/>
      <c r="F4" s="124" t="n"/>
      <c r="G4" s="124" t="n"/>
    </row>
    <row r="5" ht="15.75" customHeight="1">
      <c r="A5" s="290" t="inlineStr">
        <is>
          <t>№ пп.</t>
        </is>
      </c>
      <c r="B5" s="290" t="inlineStr">
        <is>
          <t>Наименование элемента</t>
        </is>
      </c>
      <c r="C5" s="290" t="inlineStr">
        <is>
          <t>Обозначение</t>
        </is>
      </c>
      <c r="D5" s="290" t="inlineStr">
        <is>
          <t>Формула</t>
        </is>
      </c>
      <c r="E5" s="290" t="inlineStr">
        <is>
          <t>Величина элемента</t>
        </is>
      </c>
      <c r="F5" s="290" t="inlineStr">
        <is>
          <t>Наименования обосновывающих документов</t>
        </is>
      </c>
      <c r="G5" s="124" t="n"/>
    </row>
    <row r="6" ht="15.75" customHeight="1">
      <c r="A6" s="290" t="n">
        <v>1</v>
      </c>
      <c r="B6" s="290" t="n">
        <v>2</v>
      </c>
      <c r="C6" s="290" t="n">
        <v>3</v>
      </c>
      <c r="D6" s="290" t="n">
        <v>4</v>
      </c>
      <c r="E6" s="290" t="n">
        <v>5</v>
      </c>
      <c r="F6" s="290" t="n">
        <v>6</v>
      </c>
      <c r="G6" s="124" t="n"/>
    </row>
    <row r="7" ht="110.25" customHeight="1">
      <c r="A7" s="291" t="inlineStr">
        <is>
          <t>1.1</t>
        </is>
      </c>
      <c r="B7" s="2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3" t="inlineStr">
        <is>
          <t>С1ср</t>
        </is>
      </c>
      <c r="D7" s="293" t="inlineStr">
        <is>
          <t>-</t>
        </is>
      </c>
      <c r="E7" s="294" t="n">
        <v>47872.94</v>
      </c>
      <c r="F7" s="2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4" t="n"/>
    </row>
    <row r="8" ht="31.5" customHeight="1">
      <c r="A8" s="291" t="inlineStr">
        <is>
          <t>1.2</t>
        </is>
      </c>
      <c r="B8" s="292" t="inlineStr">
        <is>
          <t>Среднегодовое нормативное число часов работы одного рабочего в месяц, часы (ч.)</t>
        </is>
      </c>
      <c r="C8" s="293" t="inlineStr">
        <is>
          <t>tср</t>
        </is>
      </c>
      <c r="D8" s="293" t="inlineStr">
        <is>
          <t>1973ч/12мес.</t>
        </is>
      </c>
      <c r="E8" s="295">
        <f>1973/12</f>
        <v/>
      </c>
      <c r="F8" s="292" t="inlineStr">
        <is>
          <t>Производственный календарь 2023 год
(40-часов.неделя)</t>
        </is>
      </c>
      <c r="G8" s="187" t="n"/>
    </row>
    <row r="9" ht="15.75" customHeight="1">
      <c r="A9" s="291" t="inlineStr">
        <is>
          <t>1.3</t>
        </is>
      </c>
      <c r="B9" s="292" t="inlineStr">
        <is>
          <t>Коэффициент увеличения</t>
        </is>
      </c>
      <c r="C9" s="293" t="inlineStr">
        <is>
          <t>Кув</t>
        </is>
      </c>
      <c r="D9" s="293" t="inlineStr">
        <is>
          <t>-</t>
        </is>
      </c>
      <c r="E9" s="295" t="n">
        <v>1</v>
      </c>
      <c r="F9" s="292" t="n"/>
      <c r="G9" s="187" t="n"/>
    </row>
    <row r="10" ht="15.75" customHeight="1">
      <c r="A10" s="291" t="inlineStr">
        <is>
          <t>1.4</t>
        </is>
      </c>
      <c r="B10" s="292" t="inlineStr">
        <is>
          <t>Средний разряд работ</t>
        </is>
      </c>
      <c r="C10" s="293" t="n"/>
      <c r="D10" s="293" t="n"/>
      <c r="E10" s="296" t="n">
        <v>3.8</v>
      </c>
      <c r="F10" s="292" t="inlineStr">
        <is>
          <t>РТМ</t>
        </is>
      </c>
      <c r="G10" s="187" t="n"/>
    </row>
    <row r="11" ht="78.75" customHeight="1">
      <c r="A11" s="291" t="inlineStr">
        <is>
          <t>1.5</t>
        </is>
      </c>
      <c r="B11" s="292" t="inlineStr">
        <is>
          <t>Тарифный коэффициент среднего разряда работ</t>
        </is>
      </c>
      <c r="C11" s="293" t="inlineStr">
        <is>
          <t>КТ</t>
        </is>
      </c>
      <c r="D11" s="293" t="inlineStr">
        <is>
          <t>-</t>
        </is>
      </c>
      <c r="E11" s="297" t="n">
        <v>1.308</v>
      </c>
      <c r="F11" s="2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4" t="n"/>
    </row>
    <row r="12" ht="78.75" customHeight="1">
      <c r="A12" s="291" t="inlineStr">
        <is>
          <t>1.6</t>
        </is>
      </c>
      <c r="B12" s="298" t="inlineStr">
        <is>
          <t>Коэффициент инфляции, определяемый поквартально</t>
        </is>
      </c>
      <c r="C12" s="293" t="inlineStr">
        <is>
          <t>Кинф</t>
        </is>
      </c>
      <c r="D12" s="293" t="inlineStr">
        <is>
          <t>-</t>
        </is>
      </c>
      <c r="E12" s="349" t="n">
        <v>1.139</v>
      </c>
      <c r="F12" s="3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1" t="inlineStr">
        <is>
          <t>1.7</t>
        </is>
      </c>
      <c r="B13" s="301" t="inlineStr">
        <is>
          <t>Размер средств на оплату труда рабочих-строителей в текущем уровне цен (ФОТр.тек.), руб/чел.-ч</t>
        </is>
      </c>
      <c r="C13" s="293" t="inlineStr">
        <is>
          <t>ФОТр.тек.</t>
        </is>
      </c>
      <c r="D13" s="293" t="inlineStr">
        <is>
          <t>(С1ср/tср*КТ*Т*Кув)*Кинф</t>
        </is>
      </c>
      <c r="E13" s="302">
        <f>((E7*E9/E8)*E11)*E12</f>
        <v/>
      </c>
      <c r="F13" s="2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2025-01-24T11:52:37Z</dcterms:modified>
  <cp:lastModifiedBy>Dmitry Petrakov</cp:lastModifiedBy>
  <cp:lastPrinted>2023-11-30T19:17:24Z</cp:lastPrinted>
</cp:coreProperties>
</file>