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Times New Roman"/>
      <color rgb="FF1F1F1F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" fillId="4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topLeftCell="A17" zoomScale="80" zoomScaleNormal="55" workbookViewId="0">
      <selection activeCell="C30" sqref="C30"/>
    </sheetView>
  </sheetViews>
  <sheetFormatPr baseColWidth="8" defaultColWidth="9.140625" defaultRowHeight="15.75"/>
  <cols>
    <col width="9.140625" customWidth="1" style="309" min="1" max="2"/>
    <col width="52.7109375" customWidth="1" style="309" min="3" max="3"/>
    <col width="52.140625" customWidth="1" style="309" min="4" max="4"/>
    <col width="10.140625" customWidth="1" style="309" min="5" max="5"/>
    <col width="9.140625" customWidth="1" style="309" min="6" max="6"/>
    <col width="23.5703125" customWidth="1" style="309" min="7" max="7"/>
    <col width="9.140625" customWidth="1" style="309" min="8" max="8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63" t="inlineStr">
        <is>
          <t>Наименование разрабатываемого показателя УНЦ — ВЧ-присоединение (КС+ФП+РК) на ЛЭП 35 кВ</t>
        </is>
      </c>
      <c r="E7" s="211" t="n"/>
    </row>
    <row r="8" ht="15.75" customHeight="1" s="307">
      <c r="B8" s="363" t="inlineStr">
        <is>
          <t>Сопоставимый уровень цен:  - 4 квартал 2018 года</t>
        </is>
      </c>
    </row>
    <row r="9">
      <c r="B9" s="363" t="inlineStr">
        <is>
          <t>Единица измерения  — 1 ед</t>
        </is>
      </c>
      <c r="E9" s="211" t="n"/>
    </row>
    <row r="10">
      <c r="B10" s="363" t="n"/>
    </row>
    <row r="11">
      <c r="B11" s="369" t="inlineStr">
        <is>
          <t>№ п/п</t>
        </is>
      </c>
      <c r="C11" s="369" t="inlineStr">
        <is>
          <t>Параметр</t>
        </is>
      </c>
      <c r="D11" s="372" t="inlineStr">
        <is>
          <t>Объект-представитель 1</t>
        </is>
      </c>
      <c r="E11" s="211" t="n"/>
    </row>
    <row r="12" ht="94.5" customHeight="1" s="307">
      <c r="B12" s="369" t="n">
        <v>1</v>
      </c>
      <c r="C12" s="372" t="inlineStr">
        <is>
          <t>Наименование объекта-представителя</t>
        </is>
      </c>
      <c r="D12" s="369" t="inlineStr">
        <is>
          <t>Строительство ПС 35/10 кВ "Поток" 2х10 МВА,заходов от ВЛ-35кВ "Газовая" и от ВЛ-35кВ "Лесная" общей протяженностью 0,41 км, установка выключателей (24 шт.), установка реклоузера (1 шт.) в п.Шексна (Газпром, ПАО Дог. №ВОЛ5ТП/393/17 от 27.09.17)</t>
        </is>
      </c>
    </row>
    <row r="13">
      <c r="B13" s="369" t="n">
        <v>2</v>
      </c>
      <c r="C13" s="372" t="inlineStr">
        <is>
          <t>Наименование субъекта Российской Федерации</t>
        </is>
      </c>
      <c r="D13" s="369" t="inlineStr">
        <is>
          <t>Вологодская область</t>
        </is>
      </c>
    </row>
    <row r="14">
      <c r="B14" s="369" t="n">
        <v>3</v>
      </c>
      <c r="C14" s="372" t="inlineStr">
        <is>
          <t>Климатический район и подрайон</t>
        </is>
      </c>
      <c r="D14" s="351" t="inlineStr">
        <is>
          <t>IIВ</t>
        </is>
      </c>
    </row>
    <row r="15">
      <c r="B15" s="369" t="n">
        <v>4</v>
      </c>
      <c r="C15" s="372" t="inlineStr">
        <is>
          <t>Мощность объекта</t>
        </is>
      </c>
      <c r="D15" s="369" t="n">
        <v>1</v>
      </c>
    </row>
    <row r="16" ht="63" customHeight="1" s="307">
      <c r="B16" s="36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ВЧ-присоединение 35 кВ - 1 комплект</t>
        </is>
      </c>
    </row>
    <row r="17" ht="63" customHeight="1" s="307">
      <c r="B17" s="36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9">
        <f>D18+D19+D20+D21</f>
        <v/>
      </c>
      <c r="E17" s="207" t="n"/>
    </row>
    <row r="18">
      <c r="B18" s="340" t="inlineStr">
        <is>
          <t>6.1</t>
        </is>
      </c>
      <c r="C18" s="372" t="inlineStr">
        <is>
          <t>строительно-монтажные работы</t>
        </is>
      </c>
      <c r="D18" s="349" t="n">
        <v>68.75</v>
      </c>
    </row>
    <row r="19" ht="15.75" customHeight="1" s="307">
      <c r="B19" s="340" t="inlineStr">
        <is>
          <t>6.2</t>
        </is>
      </c>
      <c r="C19" s="372" t="inlineStr">
        <is>
          <t>оборудование и инвентарь</t>
        </is>
      </c>
      <c r="D19" s="349" t="n">
        <v>592.22</v>
      </c>
    </row>
    <row r="20" ht="16.5" customHeight="1" s="307">
      <c r="B20" s="340" t="inlineStr">
        <is>
          <t>6.3</t>
        </is>
      </c>
      <c r="C20" s="372" t="inlineStr">
        <is>
          <t>пусконаладочные работы</t>
        </is>
      </c>
      <c r="D20" s="349" t="n"/>
    </row>
    <row r="21">
      <c r="B21" s="340" t="inlineStr">
        <is>
          <t>6.4</t>
        </is>
      </c>
      <c r="C21" s="209" t="inlineStr">
        <is>
          <t>прочие и лимитированные затраты</t>
        </is>
      </c>
      <c r="D21" s="349" t="n"/>
    </row>
    <row r="22">
      <c r="B22" s="369" t="n">
        <v>7</v>
      </c>
      <c r="C22" s="209" t="inlineStr">
        <is>
          <t>Сопоставимый уровень цен</t>
        </is>
      </c>
      <c r="D22" s="350" t="inlineStr">
        <is>
          <t>4 квартал 2018 года</t>
        </is>
      </c>
      <c r="E22" s="207" t="n"/>
    </row>
    <row r="23" ht="78.75" customHeight="1" s="307">
      <c r="B23" s="36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9">
        <f>D17</f>
        <v/>
      </c>
      <c r="G23" s="263" t="n"/>
    </row>
    <row r="24" ht="31.5" customHeight="1" s="307">
      <c r="B24" s="36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9">
        <f>D23/D15</f>
        <v/>
      </c>
      <c r="E24" s="207" t="n"/>
    </row>
    <row r="25">
      <c r="B25" s="369" t="n">
        <v>10</v>
      </c>
      <c r="C25" s="372" t="inlineStr">
        <is>
          <t>Примечание</t>
        </is>
      </c>
      <c r="D25" s="372" t="n"/>
    </row>
    <row r="26">
      <c r="B26" s="205" t="n"/>
      <c r="C26" s="204" t="n"/>
      <c r="D26" s="204" t="n"/>
    </row>
    <row r="27" ht="37.5" customHeight="1" s="307">
      <c r="B27" s="203" t="n"/>
    </row>
    <row r="28">
      <c r="B28" s="309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18" customWidth="1" style="309" min="11" max="11"/>
    <col width="9.140625" customWidth="1" style="309" min="12" max="12"/>
    <col width="16.140625" customWidth="1" style="309" min="13" max="13"/>
    <col width="9.140625" customWidth="1" style="309" min="14" max="14"/>
  </cols>
  <sheetData>
    <row r="3">
      <c r="B3" s="361" t="inlineStr">
        <is>
          <t>Приложение № 2</t>
        </is>
      </c>
      <c r="K3" s="203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8" t="inlineStr">
        <is>
          <t>Наименование разрабатываемого показателя УНЦ — ВЧ-присоединение (КС+ФП+РК) на ЛЭП 35 кВ</t>
        </is>
      </c>
      <c r="K6" s="203" t="n"/>
      <c r="L6" s="211" t="n"/>
    </row>
    <row r="7">
      <c r="B7" s="363" t="inlineStr">
        <is>
          <t>Единица измерения  —  1 ед</t>
        </is>
      </c>
      <c r="L7" s="211" t="n"/>
    </row>
    <row r="8">
      <c r="B8" s="363" t="n"/>
    </row>
    <row r="9" ht="15.75" customHeight="1" s="307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07"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4 кв. 2018 г., тыс. руб.</t>
        </is>
      </c>
      <c r="G10" s="448" t="n"/>
      <c r="H10" s="448" t="n"/>
      <c r="I10" s="448" t="n"/>
      <c r="J10" s="449" t="n"/>
    </row>
    <row r="11" ht="31.5" customHeight="1" s="307">
      <c r="B11" s="451" t="n"/>
      <c r="C11" s="451" t="n"/>
      <c r="D11" s="451" t="n"/>
      <c r="E11" s="451" t="n"/>
      <c r="F11" s="326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47.25" customHeight="1" s="307">
      <c r="B12" s="369" t="n">
        <v>1</v>
      </c>
      <c r="C12" s="369" t="inlineStr">
        <is>
          <t>ВЧ-присоединение 35 кВ - 1 комплект</t>
        </is>
      </c>
      <c r="D12" s="340" t="inlineStr">
        <is>
          <t>02-01-21</t>
        </is>
      </c>
      <c r="E12" s="374" t="inlineStr">
        <is>
          <t>ПС 110 кВ Шексна. Электротехнические решения</t>
        </is>
      </c>
      <c r="F12" s="342" t="n"/>
      <c r="G12" s="343">
        <f>68754.42/1000</f>
        <v/>
      </c>
      <c r="H12" s="349">
        <f>592224.78/1000</f>
        <v/>
      </c>
      <c r="I12" s="349" t="n"/>
      <c r="J12" s="349">
        <f>SUM(G12:I12)</f>
        <v/>
      </c>
      <c r="K12" s="263" t="n"/>
      <c r="L12" s="263" t="n"/>
      <c r="M12" s="263" t="n"/>
    </row>
    <row r="13" ht="15.75" customHeight="1" s="307">
      <c r="B13" s="364" t="inlineStr">
        <is>
          <t>Всего по объекту:</t>
        </is>
      </c>
      <c r="C13" s="452" t="n"/>
      <c r="D13" s="452" t="n"/>
      <c r="E13" s="453" t="n"/>
      <c r="F13" s="342" t="n"/>
      <c r="G13" s="345">
        <f>SUM(G12)</f>
        <v/>
      </c>
      <c r="H13" s="346">
        <f>SUM(H12)</f>
        <v/>
      </c>
      <c r="I13" s="346" t="n"/>
      <c r="J13" s="346">
        <f>SUM(J12)</f>
        <v/>
      </c>
    </row>
    <row r="14" ht="21.6" customHeight="1" s="307">
      <c r="B14" s="366" t="inlineStr">
        <is>
          <t>Всего по объекту в сопоставимом уровне цен 4 кв. 2018 г:</t>
        </is>
      </c>
      <c r="C14" s="448" t="n"/>
      <c r="D14" s="448" t="n"/>
      <c r="E14" s="449" t="n"/>
      <c r="F14" s="342" t="n"/>
      <c r="G14" s="347">
        <f>G13</f>
        <v/>
      </c>
      <c r="H14" s="348">
        <f>H13</f>
        <v/>
      </c>
      <c r="I14" s="348" t="n"/>
      <c r="J14" s="348">
        <f>SUM(G14:I14)</f>
        <v/>
      </c>
    </row>
    <row r="15">
      <c r="B15" s="363" t="n"/>
    </row>
    <row r="17">
      <c r="B17" s="309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09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102"/>
  <sheetViews>
    <sheetView view="pageBreakPreview" topLeftCell="A82" zoomScale="85" zoomScaleSheetLayoutView="85" workbookViewId="0">
      <selection activeCell="D102" sqref="D102"/>
    </sheetView>
  </sheetViews>
  <sheetFormatPr baseColWidth="8" defaultColWidth="9.140625" defaultRowHeight="15.75"/>
  <cols>
    <col width="9.140625" customWidth="1" style="261" min="1" max="1"/>
    <col width="12.5703125" customWidth="1" style="309" min="2" max="2"/>
    <col width="22.42578125" customWidth="1" style="212" min="3" max="3"/>
    <col width="49.7109375" customWidth="1" style="256" min="4" max="4"/>
    <col width="10.140625" customWidth="1" style="257" min="5" max="5"/>
    <col width="20.7109375" customWidth="1" style="256" min="6" max="6"/>
    <col width="16.140625" customWidth="1" style="256" min="7" max="7"/>
    <col width="16.7109375" customWidth="1" style="309" min="8" max="8"/>
    <col width="9.140625" customWidth="1" style="309" min="9" max="9"/>
  </cols>
  <sheetData>
    <row r="2">
      <c r="A2" s="361" t="inlineStr">
        <is>
          <t xml:space="preserve">Приложение № 3 </t>
        </is>
      </c>
    </row>
    <row r="3" s="307">
      <c r="A3" s="361" t="n"/>
      <c r="B3" s="361" t="n"/>
      <c r="C3" s="361" t="n"/>
      <c r="D3" s="361" t="n"/>
      <c r="E3" s="361" t="n"/>
      <c r="F3" s="361" t="n"/>
      <c r="G3" s="361" t="n"/>
      <c r="H3" s="361" t="n"/>
      <c r="I3" s="309" t="n"/>
    </row>
    <row r="4">
      <c r="A4" s="362" t="inlineStr">
        <is>
          <t>Объектная ресурсная ведомость</t>
        </is>
      </c>
    </row>
    <row r="5">
      <c r="A5" s="212" t="n"/>
    </row>
    <row r="6" ht="30.6" customHeight="1" s="307">
      <c r="A6" s="368" t="inlineStr">
        <is>
          <t>Наименование разрабатываемого показателя УНЦ -ВЧ-присоединение (КС+ФП+РК) на ЛЭП 35 кВ</t>
        </is>
      </c>
    </row>
    <row r="7" ht="15.75" customHeight="1" s="307">
      <c r="A7" s="368" t="n"/>
      <c r="B7" s="368" t="n"/>
      <c r="C7" s="368" t="n"/>
      <c r="D7" s="368" t="n"/>
      <c r="E7" s="368" t="n"/>
      <c r="F7" s="368" t="n"/>
      <c r="G7" s="368" t="n"/>
      <c r="H7" s="368" t="n"/>
      <c r="I7" s="309" t="n"/>
    </row>
    <row r="8">
      <c r="A8" s="212" t="n"/>
      <c r="B8" s="213" t="n"/>
      <c r="D8" s="257" t="n"/>
      <c r="F8" s="257" t="n"/>
      <c r="G8" s="257" t="n"/>
      <c r="H8" s="213" t="n"/>
    </row>
    <row r="9" ht="38.25" customHeight="1" s="307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73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49" t="n"/>
    </row>
    <row r="10" ht="40.5" customHeight="1" s="307">
      <c r="A10" s="451" t="n"/>
      <c r="B10" s="451" t="n"/>
      <c r="C10" s="451" t="n"/>
      <c r="D10" s="451" t="n"/>
      <c r="E10" s="451" t="n"/>
      <c r="F10" s="451" t="n"/>
      <c r="G10" s="369" t="inlineStr">
        <is>
          <t>на ед.изм.</t>
        </is>
      </c>
      <c r="H10" s="374" t="inlineStr">
        <is>
          <t>общая</t>
        </is>
      </c>
    </row>
    <row r="11">
      <c r="A11" s="326" t="n">
        <v>1</v>
      </c>
      <c r="B11" s="326" t="n"/>
      <c r="C11" s="326" t="n">
        <v>2</v>
      </c>
      <c r="D11" s="258" t="n">
        <v>3</v>
      </c>
      <c r="E11" s="258" t="n">
        <v>4</v>
      </c>
      <c r="F11" s="258" t="n">
        <v>5</v>
      </c>
      <c r="G11" s="258" t="n">
        <v>6</v>
      </c>
      <c r="H11" s="268" t="n">
        <v>7</v>
      </c>
    </row>
    <row r="12" customFormat="1" s="214">
      <c r="A12" s="370" t="inlineStr">
        <is>
          <t>Затраты труда рабочих</t>
        </is>
      </c>
      <c r="B12" s="448" t="n"/>
      <c r="C12" s="448" t="n"/>
      <c r="D12" s="448" t="n"/>
      <c r="E12" s="449" t="n"/>
      <c r="F12" s="331" t="n">
        <v>71.925336</v>
      </c>
      <c r="G12" s="331" t="n"/>
      <c r="H12" s="332">
        <f>SUM(H13:H23)</f>
        <v/>
      </c>
    </row>
    <row r="13">
      <c r="A13" s="151" t="n">
        <v>1</v>
      </c>
      <c r="B13" s="333" t="n"/>
      <c r="C13" s="260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279" t="n">
        <v>28.824</v>
      </c>
      <c r="G13" s="337" t="n">
        <v>9.619999999999999</v>
      </c>
      <c r="H13" s="334">
        <f>ROUND(F13*G13,2)</f>
        <v/>
      </c>
    </row>
    <row r="14">
      <c r="A14" s="151" t="n">
        <v>2</v>
      </c>
      <c r="B14" s="333" t="n"/>
      <c r="C14" s="260" t="inlineStr">
        <is>
          <t>1-3-8</t>
        </is>
      </c>
      <c r="D14" s="218" t="inlineStr">
        <is>
          <t>Затраты труда рабочих (средний разряд работы 3,8)</t>
        </is>
      </c>
      <c r="E14" s="279" t="inlineStr">
        <is>
          <t>чел.-ч</t>
        </is>
      </c>
      <c r="F14" s="279" t="n">
        <v>10.5</v>
      </c>
      <c r="G14" s="337" t="n">
        <v>9.4</v>
      </c>
      <c r="H14" s="334">
        <f>ROUND(F14*G14,2)</f>
        <v/>
      </c>
      <c r="L14" s="454" t="n"/>
    </row>
    <row r="15">
      <c r="A15" s="151" t="n">
        <v>3</v>
      </c>
      <c r="B15" s="333" t="n"/>
      <c r="C15" s="260" t="inlineStr">
        <is>
          <t>1-2-9</t>
        </is>
      </c>
      <c r="D15" s="218" t="inlineStr">
        <is>
          <t>Затраты труда рабочих (средний разряд работы 2,9)</t>
        </is>
      </c>
      <c r="E15" s="279" t="inlineStr">
        <is>
          <t>чел.-ч</t>
        </is>
      </c>
      <c r="F15" s="279" t="n">
        <v>10.854</v>
      </c>
      <c r="G15" s="337" t="n">
        <v>8.460000000000001</v>
      </c>
      <c r="H15" s="334">
        <f>ROUND(F15*G15,2)</f>
        <v/>
      </c>
    </row>
    <row r="16">
      <c r="A16" s="151" t="n">
        <v>4</v>
      </c>
      <c r="B16" s="333" t="n"/>
      <c r="C16" s="260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79" t="inlineStr">
        <is>
          <t>чел.-ч</t>
        </is>
      </c>
      <c r="F16" s="279" t="n">
        <v>6.138</v>
      </c>
      <c r="G16" s="337" t="n">
        <v>9.07</v>
      </c>
      <c r="H16" s="334">
        <f>ROUND(F16*G16,2)</f>
        <v/>
      </c>
    </row>
    <row r="17">
      <c r="A17" s="151" t="n">
        <v>5</v>
      </c>
      <c r="B17" s="333" t="n"/>
      <c r="C17" s="260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79" t="inlineStr">
        <is>
          <t>чел.-ч</t>
        </is>
      </c>
      <c r="F17" s="279" t="n">
        <v>3.11216</v>
      </c>
      <c r="G17" s="337" t="n">
        <v>9.51</v>
      </c>
      <c r="H17" s="334">
        <f>ROUND(F17*G17,2)</f>
        <v/>
      </c>
    </row>
    <row r="18">
      <c r="A18" s="151" t="n">
        <v>6</v>
      </c>
      <c r="B18" s="333" t="n"/>
      <c r="C18" s="260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79" t="inlineStr">
        <is>
          <t>чел.-ч</t>
        </is>
      </c>
      <c r="F18" s="279" t="n">
        <v>3.786</v>
      </c>
      <c r="G18" s="337" t="n">
        <v>7.8</v>
      </c>
      <c r="H18" s="334">
        <f>ROUND(F18*G18,2)</f>
        <v/>
      </c>
    </row>
    <row r="19">
      <c r="A19" s="151" t="n">
        <v>7</v>
      </c>
      <c r="B19" s="333" t="n"/>
      <c r="C19" s="260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79" t="inlineStr">
        <is>
          <t>чел.-ч</t>
        </is>
      </c>
      <c r="F19" s="279" t="n">
        <v>3.247776</v>
      </c>
      <c r="G19" s="337" t="n">
        <v>8.529999999999999</v>
      </c>
      <c r="H19" s="334">
        <f>ROUND(F19*G19,2)</f>
        <v/>
      </c>
    </row>
    <row r="20">
      <c r="A20" s="151" t="n">
        <v>8</v>
      </c>
      <c r="B20" s="333" t="n"/>
      <c r="C20" s="260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79" t="inlineStr">
        <is>
          <t>чел.-ч</t>
        </is>
      </c>
      <c r="F20" s="279" t="n">
        <v>2.79936</v>
      </c>
      <c r="G20" s="337" t="n">
        <v>7.5</v>
      </c>
      <c r="H20" s="334">
        <f>ROUND(F20*G20,2)</f>
        <v/>
      </c>
    </row>
    <row r="21">
      <c r="A21" s="151" t="n">
        <v>9</v>
      </c>
      <c r="B21" s="333" t="n"/>
      <c r="C21" s="260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79" t="inlineStr">
        <is>
          <t>чел.-ч</t>
        </is>
      </c>
      <c r="F21" s="279" t="n">
        <v>2.125</v>
      </c>
      <c r="G21" s="337" t="n">
        <v>7.94</v>
      </c>
      <c r="H21" s="334">
        <f>ROUND(F21*G21,2)</f>
        <v/>
      </c>
    </row>
    <row r="22">
      <c r="A22" s="151" t="n">
        <v>10</v>
      </c>
      <c r="B22" s="333" t="n"/>
      <c r="C22" s="260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79" t="inlineStr">
        <is>
          <t>чел.-ч</t>
        </is>
      </c>
      <c r="F22" s="279" t="n">
        <v>0.5292</v>
      </c>
      <c r="G22" s="337" t="n">
        <v>8.960000000000001</v>
      </c>
      <c r="H22" s="334">
        <f>ROUND(F22*G22,2)</f>
        <v/>
      </c>
    </row>
    <row r="23">
      <c r="A23" s="151" t="n">
        <v>11</v>
      </c>
      <c r="B23" s="333" t="n"/>
      <c r="C23" s="260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79" t="inlineStr">
        <is>
          <t>чел.-ч</t>
        </is>
      </c>
      <c r="F23" s="279" t="n">
        <v>0.00984</v>
      </c>
      <c r="G23" s="337" t="n">
        <v>10.16</v>
      </c>
      <c r="H23" s="334">
        <f>ROUND(F23*G23,2)</f>
        <v/>
      </c>
    </row>
    <row r="24">
      <c r="A24" s="370" t="inlineStr">
        <is>
          <t>Затраты труда машинистов</t>
        </is>
      </c>
      <c r="B24" s="448" t="n"/>
      <c r="C24" s="448" t="n"/>
      <c r="D24" s="448" t="n"/>
      <c r="E24" s="449" t="n"/>
      <c r="F24" s="335" t="n">
        <v>7.22566212</v>
      </c>
      <c r="G24" s="331" t="n"/>
      <c r="H24" s="332">
        <f>H25</f>
        <v/>
      </c>
    </row>
    <row r="25">
      <c r="A25" s="151" t="n">
        <v>12</v>
      </c>
      <c r="B25" s="278" t="inlineStr">
        <is>
          <t> </t>
        </is>
      </c>
      <c r="C25" s="384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79" t="n">
        <v>7.22566212</v>
      </c>
      <c r="G25" s="259" t="n"/>
      <c r="H25" s="334" t="n">
        <v>120.45</v>
      </c>
    </row>
    <row r="26" customFormat="1" s="214">
      <c r="A26" s="370" t="inlineStr">
        <is>
          <t>Машины и механизмы</t>
        </is>
      </c>
      <c r="B26" s="448" t="n"/>
      <c r="C26" s="448" t="n"/>
      <c r="D26" s="448" t="n"/>
      <c r="E26" s="449" t="n"/>
      <c r="F26" s="335" t="n"/>
      <c r="G26" s="331" t="n"/>
      <c r="H26" s="332">
        <f>SUM(H27:H45)</f>
        <v/>
      </c>
    </row>
    <row r="27" ht="25.5" customHeight="1" s="307">
      <c r="A27" s="151" t="n">
        <v>13</v>
      </c>
      <c r="B27" s="278" t="inlineStr">
        <is>
          <t> </t>
        </is>
      </c>
      <c r="C27" s="279" t="inlineStr">
        <is>
          <t>91.05.05-015</t>
        </is>
      </c>
      <c r="D27" s="280" t="inlineStr">
        <is>
          <t>Краны на автомобильном ходу, грузоподъемность 16 т</t>
        </is>
      </c>
      <c r="E27" s="279" t="inlineStr">
        <is>
          <t>маш.-ч.</t>
        </is>
      </c>
      <c r="F27" s="279" t="n">
        <v>3.0569512</v>
      </c>
      <c r="G27" s="337" t="n">
        <v>115.4</v>
      </c>
      <c r="H27" s="334">
        <f>ROUND(F27*G27,2)</f>
        <v/>
      </c>
      <c r="I27" s="271" t="n"/>
      <c r="J27" s="455" t="n"/>
      <c r="K27" s="271" t="n"/>
    </row>
    <row r="28" customFormat="1" s="214">
      <c r="A28" s="151" t="n">
        <v>14</v>
      </c>
      <c r="B28" s="278" t="inlineStr">
        <is>
          <t> </t>
        </is>
      </c>
      <c r="C28" s="279" t="inlineStr">
        <is>
          <t>91.14.03-002</t>
        </is>
      </c>
      <c r="D28" s="280" t="inlineStr">
        <is>
          <t>Автомобили-самосвалы, грузоподъемность до 10 т</t>
        </is>
      </c>
      <c r="E28" s="279" t="inlineStr">
        <is>
          <t>маш.-ч.</t>
        </is>
      </c>
      <c r="F28" s="279" t="n">
        <v>2.05</v>
      </c>
      <c r="G28" s="337" t="n">
        <v>87.48999999999999</v>
      </c>
      <c r="H28" s="334">
        <f>ROUND(F28*G28,2)</f>
        <v/>
      </c>
      <c r="I28" s="271" t="n"/>
      <c r="K28" s="271" t="n"/>
    </row>
    <row r="29" ht="25.5" customFormat="1" customHeight="1" s="214">
      <c r="A29" s="151" t="n">
        <v>15</v>
      </c>
      <c r="B29" s="278" t="n"/>
      <c r="C29" s="279" t="inlineStr">
        <is>
          <t>91.01.05-085</t>
        </is>
      </c>
      <c r="D29" s="280" t="inlineStr">
        <is>
          <t>Экскаваторы одноковшовые дизельные на гусеничном ходу, емкость ковша 0,5 м3</t>
        </is>
      </c>
      <c r="E29" s="279" t="inlineStr">
        <is>
          <t>маш.-ч.</t>
        </is>
      </c>
      <c r="F29" s="279" t="n">
        <v>1.2162</v>
      </c>
      <c r="G29" s="337" t="n">
        <v>100</v>
      </c>
      <c r="H29" s="334">
        <f>ROUND(F29*G29,2)</f>
        <v/>
      </c>
      <c r="I29" s="271" t="n"/>
      <c r="K29" s="271" t="n"/>
    </row>
    <row r="30" customFormat="1" s="214">
      <c r="A30" s="151" t="n">
        <v>16</v>
      </c>
      <c r="B30" s="278" t="inlineStr">
        <is>
          <t> </t>
        </is>
      </c>
      <c r="C30" s="279" t="inlineStr">
        <is>
          <t>91.14.02-001</t>
        </is>
      </c>
      <c r="D30" s="280" t="inlineStr">
        <is>
          <t>Автомобили бортовые, грузоподъемность до 5 т</t>
        </is>
      </c>
      <c r="E30" s="279" t="inlineStr">
        <is>
          <t>маш.-ч.</t>
        </is>
      </c>
      <c r="F30" s="279" t="n">
        <v>1.3168644</v>
      </c>
      <c r="G30" s="337" t="n">
        <v>65.7</v>
      </c>
      <c r="H30" s="334">
        <f>ROUND(F30*G30,2)</f>
        <v/>
      </c>
      <c r="I30" s="271" t="n"/>
      <c r="K30" s="271" t="n"/>
    </row>
    <row r="31" ht="38.25" customFormat="1" customHeight="1" s="214">
      <c r="A31" s="151" t="n">
        <v>17</v>
      </c>
      <c r="B31" s="278" t="inlineStr">
        <is>
          <t> </t>
        </is>
      </c>
      <c r="C31" s="279" t="inlineStr">
        <is>
          <t>91.18.01-007</t>
        </is>
      </c>
      <c r="D31" s="2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79" t="inlineStr">
        <is>
          <t>маш.-ч.</t>
        </is>
      </c>
      <c r="F31" s="279" t="n">
        <v>0.679104</v>
      </c>
      <c r="G31" s="337" t="n">
        <v>90</v>
      </c>
      <c r="H31" s="334">
        <f>ROUND(F31*G31,2)</f>
        <v/>
      </c>
      <c r="I31" s="271" t="n"/>
      <c r="K31" s="271" t="n"/>
      <c r="M31" s="270" t="n"/>
    </row>
    <row r="32" customFormat="1" s="214">
      <c r="A32" s="151" t="n">
        <v>18</v>
      </c>
      <c r="B32" s="278" t="inlineStr">
        <is>
          <t> </t>
        </is>
      </c>
      <c r="C32" s="279" t="inlineStr">
        <is>
          <t>91.05.06-012</t>
        </is>
      </c>
      <c r="D32" s="280" t="inlineStr">
        <is>
          <t>Краны на гусеничном ходу, грузоподъемность до 16 т</t>
        </is>
      </c>
      <c r="E32" s="279" t="inlineStr">
        <is>
          <t>маш.-ч.</t>
        </is>
      </c>
      <c r="F32" s="279" t="n">
        <v>0.615328</v>
      </c>
      <c r="G32" s="337" t="n">
        <v>96.89</v>
      </c>
      <c r="H32" s="334">
        <f>ROUND(F32*G32,2)</f>
        <v/>
      </c>
      <c r="I32" s="271" t="n"/>
      <c r="K32" s="271" t="n"/>
    </row>
    <row r="33" ht="25.5" customFormat="1" customHeight="1" s="214">
      <c r="A33" s="151" t="n">
        <v>19</v>
      </c>
      <c r="B33" s="278" t="n"/>
      <c r="C33" s="279" t="inlineStr">
        <is>
          <t>91.17.04-233</t>
        </is>
      </c>
      <c r="D33" s="280" t="inlineStr">
        <is>
          <t>Установки для сварки ручной дуговой (постоянного тока)</t>
        </is>
      </c>
      <c r="E33" s="279" t="inlineStr">
        <is>
          <t>маш.-ч.</t>
        </is>
      </c>
      <c r="F33" s="279" t="n">
        <v>5.0258064</v>
      </c>
      <c r="G33" s="337" t="n">
        <v>8.1</v>
      </c>
      <c r="H33" s="334">
        <f>ROUND(F33*G33,2)</f>
        <v/>
      </c>
      <c r="I33" s="271" t="n"/>
      <c r="K33" s="271" t="n"/>
    </row>
    <row r="34" ht="25.5" customFormat="1" customHeight="1" s="214">
      <c r="A34" s="151" t="n">
        <v>20</v>
      </c>
      <c r="B34" s="278" t="n"/>
      <c r="C34" s="279" t="inlineStr">
        <is>
          <t>91.06.05-057</t>
        </is>
      </c>
      <c r="D34" s="280" t="inlineStr">
        <is>
          <t>Погрузчики одноковшовые универсальные фронтальные пневмоколесные, грузоподъемность 3 т</t>
        </is>
      </c>
      <c r="E34" s="279" t="inlineStr">
        <is>
          <t>маш.-ч.</t>
        </is>
      </c>
      <c r="F34" s="279" t="n">
        <v>0.175</v>
      </c>
      <c r="G34" s="337" t="n">
        <v>90.45999999999999</v>
      </c>
      <c r="H34" s="334">
        <f>ROUND(F34*G34,2)</f>
        <v/>
      </c>
      <c r="I34" s="271" t="n"/>
      <c r="K34" s="271" t="n"/>
    </row>
    <row r="35" customFormat="1" s="214">
      <c r="A35" s="151" t="n">
        <v>21</v>
      </c>
      <c r="B35" s="278" t="n"/>
      <c r="C35" s="279" t="inlineStr">
        <is>
          <t>91.05.01-017</t>
        </is>
      </c>
      <c r="D35" s="280" t="inlineStr">
        <is>
          <t>Краны башенные, грузоподъемность 8 т</t>
        </is>
      </c>
      <c r="E35" s="279" t="inlineStr">
        <is>
          <t>маш.-ч.</t>
        </is>
      </c>
      <c r="F35" s="279" t="n">
        <v>0.108</v>
      </c>
      <c r="G35" s="337" t="n">
        <v>86.39</v>
      </c>
      <c r="H35" s="334">
        <f>ROUND(F35*G35,2)</f>
        <v/>
      </c>
      <c r="I35" s="271" t="n"/>
      <c r="K35" s="271" t="n"/>
    </row>
    <row r="36" customFormat="1" s="214">
      <c r="A36" s="151" t="n">
        <v>22</v>
      </c>
      <c r="B36" s="278" t="n"/>
      <c r="C36" s="279" t="inlineStr">
        <is>
          <t>91.08.04-021</t>
        </is>
      </c>
      <c r="D36" s="280" t="inlineStr">
        <is>
          <t>Котлы битумные передвижные 400 л</t>
        </is>
      </c>
      <c r="E36" s="279" t="inlineStr">
        <is>
          <t>маш.-ч.</t>
        </is>
      </c>
      <c r="F36" s="279" t="n">
        <v>0.28626</v>
      </c>
      <c r="G36" s="337" t="n">
        <v>30.01</v>
      </c>
      <c r="H36" s="334">
        <f>ROUND(F36*G36,2)</f>
        <v/>
      </c>
      <c r="I36" s="271" t="n"/>
      <c r="K36" s="271" t="n"/>
    </row>
    <row r="37" ht="25.5" customFormat="1" customHeight="1" s="214">
      <c r="A37" s="151" t="n">
        <v>23</v>
      </c>
      <c r="B37" s="278" t="n"/>
      <c r="C37" s="279" t="inlineStr">
        <is>
          <t>91.06.03-061</t>
        </is>
      </c>
      <c r="D37" s="280" t="inlineStr">
        <is>
          <t>Лебедки электрические тяговым усилием до 12,26 кН (1,25 т)</t>
        </is>
      </c>
      <c r="E37" s="279" t="inlineStr">
        <is>
          <t>маш.-ч.</t>
        </is>
      </c>
      <c r="F37" s="279" t="n">
        <v>2.47</v>
      </c>
      <c r="G37" s="337" t="n">
        <v>3.28</v>
      </c>
      <c r="H37" s="334">
        <f>ROUND(F37*G37,2)</f>
        <v/>
      </c>
      <c r="I37" s="271" t="n"/>
      <c r="K37" s="271" t="n"/>
    </row>
    <row r="38" customFormat="1" s="214">
      <c r="A38" s="151" t="n">
        <v>24</v>
      </c>
      <c r="B38" s="278" t="n"/>
      <c r="C38" s="279" t="inlineStr">
        <is>
          <t>91.01.01-035</t>
        </is>
      </c>
      <c r="D38" s="280" t="inlineStr">
        <is>
          <t>Бульдозеры, мощность 79 кВт (108 л.с.)</t>
        </is>
      </c>
      <c r="E38" s="279" t="inlineStr">
        <is>
          <t>маш.-ч.</t>
        </is>
      </c>
      <c r="F38" s="279" t="n">
        <v>0.0824256</v>
      </c>
      <c r="G38" s="337" t="n">
        <v>79.09999999999999</v>
      </c>
      <c r="H38" s="334">
        <f>ROUND(F38*G38,2)</f>
        <v/>
      </c>
      <c r="I38" s="271" t="n"/>
      <c r="K38" s="271" t="n"/>
    </row>
    <row r="39" ht="25.5" customFormat="1" customHeight="1" s="214">
      <c r="A39" s="151" t="n">
        <v>25</v>
      </c>
      <c r="B39" s="278" t="n"/>
      <c r="C39" s="279" t="inlineStr">
        <is>
          <t>91.08.09-024</t>
        </is>
      </c>
      <c r="D39" s="280" t="inlineStr">
        <is>
          <t>Трамбовки пневматические при работе от стационарного компрессора</t>
        </is>
      </c>
      <c r="E39" s="279" t="inlineStr">
        <is>
          <t>маш.-ч.</t>
        </is>
      </c>
      <c r="F39" s="279" t="n">
        <v>1</v>
      </c>
      <c r="G39" s="337" t="n">
        <v>4.9</v>
      </c>
      <c r="H39" s="334">
        <f>ROUND(F39*G39,2)</f>
        <v/>
      </c>
      <c r="K39" s="271" t="n"/>
    </row>
    <row r="40" ht="25.5" customFormat="1" customHeight="1" s="214">
      <c r="A40" s="151" t="n">
        <v>26</v>
      </c>
      <c r="B40" s="278" t="n"/>
      <c r="C40" s="279" t="inlineStr">
        <is>
          <t>91.06.01-003</t>
        </is>
      </c>
      <c r="D40" s="280" t="inlineStr">
        <is>
          <t>Домкраты гидравлические, грузоподъемность 63-100 т</t>
        </is>
      </c>
      <c r="E40" s="279" t="inlineStr">
        <is>
          <t>маш.-ч.</t>
        </is>
      </c>
      <c r="F40" s="279" t="n">
        <v>2.47</v>
      </c>
      <c r="G40" s="337" t="n">
        <v>0.9</v>
      </c>
      <c r="H40" s="334">
        <f>ROUND(F40*G40,2)</f>
        <v/>
      </c>
      <c r="K40" s="271" t="n"/>
    </row>
    <row r="41" ht="25.5" customFormat="1" customHeight="1" s="214">
      <c r="A41" s="151" t="n">
        <v>27</v>
      </c>
      <c r="B41" s="278" t="n"/>
      <c r="C41" s="279" t="inlineStr">
        <is>
          <t>91.08.09-023</t>
        </is>
      </c>
      <c r="D41" s="280" t="inlineStr">
        <is>
          <t>Трамбовки пневматические при работе от передвижных компрессорных станций</t>
        </is>
      </c>
      <c r="E41" s="279" t="inlineStr">
        <is>
          <t>маш.-ч.</t>
        </is>
      </c>
      <c r="F41" s="279" t="n">
        <v>2.7216</v>
      </c>
      <c r="G41" s="337" t="n">
        <v>0.55</v>
      </c>
      <c r="H41" s="334">
        <f>ROUND(F41*G41,2)</f>
        <v/>
      </c>
      <c r="K41" s="271" t="n"/>
    </row>
    <row r="42" customFormat="1" s="214">
      <c r="A42" s="151" t="n">
        <v>28</v>
      </c>
      <c r="B42" s="278" t="n"/>
      <c r="C42" s="279" t="inlineStr">
        <is>
          <t>91.07.04-001</t>
        </is>
      </c>
      <c r="D42" s="280" t="inlineStr">
        <is>
          <t>Вибраторы глубинные</t>
        </is>
      </c>
      <c r="E42" s="279" t="inlineStr">
        <is>
          <t>маш.-ч.</t>
        </is>
      </c>
      <c r="F42" s="279" t="n">
        <v>0.4556</v>
      </c>
      <c r="G42" s="337" t="n">
        <v>1.91</v>
      </c>
      <c r="H42" s="334">
        <f>ROUND(F42*G42,2)</f>
        <v/>
      </c>
      <c r="K42" s="271" t="n"/>
    </row>
    <row r="43" customFormat="1" s="214">
      <c r="A43" s="151" t="n">
        <v>29</v>
      </c>
      <c r="B43" s="278" t="n"/>
      <c r="C43" s="279" t="inlineStr">
        <is>
          <t>91.06.05-011</t>
        </is>
      </c>
      <c r="D43" s="280" t="inlineStr">
        <is>
          <t>Погрузчики, грузоподъемность 5 т</t>
        </is>
      </c>
      <c r="E43" s="279" t="inlineStr">
        <is>
          <t>маш.-ч.</t>
        </is>
      </c>
      <c r="F43" s="279" t="n">
        <v>0.006748</v>
      </c>
      <c r="G43" s="337" t="n">
        <v>88.91</v>
      </c>
      <c r="H43" s="334">
        <f>ROUND(F43*G43,2)</f>
        <v/>
      </c>
      <c r="K43" s="271" t="n"/>
    </row>
    <row r="44" ht="25.5" customFormat="1" customHeight="1" s="214">
      <c r="A44" s="151" t="n">
        <v>30</v>
      </c>
      <c r="B44" s="278" t="n"/>
      <c r="C44" s="279" t="inlineStr">
        <is>
          <t>91.21.01-012</t>
        </is>
      </c>
      <c r="D44" s="280" t="inlineStr">
        <is>
          <t>Агрегаты окрасочные высокого давления для окраски поверхностей конструкций, мощность 1 кВт</t>
        </is>
      </c>
      <c r="E44" s="279" t="inlineStr">
        <is>
          <t>маш.-ч.</t>
        </is>
      </c>
      <c r="F44" s="279" t="n">
        <v>0.00708</v>
      </c>
      <c r="G44" s="337" t="n">
        <v>5.65</v>
      </c>
      <c r="H44" s="334">
        <f>ROUND(F44*G44,2)</f>
        <v/>
      </c>
      <c r="K44" s="271" t="n"/>
    </row>
    <row r="45" customFormat="1" s="214">
      <c r="A45" s="151" t="n">
        <v>31</v>
      </c>
      <c r="B45" s="278" t="n"/>
      <c r="C45" s="279" t="inlineStr">
        <is>
          <t>91.07.04-002</t>
        </is>
      </c>
      <c r="D45" s="280" t="inlineStr">
        <is>
          <t>Вибраторы поверхностные</t>
        </is>
      </c>
      <c r="E45" s="279" t="inlineStr">
        <is>
          <t>маш.-ч.</t>
        </is>
      </c>
      <c r="F45" s="279" t="n">
        <v>0.06635199999999999</v>
      </c>
      <c r="G45" s="337" t="n">
        <v>0.45</v>
      </c>
      <c r="H45" s="334">
        <f>ROUND(F45*G45,2)</f>
        <v/>
      </c>
      <c r="K45" s="271" t="n"/>
    </row>
    <row r="46" customFormat="1" s="214">
      <c r="A46" s="370" t="inlineStr">
        <is>
          <t xml:space="preserve">Оборудование </t>
        </is>
      </c>
      <c r="B46" s="448" t="n"/>
      <c r="C46" s="448" t="n"/>
      <c r="D46" s="448" t="n"/>
      <c r="E46" s="449" t="n"/>
      <c r="F46" s="279" t="n"/>
      <c r="G46" s="337" t="n"/>
      <c r="H46" s="332">
        <f>SUM(H47:H48)</f>
        <v/>
      </c>
      <c r="K46" s="271" t="n"/>
    </row>
    <row r="47" customFormat="1" s="214">
      <c r="A47" s="151" t="n">
        <v>32</v>
      </c>
      <c r="B47" s="278" t="n"/>
      <c r="C47" s="279" t="inlineStr">
        <is>
          <t>Прайс из СД ОП</t>
        </is>
      </c>
      <c r="D47" s="280" t="inlineStr">
        <is>
          <t>Конденсатор связи 35 кВ СМ 66кВ 4400 пФ</t>
        </is>
      </c>
      <c r="E47" s="279" t="inlineStr">
        <is>
          <t>шт</t>
        </is>
      </c>
      <c r="F47" s="279" t="n">
        <v>3</v>
      </c>
      <c r="G47" s="337" t="n">
        <v>30191.69</v>
      </c>
      <c r="H47" s="334">
        <f>ROUND(F47*G47,2)</f>
        <v/>
      </c>
      <c r="K47" s="271" t="n"/>
    </row>
    <row r="48" customFormat="1" s="214">
      <c r="A48" s="151" t="n">
        <v>33</v>
      </c>
      <c r="B48" s="278" t="n"/>
      <c r="C48" s="279" t="inlineStr">
        <is>
          <t>Прайс из СД ОП</t>
        </is>
      </c>
      <c r="D48" s="280" t="inlineStr">
        <is>
          <t xml:space="preserve">Фильтр присоединения 35 кВ </t>
        </is>
      </c>
      <c r="E48" s="279" t="inlineStr">
        <is>
          <t>шт</t>
        </is>
      </c>
      <c r="F48" s="279" t="n">
        <v>3</v>
      </c>
      <c r="G48" s="337" t="n">
        <v>12910.55</v>
      </c>
      <c r="H48" s="334">
        <f>ROUND(F48*G48,2)</f>
        <v/>
      </c>
      <c r="K48" s="271" t="n"/>
    </row>
    <row r="49">
      <c r="A49" s="370" t="inlineStr">
        <is>
          <t>Материалы</t>
        </is>
      </c>
      <c r="B49" s="448" t="n"/>
      <c r="C49" s="448" t="n"/>
      <c r="D49" s="448" t="n"/>
      <c r="E49" s="449" t="n"/>
      <c r="F49" s="335" t="n"/>
      <c r="G49" s="331" t="n"/>
      <c r="H49" s="332">
        <f>SUM(H50:H96)</f>
        <v/>
      </c>
    </row>
    <row r="50" ht="25.5" customHeight="1" s="307">
      <c r="A50" s="151" t="n">
        <v>34</v>
      </c>
      <c r="B50" s="278" t="n"/>
      <c r="C50" s="279" t="inlineStr">
        <is>
          <t>04.1.02.05-0046</t>
        </is>
      </c>
      <c r="D50" s="280" t="inlineStr">
        <is>
          <t>Бетон тяжелый, крупность заполнителя 20 мм, класс В25 (М350)</t>
        </is>
      </c>
      <c r="E50" s="279" t="inlineStr">
        <is>
          <t>м3</t>
        </is>
      </c>
      <c r="F50" s="279" t="n">
        <v>2.7202</v>
      </c>
      <c r="G50" s="337" t="n">
        <v>720</v>
      </c>
      <c r="H50" s="334">
        <f>ROUND(F50*G50,2)</f>
        <v/>
      </c>
      <c r="J50" s="271" t="n"/>
    </row>
    <row r="51">
      <c r="A51" s="151" t="n">
        <v>35</v>
      </c>
      <c r="B51" s="278" t="n"/>
      <c r="C51" s="279" t="inlineStr">
        <is>
          <t>21.1.03.02-0003</t>
        </is>
      </c>
      <c r="D51" s="280" t="inlineStr">
        <is>
          <t>Кабель коаксиальный радиочастотный РК 75-9-13</t>
        </is>
      </c>
      <c r="E51" s="279" t="inlineStr">
        <is>
          <t>1000 м</t>
        </is>
      </c>
      <c r="F51" s="279" t="n">
        <v>0.15</v>
      </c>
      <c r="G51" s="337" t="n">
        <v>9110.530000000001</v>
      </c>
      <c r="H51" s="334">
        <f>ROUND(F51*G51,2)</f>
        <v/>
      </c>
      <c r="J51" s="271" t="n"/>
    </row>
    <row r="52" ht="38.25" customHeight="1" s="307">
      <c r="A52" s="151" t="n">
        <v>36</v>
      </c>
      <c r="B52" s="278" t="n"/>
      <c r="C52" s="279" t="inlineStr">
        <is>
          <t>04.3.02.04-0316</t>
        </is>
      </c>
      <c r="D52" s="280" t="inlineStr">
        <is>
          <t>Смесь сухая безусадочная быстротвердеющая EMACO FAST TIXO тиксотропного типа (расход смеси 2000 кг на 1 м3)</t>
        </is>
      </c>
      <c r="E52" s="279" t="inlineStr">
        <is>
          <t>кг</t>
        </is>
      </c>
      <c r="F52" s="279" t="n">
        <v>80</v>
      </c>
      <c r="G52" s="337" t="n">
        <v>11.35</v>
      </c>
      <c r="H52" s="334">
        <f>ROUND(F52*G52,2)</f>
        <v/>
      </c>
      <c r="J52" s="271" t="n"/>
      <c r="L52" s="271" t="n"/>
    </row>
    <row r="53" ht="25.5" customHeight="1" s="307">
      <c r="A53" s="151" t="n">
        <v>37</v>
      </c>
      <c r="B53" s="278" t="n"/>
      <c r="C53" s="279" t="inlineStr">
        <is>
          <t>08.4.03.03-0004</t>
        </is>
      </c>
      <c r="D53" s="280" t="inlineStr">
        <is>
          <t>Горячекатанная арматурная сталь класса А500 С, диаметром 12 мм</t>
        </is>
      </c>
      <c r="E53" s="279" t="inlineStr">
        <is>
          <t>т</t>
        </is>
      </c>
      <c r="F53" s="279" t="n">
        <v>0.1208</v>
      </c>
      <c r="G53" s="337" t="n">
        <v>5584.6</v>
      </c>
      <c r="H53" s="334">
        <f>ROUND(F53*G53,2)</f>
        <v/>
      </c>
      <c r="J53" s="271" t="n"/>
    </row>
    <row r="54" ht="25.5" customHeight="1" s="307">
      <c r="A54" s="151" t="n">
        <v>38</v>
      </c>
      <c r="B54" s="278" t="n"/>
      <c r="C54" s="279" t="inlineStr">
        <is>
          <t>04.1.02.05-0041</t>
        </is>
      </c>
      <c r="D54" s="280" t="inlineStr">
        <is>
          <t>Бетон тяжелый, крупность заполнителя 20 мм, класс В10 (М150)</t>
        </is>
      </c>
      <c r="E54" s="279" t="inlineStr">
        <is>
          <t>м3</t>
        </is>
      </c>
      <c r="F54" s="279" t="n">
        <v>0.612</v>
      </c>
      <c r="G54" s="337" t="n">
        <v>542.24</v>
      </c>
      <c r="H54" s="334">
        <f>ROUND(F54*G54,2)</f>
        <v/>
      </c>
      <c r="J54" s="271" t="n"/>
    </row>
    <row r="55" ht="25.5" customHeight="1" s="307">
      <c r="A55" s="151" t="n">
        <v>39</v>
      </c>
      <c r="B55" s="278" t="n"/>
      <c r="C55" s="279" t="inlineStr">
        <is>
          <t>08.4.01.01-0022</t>
        </is>
      </c>
      <c r="D55" s="280" t="inlineStr">
        <is>
          <t>Детали анкерные с резьбой из прямых или гнутых круглых стержней</t>
        </is>
      </c>
      <c r="E55" s="279" t="inlineStr">
        <is>
          <t>т</t>
        </is>
      </c>
      <c r="F55" s="279" t="n">
        <v>0.02736</v>
      </c>
      <c r="G55" s="337" t="n">
        <v>10100.15</v>
      </c>
      <c r="H55" s="334">
        <f>ROUND(F55*G55,2)</f>
        <v/>
      </c>
      <c r="J55" s="271" t="n"/>
      <c r="L55" s="271" t="n"/>
    </row>
    <row r="56">
      <c r="A56" s="151" t="n">
        <v>40</v>
      </c>
      <c r="B56" s="278" t="n"/>
      <c r="C56" s="279" t="inlineStr">
        <is>
          <t>02.2.05.04-1777</t>
        </is>
      </c>
      <c r="D56" s="280" t="inlineStr">
        <is>
          <t>Щебень М 800, фракция 20-40 мм, группа 2</t>
        </is>
      </c>
      <c r="E56" s="279" t="inlineStr">
        <is>
          <t>м3</t>
        </is>
      </c>
      <c r="F56" s="279" t="n">
        <v>2.5</v>
      </c>
      <c r="G56" s="337" t="n">
        <v>108.4</v>
      </c>
      <c r="H56" s="334">
        <f>ROUND(F56*G56,2)</f>
        <v/>
      </c>
      <c r="J56" s="271" t="n"/>
    </row>
    <row r="57" ht="25.5" customHeight="1" s="307">
      <c r="A57" s="151" t="n">
        <v>41</v>
      </c>
      <c r="B57" s="278" t="n"/>
      <c r="C57" s="279" t="inlineStr">
        <is>
          <t>01.2.03.03-0103</t>
        </is>
      </c>
      <c r="D57" s="280" t="inlineStr">
        <is>
          <t>Мастика гидроизоляционная холодная ТЕХНОНИКОЛЬ №24 (МГТН)</t>
        </is>
      </c>
      <c r="E57" s="279" t="inlineStr">
        <is>
          <t>кг</t>
        </is>
      </c>
      <c r="F57" s="279" t="n">
        <v>29.4</v>
      </c>
      <c r="G57" s="337" t="n">
        <v>9.15</v>
      </c>
      <c r="H57" s="334">
        <f>ROUND(F57*G57,2)</f>
        <v/>
      </c>
      <c r="J57" s="271" t="n"/>
    </row>
    <row r="58">
      <c r="A58" s="151" t="n">
        <v>42</v>
      </c>
      <c r="B58" s="278" t="n"/>
      <c r="C58" s="279" t="inlineStr">
        <is>
          <t>02.2.05.04-1577</t>
        </is>
      </c>
      <c r="D58" s="280" t="inlineStr">
        <is>
          <t>Щебень М 800, фракция 5(3)-10 мм, группа 2</t>
        </is>
      </c>
      <c r="E58" s="279" t="inlineStr">
        <is>
          <t>м3</t>
        </is>
      </c>
      <c r="F58" s="279" t="n">
        <v>0.76</v>
      </c>
      <c r="G58" s="337" t="n">
        <v>155.93</v>
      </c>
      <c r="H58" s="334">
        <f>ROUND(F58*G58,2)</f>
        <v/>
      </c>
      <c r="J58" s="271" t="n"/>
    </row>
    <row r="59" ht="25.5" customHeight="1" s="307">
      <c r="A59" s="151" t="n">
        <v>43</v>
      </c>
      <c r="B59" s="278" t="n"/>
      <c r="C59" s="279" t="inlineStr">
        <is>
          <t>08.4.03.02-0001</t>
        </is>
      </c>
      <c r="D59" s="280" t="inlineStr">
        <is>
          <t>Горячекатаная арматурная сталь гладкая класса А-I, диаметром 6 мм</t>
        </is>
      </c>
      <c r="E59" s="279" t="inlineStr">
        <is>
          <t>т</t>
        </is>
      </c>
      <c r="F59" s="279" t="n">
        <v>0.012</v>
      </c>
      <c r="G59" s="337" t="n">
        <v>7419.17</v>
      </c>
      <c r="H59" s="334">
        <f>ROUND(F59*G59,2)</f>
        <v/>
      </c>
      <c r="J59" s="271" t="n"/>
    </row>
    <row r="60">
      <c r="A60" s="151" t="n">
        <v>44</v>
      </c>
      <c r="B60" s="278" t="n"/>
      <c r="C60" s="279" t="inlineStr">
        <is>
          <t>01.7.15.03-0042</t>
        </is>
      </c>
      <c r="D60" s="280" t="inlineStr">
        <is>
          <t>Болты с гайками и шайбами строительные</t>
        </is>
      </c>
      <c r="E60" s="279" t="inlineStr">
        <is>
          <t>кг</t>
        </is>
      </c>
      <c r="F60" s="279" t="n">
        <v>6.664</v>
      </c>
      <c r="G60" s="337" t="n">
        <v>9.039999999999999</v>
      </c>
      <c r="H60" s="334">
        <f>ROUND(F60*G60,2)</f>
        <v/>
      </c>
      <c r="J60" s="271" t="n"/>
    </row>
    <row r="61" ht="25.5" customHeight="1" s="307">
      <c r="A61" s="151" t="n">
        <v>45</v>
      </c>
      <c r="B61" s="371" t="n"/>
      <c r="C61" s="279" t="inlineStr">
        <is>
          <t>08.4.03.03-0002</t>
        </is>
      </c>
      <c r="D61" s="280" t="inlineStr">
        <is>
          <t>Горячекатанная арматурная сталь класса А500 С, диаметром 8 мм</t>
        </is>
      </c>
      <c r="E61" s="279" t="inlineStr">
        <is>
          <t>т</t>
        </is>
      </c>
      <c r="F61" s="279" t="n">
        <v>0.009599999999999999</v>
      </c>
      <c r="G61" s="337" t="n">
        <v>6213.54</v>
      </c>
      <c r="H61" s="334">
        <f>ROUND(F61*G61,2)</f>
        <v/>
      </c>
      <c r="J61" s="271" t="n"/>
    </row>
    <row r="62">
      <c r="A62" s="151" t="n">
        <v>46</v>
      </c>
      <c r="B62" s="371" t="n"/>
      <c r="C62" s="279" t="inlineStr">
        <is>
          <t>11.2.13.04-0011</t>
        </is>
      </c>
      <c r="D62" s="280" t="inlineStr">
        <is>
          <t>Щиты из досок, толщина 25 мм</t>
        </is>
      </c>
      <c r="E62" s="279" t="inlineStr">
        <is>
          <t>м2</t>
        </is>
      </c>
      <c r="F62" s="279" t="n">
        <v>1.3266</v>
      </c>
      <c r="G62" s="337" t="n">
        <v>35.53</v>
      </c>
      <c r="H62" s="334">
        <f>ROUND(F62*G62,2)</f>
        <v/>
      </c>
      <c r="J62" s="271" t="n"/>
    </row>
    <row r="63">
      <c r="A63" s="151" t="n">
        <v>47</v>
      </c>
      <c r="B63" s="371" t="n"/>
      <c r="C63" s="279" t="inlineStr">
        <is>
          <t>01.2.03.05-0011</t>
        </is>
      </c>
      <c r="D63" s="280" t="inlineStr">
        <is>
          <t>Праймер битумный ТЕХНОНИКОЛЬ №01</t>
        </is>
      </c>
      <c r="E63" s="279" t="inlineStr">
        <is>
          <t>л</t>
        </is>
      </c>
      <c r="F63" s="279" t="n">
        <v>5.2</v>
      </c>
      <c r="G63" s="337" t="n">
        <v>8.44</v>
      </c>
      <c r="H63" s="334">
        <f>ROUND(F63*G63,2)</f>
        <v/>
      </c>
      <c r="J63" s="271" t="n"/>
    </row>
    <row r="64" ht="25.5" customHeight="1" s="307">
      <c r="A64" s="151" t="n">
        <v>48</v>
      </c>
      <c r="B64" s="371" t="n"/>
      <c r="C64" s="279" t="inlineStr">
        <is>
          <t>10.3.02.03-0011</t>
        </is>
      </c>
      <c r="D64" s="280" t="inlineStr">
        <is>
          <t>Припои оловянно-свинцовые бессурьмянистые, марка ПОС30</t>
        </is>
      </c>
      <c r="E64" s="279" t="inlineStr">
        <is>
          <t>т</t>
        </is>
      </c>
      <c r="F64" s="279" t="n">
        <v>0.00063</v>
      </c>
      <c r="G64" s="337" t="n">
        <v>68063.49000000001</v>
      </c>
      <c r="H64" s="334">
        <f>ROUND(F64*G64,2)</f>
        <v/>
      </c>
      <c r="J64" s="271" t="n"/>
    </row>
    <row r="65">
      <c r="A65" s="151" t="n">
        <v>49</v>
      </c>
      <c r="B65" s="371" t="n"/>
      <c r="C65" s="279" t="inlineStr">
        <is>
          <t>01.7.15.07-0031</t>
        </is>
      </c>
      <c r="D65" s="280" t="inlineStr">
        <is>
          <t>Дюбели распорные с гайкой</t>
        </is>
      </c>
      <c r="E65" s="279" t="inlineStr">
        <is>
          <t>100 шт</t>
        </is>
      </c>
      <c r="F65" s="279" t="n">
        <v>0.192</v>
      </c>
      <c r="G65" s="337" t="n">
        <v>110</v>
      </c>
      <c r="H65" s="334">
        <f>ROUND(F65*G65,2)</f>
        <v/>
      </c>
    </row>
    <row r="66" ht="25.5" customHeight="1" s="307">
      <c r="A66" s="151" t="n">
        <v>50</v>
      </c>
      <c r="B66" s="371" t="n"/>
      <c r="C66" s="279" t="inlineStr">
        <is>
          <t>03.2.01.01-0003</t>
        </is>
      </c>
      <c r="D66" s="280" t="inlineStr">
        <is>
          <t>Портландцемент общестроительного назначения бездобавочный М500 Д0 (ЦЕМ I 42,5Н)</t>
        </is>
      </c>
      <c r="E66" s="279" t="inlineStr">
        <is>
          <t>т</t>
        </is>
      </c>
      <c r="F66" s="279" t="n">
        <v>0.0432</v>
      </c>
      <c r="G66" s="337" t="n">
        <v>480.09</v>
      </c>
      <c r="H66" s="334">
        <f>ROUND(F66*G66,2)</f>
        <v/>
      </c>
    </row>
    <row r="67" ht="25.5" customHeight="1" s="307">
      <c r="A67" s="151" t="n">
        <v>51</v>
      </c>
      <c r="B67" s="371" t="n"/>
      <c r="C67" s="279" t="inlineStr">
        <is>
          <t>11.1.03.06-0095</t>
        </is>
      </c>
      <c r="D67" s="280" t="inlineStr">
        <is>
          <t>Доска обрезная, хвойных пород, ширина 75-150 мм, толщина 44 мм и более, длина 4-6,5 м, сорт III</t>
        </is>
      </c>
      <c r="E67" s="279" t="inlineStr">
        <is>
          <t>м3</t>
        </is>
      </c>
      <c r="F67" s="279" t="n">
        <v>0.018982</v>
      </c>
      <c r="G67" s="337" t="n">
        <v>1055.73</v>
      </c>
      <c r="H67" s="334">
        <f>ROUND(F67*G67,2)</f>
        <v/>
      </c>
    </row>
    <row r="68">
      <c r="A68" s="151" t="n">
        <v>52</v>
      </c>
      <c r="B68" s="371" t="n"/>
      <c r="C68" s="279" t="inlineStr">
        <is>
          <t>01.7.20.08-0102</t>
        </is>
      </c>
      <c r="D68" s="280" t="inlineStr">
        <is>
          <t>Миткаль суровый</t>
        </is>
      </c>
      <c r="E68" s="279" t="inlineStr">
        <is>
          <t>10 м</t>
        </is>
      </c>
      <c r="F68" s="279" t="n">
        <v>0.26</v>
      </c>
      <c r="G68" s="337" t="n">
        <v>73.65000000000001</v>
      </c>
      <c r="H68" s="334">
        <f>ROUND(F68*G68,2)</f>
        <v/>
      </c>
    </row>
    <row r="69">
      <c r="A69" s="151" t="n">
        <v>53</v>
      </c>
      <c r="B69" s="371" t="n"/>
      <c r="C69" s="279" t="inlineStr">
        <is>
          <t>01.7.11.07-0034</t>
        </is>
      </c>
      <c r="D69" s="280" t="inlineStr">
        <is>
          <t>Электроды сварочные Э42А, диаметр 4 мм</t>
        </is>
      </c>
      <c r="E69" s="279" t="inlineStr">
        <is>
          <t>кг</t>
        </is>
      </c>
      <c r="F69" s="279" t="n">
        <v>1.808</v>
      </c>
      <c r="G69" s="337" t="n">
        <v>10.57</v>
      </c>
      <c r="H69" s="334">
        <f>ROUND(F69*G69,2)</f>
        <v/>
      </c>
    </row>
    <row r="70">
      <c r="A70" s="151" t="n">
        <v>54</v>
      </c>
      <c r="B70" s="371" t="n"/>
      <c r="C70" s="279" t="inlineStr">
        <is>
          <t>07.2.07.13-0171</t>
        </is>
      </c>
      <c r="D70" s="280" t="inlineStr">
        <is>
          <t>Подкладки металлические</t>
        </is>
      </c>
      <c r="E70" s="279" t="inlineStr">
        <is>
          <t>кг</t>
        </is>
      </c>
      <c r="F70" s="279" t="n">
        <v>1</v>
      </c>
      <c r="G70" s="337" t="n">
        <v>12.6</v>
      </c>
      <c r="H70" s="334">
        <f>ROUND(F70*G70,2)</f>
        <v/>
      </c>
    </row>
    <row r="71">
      <c r="A71" s="151" t="n">
        <v>55</v>
      </c>
      <c r="B71" s="371" t="n"/>
      <c r="C71" s="279" t="inlineStr">
        <is>
          <t>01.7.15.06-0111</t>
        </is>
      </c>
      <c r="D71" s="280" t="inlineStr">
        <is>
          <t>Гвозди строительные</t>
        </is>
      </c>
      <c r="E71" s="279" t="inlineStr">
        <is>
          <t>т</t>
        </is>
      </c>
      <c r="F71" s="279" t="n">
        <v>0.001021</v>
      </c>
      <c r="G71" s="337" t="n">
        <v>11978.46</v>
      </c>
      <c r="H71" s="334">
        <f>ROUND(F71*G71,2)</f>
        <v/>
      </c>
    </row>
    <row r="72" ht="25.5" customHeight="1" s="307">
      <c r="A72" s="151" t="n">
        <v>56</v>
      </c>
      <c r="B72" s="371" t="n"/>
      <c r="C72" s="279" t="inlineStr">
        <is>
          <t>11.1.02.04-0031</t>
        </is>
      </c>
      <c r="D72" s="280" t="inlineStr">
        <is>
          <t>Лесоматериалы круглые, хвойных пород, для строительства, диаметр 14-24 см, длина 3-6,5 м</t>
        </is>
      </c>
      <c r="E72" s="279" t="inlineStr">
        <is>
          <t>м3</t>
        </is>
      </c>
      <c r="F72" s="279" t="n">
        <v>0.018492</v>
      </c>
      <c r="G72" s="337" t="n">
        <v>558.08</v>
      </c>
      <c r="H72" s="334">
        <f>ROUND(F72*G72,2)</f>
        <v/>
      </c>
    </row>
    <row r="73" ht="25.5" customHeight="1" s="307">
      <c r="A73" s="151" t="n">
        <v>57</v>
      </c>
      <c r="B73" s="371" t="n"/>
      <c r="C73" s="279" t="inlineStr">
        <is>
          <t>11.1.03.05-0089</t>
        </is>
      </c>
      <c r="D73" s="280" t="inlineStr">
        <is>
          <t>Доска необрезная, хвойных пород, длина 4-6,5 м, ширина 75-150 мм, толщина 16 мм, сорт III</t>
        </is>
      </c>
      <c r="E73" s="279" t="inlineStr">
        <is>
          <t>м3</t>
        </is>
      </c>
      <c r="F73" s="279" t="n">
        <v>0.008</v>
      </c>
      <c r="G73" s="337" t="n">
        <v>1250</v>
      </c>
      <c r="H73" s="334">
        <f>ROUND(F73*G73,2)</f>
        <v/>
      </c>
    </row>
    <row r="74">
      <c r="A74" s="151" t="n">
        <v>58</v>
      </c>
      <c r="B74" s="371" t="n"/>
      <c r="C74" s="279" t="inlineStr">
        <is>
          <t>01.3.01.03-0002</t>
        </is>
      </c>
      <c r="D74" s="280" t="inlineStr">
        <is>
          <t>Керосин для технических целей</t>
        </is>
      </c>
      <c r="E74" s="279" t="inlineStr">
        <is>
          <t>т</t>
        </is>
      </c>
      <c r="F74" s="279" t="n">
        <v>0.0035232</v>
      </c>
      <c r="G74" s="337" t="n">
        <v>2608.42</v>
      </c>
      <c r="H74" s="334">
        <f>ROUND(F74*G74,2)</f>
        <v/>
      </c>
    </row>
    <row r="75">
      <c r="A75" s="151" t="n">
        <v>59</v>
      </c>
      <c r="B75" s="371" t="n"/>
      <c r="C75" s="279" t="inlineStr">
        <is>
          <t>14.4.02.09-0301</t>
        </is>
      </c>
      <c r="D75" s="280" t="inlineStr">
        <is>
          <t>Композиция антикоррозионная цинкнаполненная</t>
        </is>
      </c>
      <c r="E75" s="279" t="inlineStr">
        <is>
          <t>кг</t>
        </is>
      </c>
      <c r="F75" s="279" t="n">
        <v>0.036</v>
      </c>
      <c r="G75" s="337" t="n">
        <v>238.61</v>
      </c>
      <c r="H75" s="334">
        <f>ROUND(F75*G75,2)</f>
        <v/>
      </c>
    </row>
    <row r="76">
      <c r="A76" s="151" t="n">
        <v>60</v>
      </c>
      <c r="B76" s="371" t="n"/>
      <c r="C76" s="279" t="inlineStr">
        <is>
          <t>14.4.02.09-0001</t>
        </is>
      </c>
      <c r="D76" s="280" t="inlineStr">
        <is>
          <t>Краска</t>
        </is>
      </c>
      <c r="E76" s="279" t="inlineStr">
        <is>
          <t>кг</t>
        </is>
      </c>
      <c r="F76" s="279" t="n">
        <v>0.3</v>
      </c>
      <c r="G76" s="337" t="n">
        <v>28.6</v>
      </c>
      <c r="H76" s="334">
        <f>ROUND(F76*G76,2)</f>
        <v/>
      </c>
    </row>
    <row r="77" ht="25.5" customHeight="1" s="307">
      <c r="A77" s="151" t="n">
        <v>61</v>
      </c>
      <c r="B77" s="371" t="n"/>
      <c r="C77" s="279" t="inlineStr">
        <is>
          <t>999-9950</t>
        </is>
      </c>
      <c r="D77" s="280" t="inlineStr">
        <is>
          <t>Вспомогательные ненормируемые материальные ресурсы</t>
        </is>
      </c>
      <c r="E77" s="279" t="inlineStr">
        <is>
          <t>руб</t>
        </is>
      </c>
      <c r="F77" s="279" t="n">
        <v>7.519564</v>
      </c>
      <c r="G77" s="337" t="n">
        <v>1</v>
      </c>
      <c r="H77" s="334">
        <f>ROUND(F77*G77,2)</f>
        <v/>
      </c>
    </row>
    <row r="78">
      <c r="A78" s="151" t="n">
        <v>62</v>
      </c>
      <c r="B78" s="371" t="n"/>
      <c r="C78" s="279" t="inlineStr">
        <is>
          <t>01.7.06.07-0002</t>
        </is>
      </c>
      <c r="D78" s="280" t="inlineStr">
        <is>
          <t>Лента монтажная, тип ЛМ-5</t>
        </is>
      </c>
      <c r="E78" s="279" t="inlineStr">
        <is>
          <t>10 м</t>
        </is>
      </c>
      <c r="F78" s="279" t="n">
        <v>1.0825</v>
      </c>
      <c r="G78" s="337" t="n">
        <v>6.9</v>
      </c>
      <c r="H78" s="334">
        <f>ROUND(F78*G78,2)</f>
        <v/>
      </c>
    </row>
    <row r="79" ht="25.5" customHeight="1" s="307">
      <c r="A79" s="151" t="n">
        <v>63</v>
      </c>
      <c r="B79" s="371" t="n"/>
      <c r="C79" s="279" t="inlineStr">
        <is>
          <t>11.1.03.06-0087</t>
        </is>
      </c>
      <c r="D79" s="280" t="inlineStr">
        <is>
          <t>Доска обрезная, хвойных пород, ширина 75-150 мм, толщина 25 мм, длина 4-6,5 м, сорт III</t>
        </is>
      </c>
      <c r="E79" s="279" t="inlineStr">
        <is>
          <t>м3</t>
        </is>
      </c>
      <c r="F79" s="279" t="n">
        <v>0.006536</v>
      </c>
      <c r="G79" s="337" t="n">
        <v>1101.59</v>
      </c>
      <c r="H79" s="334">
        <f>ROUND(F79*G79,2)</f>
        <v/>
      </c>
    </row>
    <row r="80">
      <c r="A80" s="151" t="n">
        <v>64</v>
      </c>
      <c r="B80" s="371" t="n"/>
      <c r="C80" s="279" t="inlineStr">
        <is>
          <t>01.7.07.12-0024</t>
        </is>
      </c>
      <c r="D80" s="280" t="inlineStr">
        <is>
          <t>Пленка полиэтиленовая, толщина 0,15 мм</t>
        </is>
      </c>
      <c r="E80" s="279" t="inlineStr">
        <is>
          <t>м2</t>
        </is>
      </c>
      <c r="F80" s="279" t="n">
        <v>1.77068</v>
      </c>
      <c r="G80" s="337" t="n">
        <v>3.62</v>
      </c>
      <c r="H80" s="334">
        <f>ROUND(F80*G80,2)</f>
        <v/>
      </c>
    </row>
    <row r="81" ht="38.25" customHeight="1" s="307">
      <c r="A81" s="151" t="n">
        <v>65</v>
      </c>
      <c r="B81" s="371" t="n"/>
      <c r="C81" s="279" t="inlineStr">
        <is>
          <t>01.3.01.06-0023</t>
        </is>
      </c>
      <c r="D81" s="280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81" s="279" t="inlineStr">
        <is>
          <t>т</t>
        </is>
      </c>
      <c r="F81" s="279" t="n">
        <v>0.0003</v>
      </c>
      <c r="G81" s="337" t="n">
        <v>20600</v>
      </c>
      <c r="H81" s="334">
        <f>ROUND(F81*G81,2)</f>
        <v/>
      </c>
    </row>
    <row r="82">
      <c r="A82" s="151" t="n">
        <v>66</v>
      </c>
      <c r="B82" s="371" t="n"/>
      <c r="C82" s="279" t="inlineStr">
        <is>
          <t>01.3.01.01-0001</t>
        </is>
      </c>
      <c r="D82" s="280" t="inlineStr">
        <is>
          <t>Бензин авиационный Б-70</t>
        </is>
      </c>
      <c r="E82" s="279" t="inlineStr">
        <is>
          <t>т</t>
        </is>
      </c>
      <c r="F82" s="279" t="n">
        <v>0.0013</v>
      </c>
      <c r="G82" s="337" t="n">
        <v>4484.62</v>
      </c>
      <c r="H82" s="334">
        <f>ROUND(F82*G82,2)</f>
        <v/>
      </c>
    </row>
    <row r="83">
      <c r="A83" s="151" t="n">
        <v>67</v>
      </c>
      <c r="B83" s="371" t="n"/>
      <c r="C83" s="279" t="inlineStr">
        <is>
          <t>01.7.17.11-0001</t>
        </is>
      </c>
      <c r="D83" s="280" t="inlineStr">
        <is>
          <t>Бумага шлифовальная</t>
        </is>
      </c>
      <c r="E83" s="279" t="inlineStr">
        <is>
          <t>кг</t>
        </is>
      </c>
      <c r="F83" s="279" t="n">
        <v>0.1</v>
      </c>
      <c r="G83" s="337" t="n">
        <v>50</v>
      </c>
      <c r="H83" s="334">
        <f>ROUND(F83*G83,2)</f>
        <v/>
      </c>
    </row>
    <row r="84" ht="25.5" customHeight="1" s="307">
      <c r="A84" s="151" t="n">
        <v>68</v>
      </c>
      <c r="B84" s="371" t="n"/>
      <c r="C84" s="279" t="inlineStr">
        <is>
          <t>08.3.03.06-0002</t>
        </is>
      </c>
      <c r="D84" s="280" t="inlineStr">
        <is>
          <t>Проволока горячекатаная в мотках, диаметр 6,3-6,5 мм</t>
        </is>
      </c>
      <c r="E84" s="279" t="inlineStr">
        <is>
          <t>т</t>
        </is>
      </c>
      <c r="F84" s="279" t="n">
        <v>0.001072</v>
      </c>
      <c r="G84" s="337" t="n">
        <v>4458.96</v>
      </c>
      <c r="H84" s="334">
        <f>ROUND(F84*G84,2)</f>
        <v/>
      </c>
    </row>
    <row r="85">
      <c r="A85" s="151" t="n">
        <v>69</v>
      </c>
      <c r="B85" s="371" t="n"/>
      <c r="C85" s="279" t="inlineStr">
        <is>
          <t>14.4.03.03-0002</t>
        </is>
      </c>
      <c r="D85" s="280" t="inlineStr">
        <is>
          <t>Лак битумный БТ-123</t>
        </is>
      </c>
      <c r="E85" s="279" t="inlineStr">
        <is>
          <t>т</t>
        </is>
      </c>
      <c r="F85" s="279" t="n">
        <v>0.00042</v>
      </c>
      <c r="G85" s="337" t="n">
        <v>7833.33</v>
      </c>
      <c r="H85" s="334">
        <f>ROUND(F85*G85,2)</f>
        <v/>
      </c>
    </row>
    <row r="86" ht="25.5" customHeight="1" s="307">
      <c r="A86" s="151" t="n">
        <v>70</v>
      </c>
      <c r="B86" s="371" t="n"/>
      <c r="C86" s="279" t="inlineStr">
        <is>
          <t>11.1.03.01-0079</t>
        </is>
      </c>
      <c r="D86" s="280" t="inlineStr">
        <is>
          <t>Бруски обрезные, хвойных пород, длина 4-6,5 м, ширина 75-150 мм, толщина 40-75 мм, сорт III</t>
        </is>
      </c>
      <c r="E86" s="279" t="inlineStr">
        <is>
          <t>м3</t>
        </is>
      </c>
      <c r="F86" s="279" t="n">
        <v>0.002144</v>
      </c>
      <c r="G86" s="337" t="n">
        <v>1287.31</v>
      </c>
      <c r="H86" s="334">
        <f>ROUND(F86*G86,2)</f>
        <v/>
      </c>
    </row>
    <row r="87">
      <c r="A87" s="151" t="n">
        <v>71</v>
      </c>
      <c r="B87" s="371" t="n"/>
      <c r="C87" s="279" t="inlineStr">
        <is>
          <t>14.2.01.05-0001</t>
        </is>
      </c>
      <c r="D87" s="280" t="inlineStr">
        <is>
          <t>Композиция на основе термопластичных полимеров</t>
        </is>
      </c>
      <c r="E87" s="279" t="inlineStr">
        <is>
          <t>кг</t>
        </is>
      </c>
      <c r="F87" s="279" t="n">
        <v>0.045</v>
      </c>
      <c r="G87" s="337" t="n">
        <v>54.89</v>
      </c>
      <c r="H87" s="334">
        <f>ROUND(F87*G87,2)</f>
        <v/>
      </c>
    </row>
    <row r="88">
      <c r="A88" s="151" t="n">
        <v>72</v>
      </c>
      <c r="B88" s="371" t="n"/>
      <c r="C88" s="279" t="inlineStr">
        <is>
          <t>02.3.01.02-1012</t>
        </is>
      </c>
      <c r="D88" s="280" t="inlineStr">
        <is>
          <t>Песок природный II класс, средний, круглые сита</t>
        </is>
      </c>
      <c r="E88" s="279" t="inlineStr">
        <is>
          <t>м3</t>
        </is>
      </c>
      <c r="F88" s="279" t="n">
        <v>0.036</v>
      </c>
      <c r="G88" s="337" t="n">
        <v>60</v>
      </c>
      <c r="H88" s="334">
        <f>ROUND(F88*G88,2)</f>
        <v/>
      </c>
    </row>
    <row r="89">
      <c r="A89" s="151" t="n">
        <v>73</v>
      </c>
      <c r="B89" s="371" t="n"/>
      <c r="C89" s="279" t="inlineStr">
        <is>
          <t>01.7.03.01-0001</t>
        </is>
      </c>
      <c r="D89" s="280" t="inlineStr">
        <is>
          <t>Вода</t>
        </is>
      </c>
      <c r="E89" s="279" t="inlineStr">
        <is>
          <t>м3</t>
        </is>
      </c>
      <c r="F89" s="279" t="n">
        <v>0.4642116</v>
      </c>
      <c r="G89" s="337" t="n">
        <v>2.48</v>
      </c>
      <c r="H89" s="334">
        <f>ROUND(F89*G89,2)</f>
        <v/>
      </c>
    </row>
    <row r="90">
      <c r="A90" s="151" t="n">
        <v>74</v>
      </c>
      <c r="B90" s="371" t="n"/>
      <c r="C90" s="279" t="inlineStr">
        <is>
          <t>01.7.11.07-0054</t>
        </is>
      </c>
      <c r="D90" s="280" t="inlineStr">
        <is>
          <t>Электроды сварочные Э42, диаметр 6 мм</t>
        </is>
      </c>
      <c r="E90" s="279" t="inlineStr">
        <is>
          <t>т</t>
        </is>
      </c>
      <c r="F90" s="279" t="n">
        <v>0.0001072</v>
      </c>
      <c r="G90" s="337" t="n">
        <v>9421.639999999999</v>
      </c>
      <c r="H90" s="334">
        <f>ROUND(F90*G90,2)</f>
        <v/>
      </c>
    </row>
    <row r="91">
      <c r="A91" s="151" t="n">
        <v>75</v>
      </c>
      <c r="B91" s="371" t="n"/>
      <c r="C91" s="279" t="inlineStr">
        <is>
          <t>03.1.02.03-0011</t>
        </is>
      </c>
      <c r="D91" s="280" t="inlineStr">
        <is>
          <t>Известь строительная негашеная комовая, сорт I</t>
        </is>
      </c>
      <c r="E91" s="279" t="inlineStr">
        <is>
          <t>т</t>
        </is>
      </c>
      <c r="F91" s="279" t="n">
        <v>0.0012328</v>
      </c>
      <c r="G91" s="337" t="n">
        <v>738.16</v>
      </c>
      <c r="H91" s="334">
        <f>ROUND(F91*G91,2)</f>
        <v/>
      </c>
    </row>
    <row r="92">
      <c r="A92" s="151" t="n">
        <v>76</v>
      </c>
      <c r="B92" s="371" t="n"/>
      <c r="C92" s="279" t="inlineStr">
        <is>
          <t>01.7.15.14-0165</t>
        </is>
      </c>
      <c r="D92" s="280" t="inlineStr">
        <is>
          <t>Шурупы с полукруглой головкой 4x40 мм</t>
        </is>
      </c>
      <c r="E92" s="279" t="inlineStr">
        <is>
          <t>т</t>
        </is>
      </c>
      <c r="F92" s="279" t="n">
        <v>5.5e-05</v>
      </c>
      <c r="G92" s="337" t="n">
        <v>12545.45</v>
      </c>
      <c r="H92" s="334">
        <f>ROUND(F92*G92,2)</f>
        <v/>
      </c>
    </row>
    <row r="93">
      <c r="A93" s="151" t="n">
        <v>77</v>
      </c>
      <c r="B93" s="371" t="n"/>
      <c r="C93" s="279" t="inlineStr">
        <is>
          <t>01.7.11.07-0032</t>
        </is>
      </c>
      <c r="D93" s="280" t="inlineStr">
        <is>
          <t>Электроды сварочные Э42, диаметр 4 мм</t>
        </is>
      </c>
      <c r="E93" s="279" t="inlineStr">
        <is>
          <t>т</t>
        </is>
      </c>
      <c r="F93" s="279" t="n">
        <v>5.47e-05</v>
      </c>
      <c r="G93" s="337" t="n">
        <v>10237.66</v>
      </c>
      <c r="H93" s="334">
        <f>ROUND(F93*G93,2)</f>
        <v/>
      </c>
    </row>
    <row r="94">
      <c r="A94" s="151" t="n">
        <v>78</v>
      </c>
      <c r="B94" s="371" t="n"/>
      <c r="C94" s="279" t="inlineStr">
        <is>
          <t>07.2.07.02-0001</t>
        </is>
      </c>
      <c r="D94" s="280" t="inlineStr">
        <is>
          <t>Кондуктор инвентарный металлический</t>
        </is>
      </c>
      <c r="E94" s="279" t="inlineStr">
        <is>
          <t>шт</t>
        </is>
      </c>
      <c r="F94" s="279" t="n">
        <v>0.0002736</v>
      </c>
      <c r="G94" s="337" t="n">
        <v>328.95</v>
      </c>
      <c r="H94" s="334">
        <f>ROUND(F94*G94,2)</f>
        <v/>
      </c>
    </row>
    <row r="95">
      <c r="A95" s="151" t="n">
        <v>79</v>
      </c>
      <c r="B95" s="371" t="n"/>
      <c r="C95" s="279" t="inlineStr">
        <is>
          <t>14.5.09.07-0030</t>
        </is>
      </c>
      <c r="D95" s="280" t="inlineStr">
        <is>
          <t>Растворитель Р-4</t>
        </is>
      </c>
      <c r="E95" s="279" t="inlineStr">
        <is>
          <t>кг</t>
        </is>
      </c>
      <c r="F95" s="279" t="n">
        <v>0.0042</v>
      </c>
      <c r="G95" s="337" t="n">
        <v>9.52</v>
      </c>
      <c r="H95" s="334">
        <f>ROUND(F95*G95,2)</f>
        <v/>
      </c>
    </row>
    <row r="96">
      <c r="A96" s="151" t="n">
        <v>80</v>
      </c>
      <c r="B96" s="371" t="n"/>
      <c r="C96" s="279" t="inlineStr">
        <is>
          <t>01.7.20.08-0051</t>
        </is>
      </c>
      <c r="D96" s="280" t="inlineStr">
        <is>
          <t>Ветошь</t>
        </is>
      </c>
      <c r="E96" s="279" t="inlineStr">
        <is>
          <t>кг</t>
        </is>
      </c>
      <c r="F96" s="279" t="n">
        <v>0.01468</v>
      </c>
      <c r="G96" s="337" t="n">
        <v>2.04</v>
      </c>
      <c r="H96" s="334">
        <f>ROUND(F96*G96,2)</f>
        <v/>
      </c>
    </row>
    <row r="97">
      <c r="A97" s="264" t="n"/>
      <c r="C97" s="265" t="n"/>
      <c r="D97" s="265" t="n"/>
      <c r="E97" s="265" t="n"/>
      <c r="F97" s="265" t="n"/>
      <c r="G97" s="265" t="n">
        <v>68754.42</v>
      </c>
      <c r="H97" s="266">
        <f>(H12+H24+H26+H49)*8.1</f>
        <v/>
      </c>
    </row>
    <row r="98">
      <c r="B98" s="309" t="inlineStr">
        <is>
          <t>Составил ______________________        А.Р. Маркова</t>
        </is>
      </c>
      <c r="G98" s="256" t="n">
        <v>592224.78</v>
      </c>
      <c r="H98" s="338">
        <f>H46*4.58</f>
        <v/>
      </c>
    </row>
    <row r="99">
      <c r="B99" s="203" t="inlineStr">
        <is>
          <t xml:space="preserve">                         (подпись, инициалы, фамилия)</t>
        </is>
      </c>
    </row>
    <row r="101">
      <c r="B101" s="309" t="inlineStr">
        <is>
          <t>Проверил ______________________        А.В. Костянецкая</t>
        </is>
      </c>
    </row>
    <row r="102">
      <c r="B102" s="20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A26:E26"/>
    <mergeCell ref="A24:E24"/>
    <mergeCell ref="E9:E10"/>
    <mergeCell ref="A9:A10"/>
    <mergeCell ref="F9:F10"/>
    <mergeCell ref="A2:H2"/>
    <mergeCell ref="A49:E49"/>
    <mergeCell ref="A46:E46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11.42578125" customWidth="1" style="307" min="6" max="6"/>
    <col width="14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97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54" t="inlineStr">
        <is>
          <t>Ресурсная модель</t>
        </is>
      </c>
    </row>
    <row r="6">
      <c r="B6" s="226" t="n"/>
      <c r="C6" s="295" t="n"/>
      <c r="D6" s="295" t="n"/>
      <c r="E6" s="295" t="n"/>
    </row>
    <row r="7" ht="25.5" customHeight="1" s="307">
      <c r="B7" s="375" t="inlineStr">
        <is>
          <t>Наименование разрабатываемого показателя УНЦ — ВЧ-присоединение (КС+ФП+РК) на ЛЭП 35 кВ</t>
        </is>
      </c>
    </row>
    <row r="8">
      <c r="B8" s="376" t="inlineStr">
        <is>
          <t>Единица измерения  — 1 ед</t>
        </is>
      </c>
    </row>
    <row r="9">
      <c r="B9" s="226" t="n"/>
      <c r="C9" s="295" t="n"/>
      <c r="D9" s="295" t="n"/>
      <c r="E9" s="295" t="n"/>
    </row>
    <row r="10" ht="51" customHeight="1" s="307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97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97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97">
        <f>'Прил.5 Расчет СМР и ОБ'!J39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97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97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97">
        <f>'Прил.5 Расчет СМР и ОБ'!J55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97">
        <f>'Прил.5 Расчет СМР и ОБ'!J96</f>
        <v/>
      </c>
      <c r="D17" s="220">
        <f>C17/$C$24</f>
        <v/>
      </c>
      <c r="E17" s="220">
        <f>C17/$C$40</f>
        <v/>
      </c>
      <c r="G17" s="456" t="n"/>
    </row>
    <row r="18">
      <c r="B18" s="218" t="inlineStr">
        <is>
          <t>МАТЕРИАЛЫ, ВСЕГО:</t>
        </is>
      </c>
      <c r="C18" s="297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97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97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ОБ'!D100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97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ОБ'!D99</f>
        <v/>
      </c>
      <c r="D23" s="220" t="n"/>
      <c r="E23" s="218" t="n"/>
    </row>
    <row r="24">
      <c r="B24" s="218" t="inlineStr">
        <is>
          <t>ВСЕГО СМР с НР и СП</t>
        </is>
      </c>
      <c r="C24" s="297">
        <f>C19+C20+C22</f>
        <v/>
      </c>
      <c r="D24" s="220">
        <f>C24/$C$24</f>
        <v/>
      </c>
      <c r="E24" s="220">
        <f>C24/$C$40</f>
        <v/>
      </c>
    </row>
    <row r="25" ht="25.5" customHeight="1" s="307">
      <c r="B25" s="218" t="inlineStr">
        <is>
          <t>ВСЕГО стоимость оборудования, в том числе</t>
        </is>
      </c>
      <c r="C25" s="297">
        <f>'Прил.5 Расчет СМР и ОБ'!J44</f>
        <v/>
      </c>
      <c r="D25" s="220" t="n"/>
      <c r="E25" s="220">
        <f>C25/$C$40</f>
        <v/>
      </c>
    </row>
    <row r="26" ht="25.5" customHeight="1" s="307">
      <c r="B26" s="218" t="inlineStr">
        <is>
          <t>стоимость оборудования технологического</t>
        </is>
      </c>
      <c r="C26" s="297">
        <f>'Прил.5 Расчет СМР и ОБ'!J45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07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07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07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76" t="n">
        <v>99530</v>
      </c>
      <c r="D31" s="218" t="n"/>
      <c r="E31" s="220">
        <f>C31/$C$40</f>
        <v/>
      </c>
    </row>
    <row r="32" ht="25.5" customHeight="1" s="307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07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07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07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2">
        <f>C35/$C$40</f>
        <v/>
      </c>
    </row>
    <row r="36" ht="25.5" customHeight="1" s="307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2">
        <f>C36/$C$40</f>
        <v/>
      </c>
      <c r="G36" s="274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2">
        <f>C37/$C$40</f>
        <v/>
      </c>
      <c r="G37" s="274" t="n"/>
      <c r="L37" s="221" t="n"/>
    </row>
    <row r="38" ht="38.25" customHeight="1" s="307">
      <c r="B38" s="218" t="inlineStr">
        <is>
          <t>ИТОГО (СМР+ОБОРУДОВАНИЕ+ПРОЧ. ЗАТР., УЧТЕННЫЕ ПОКАЗАТЕЛЕМ)</t>
        </is>
      </c>
      <c r="C38" s="297">
        <f>C27+C32+C33+C34+C35+C29+C31+C30+C36+C37</f>
        <v/>
      </c>
      <c r="D38" s="218" t="n"/>
      <c r="E38" s="272">
        <f>C38/$C$40</f>
        <v/>
      </c>
    </row>
    <row r="39" ht="13.5" customHeight="1" s="307">
      <c r="B39" s="218" t="inlineStr">
        <is>
          <t>Непредвиденные расходы</t>
        </is>
      </c>
      <c r="C39" s="297">
        <f>ROUND(C38*3%,2)</f>
        <v/>
      </c>
      <c r="D39" s="218" t="n"/>
      <c r="E39" s="272">
        <f>C39/$C$38</f>
        <v/>
      </c>
    </row>
    <row r="40">
      <c r="B40" s="218" t="inlineStr">
        <is>
          <t>ВСЕГО:</t>
        </is>
      </c>
      <c r="C40" s="297">
        <f>C39+C38</f>
        <v/>
      </c>
      <c r="D40" s="218" t="n"/>
      <c r="E40" s="272">
        <f>C40/$C$40</f>
        <v/>
      </c>
    </row>
    <row r="41">
      <c r="B41" s="218" t="inlineStr">
        <is>
          <t>ИТОГО ПОКАЗАТЕЛЬ НА ЕД. ИЗМ.</t>
        </is>
      </c>
      <c r="C41" s="297">
        <f>C40/'Прил.5 Расчет СМР и ОБ'!E103</f>
        <v/>
      </c>
      <c r="D41" s="218" t="n"/>
      <c r="E41" s="273" t="n"/>
    </row>
    <row r="42">
      <c r="B42" s="299" t="n"/>
      <c r="C42" s="295" t="n"/>
      <c r="D42" s="295" t="n"/>
      <c r="E42" s="295" t="n"/>
    </row>
    <row r="43">
      <c r="B43" s="299" t="inlineStr">
        <is>
          <t>Составил ____________________________ А.Р. Маркова</t>
        </is>
      </c>
      <c r="C43" s="295" t="n"/>
      <c r="D43" s="295" t="n"/>
      <c r="E43" s="295" t="n"/>
    </row>
    <row r="44">
      <c r="B44" s="299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99" t="n"/>
      <c r="C45" s="295" t="n"/>
      <c r="D45" s="295" t="n"/>
      <c r="E45" s="295" t="n"/>
    </row>
    <row r="46">
      <c r="B46" s="299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76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09"/>
  <sheetViews>
    <sheetView view="pageBreakPreview" topLeftCell="A84" zoomScale="85" zoomScaleSheetLayoutView="85" workbookViewId="0">
      <selection activeCell="E120" sqref="E120"/>
    </sheetView>
  </sheetViews>
  <sheetFormatPr baseColWidth="8" defaultColWidth="9.140625" defaultRowHeight="15" outlineLevelRow="1"/>
  <cols>
    <col width="5.7109375" customWidth="1" style="305" min="1" max="1"/>
    <col width="22.5703125" customWidth="1" style="246" min="2" max="2"/>
    <col width="39.140625" customWidth="1" style="249" min="3" max="3"/>
    <col width="10.7109375" customWidth="1" style="246" min="4" max="4"/>
    <col width="12.7109375" customWidth="1" style="246" min="5" max="5"/>
    <col width="15" customWidth="1" style="253" min="6" max="6"/>
    <col width="14.7109375" customWidth="1" style="253" min="7" max="7"/>
    <col width="12.7109375" customWidth="1" style="253" min="8" max="8"/>
    <col width="13.85546875" customWidth="1" style="253" min="9" max="9"/>
    <col width="17.5703125" customWidth="1" style="253" min="10" max="10"/>
    <col width="10.85546875" customWidth="1" style="305" min="11" max="11"/>
    <col width="9.140625" customWidth="1" style="305" min="12" max="12"/>
    <col width="9.140625" customWidth="1" style="307" min="13" max="13"/>
  </cols>
  <sheetData>
    <row r="1" ht="15.75" customHeight="1" s="307">
      <c r="A1" s="305" t="n"/>
      <c r="B1" s="246" t="n"/>
      <c r="C1" s="249" t="n"/>
      <c r="D1" s="246" t="n"/>
      <c r="E1" s="246" t="n"/>
      <c r="F1" s="253" t="n"/>
      <c r="G1" s="253" t="n"/>
      <c r="H1" s="392" t="inlineStr">
        <is>
          <t>Приложение №5</t>
        </is>
      </c>
      <c r="K1" s="305" t="n"/>
      <c r="L1" s="305" t="n"/>
      <c r="M1" s="305" t="n"/>
      <c r="N1" s="305" t="n"/>
    </row>
    <row r="2" s="307">
      <c r="A2" s="305" t="n"/>
      <c r="B2" s="246" t="n"/>
      <c r="C2" s="249" t="n"/>
      <c r="D2" s="246" t="n"/>
      <c r="E2" s="246" t="n"/>
      <c r="F2" s="253" t="n"/>
      <c r="G2" s="253" t="n"/>
      <c r="H2" s="253" t="n"/>
      <c r="I2" s="253" t="n"/>
      <c r="J2" s="253" t="n"/>
      <c r="K2" s="305" t="n"/>
      <c r="L2" s="305" t="n"/>
      <c r="M2" s="305" t="n"/>
      <c r="N2" s="305" t="n"/>
    </row>
    <row r="3" ht="12.75" customFormat="1" customHeight="1" s="295">
      <c r="A3" s="354" t="inlineStr">
        <is>
          <t>Расчет стоимости СМР и оборудования</t>
        </is>
      </c>
    </row>
    <row r="4" ht="12.75" customFormat="1" customHeight="1" s="295">
      <c r="A4" s="354" t="n"/>
      <c r="B4" s="354" t="n"/>
      <c r="C4" s="247" t="n"/>
      <c r="D4" s="354" t="n"/>
      <c r="E4" s="354" t="n"/>
      <c r="F4" s="354" t="n"/>
      <c r="G4" s="354" t="n"/>
      <c r="H4" s="354" t="n"/>
      <c r="I4" s="354" t="n"/>
      <c r="J4" s="354" t="n"/>
    </row>
    <row r="5" ht="26.45" customFormat="1" customHeight="1" s="295">
      <c r="A5" s="192" t="inlineStr">
        <is>
          <t>Наименование разрабатываемого показателя УНЦ</t>
        </is>
      </c>
      <c r="B5" s="396" t="n"/>
      <c r="C5" s="357" t="n"/>
      <c r="D5" s="396" t="inlineStr">
        <is>
          <t>ВЧ-присоединение (КС+ФП+РК) на ЛЭП 35 кВ</t>
        </is>
      </c>
    </row>
    <row r="6" ht="12.75" customFormat="1" customHeight="1" s="295">
      <c r="A6" s="357" t="inlineStr">
        <is>
          <t>Единица измерения  — 1 ед</t>
        </is>
      </c>
      <c r="I6" s="375" t="n"/>
      <c r="J6" s="375" t="n"/>
    </row>
    <row r="7" ht="13.5" customFormat="1" customHeight="1" s="295">
      <c r="A7" s="357" t="n"/>
      <c r="I7" s="299" t="n"/>
      <c r="J7" s="299" t="n"/>
    </row>
    <row r="8" ht="13.15" customFormat="1" customHeight="1" s="295">
      <c r="B8" s="1" t="n"/>
      <c r="C8" s="376" t="n"/>
      <c r="D8" s="1" t="n"/>
      <c r="E8" s="1" t="n"/>
      <c r="F8" s="299" t="n"/>
      <c r="G8" s="299" t="n"/>
      <c r="H8" s="299" t="n"/>
      <c r="I8" s="299" t="n"/>
      <c r="J8" s="299" t="n"/>
    </row>
    <row r="9" ht="27" customHeight="1" s="307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4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49" t="n"/>
      <c r="K9" s="305" t="n"/>
      <c r="L9" s="305" t="n"/>
      <c r="M9" s="305" t="n"/>
      <c r="N9" s="305" t="n"/>
    </row>
    <row r="10" ht="28.5" customHeight="1" s="307">
      <c r="A10" s="451" t="n"/>
      <c r="B10" s="451" t="n"/>
      <c r="C10" s="451" t="n"/>
      <c r="D10" s="451" t="n"/>
      <c r="E10" s="451" t="n"/>
      <c r="F10" s="384" t="inlineStr">
        <is>
          <t>на ед. изм.</t>
        </is>
      </c>
      <c r="G10" s="384" t="inlineStr">
        <is>
          <t>общая</t>
        </is>
      </c>
      <c r="H10" s="451" t="n"/>
      <c r="I10" s="384" t="inlineStr">
        <is>
          <t>на ед. изм.</t>
        </is>
      </c>
      <c r="J10" s="384" t="inlineStr">
        <is>
          <t>общая</t>
        </is>
      </c>
      <c r="K10" s="305" t="n"/>
      <c r="L10" s="305" t="n"/>
      <c r="M10" s="305" t="n"/>
      <c r="N10" s="305" t="n"/>
    </row>
    <row r="11" s="307">
      <c r="A11" s="384" t="n">
        <v>1</v>
      </c>
      <c r="B11" s="384" t="n">
        <v>2</v>
      </c>
      <c r="C11" s="383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8" t="n">
        <v>9</v>
      </c>
      <c r="J11" s="378" t="n">
        <v>10</v>
      </c>
      <c r="K11" s="305" t="n"/>
      <c r="L11" s="305" t="n"/>
      <c r="M11" s="305" t="n"/>
      <c r="N11" s="305" t="n"/>
    </row>
    <row r="12">
      <c r="A12" s="384" t="n"/>
      <c r="B12" s="382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54" t="n"/>
      <c r="J12" s="254" t="n"/>
    </row>
    <row r="13" ht="25.5" customHeight="1" s="307">
      <c r="A13" s="384" t="n">
        <v>1</v>
      </c>
      <c r="B13" s="190" t="inlineStr">
        <is>
          <t>1-3-5</t>
        </is>
      </c>
      <c r="C13" s="383" t="inlineStr">
        <is>
          <t>Затраты труда рабочих-строителей среднего разряда (3,5)</t>
        </is>
      </c>
      <c r="D13" s="384" t="inlineStr">
        <is>
          <t>чел.-ч.</t>
        </is>
      </c>
      <c r="E13" s="457">
        <f>G13/F13</f>
        <v/>
      </c>
      <c r="F13" s="187" t="n">
        <v>9.07</v>
      </c>
      <c r="G13" s="187">
        <f>Прил.3!H12</f>
        <v/>
      </c>
      <c r="H13" s="287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5">
      <c r="A14" s="384" t="n"/>
      <c r="B14" s="384" t="n"/>
      <c r="C14" s="382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57">
        <f>SUM(E13:E13)</f>
        <v/>
      </c>
      <c r="F14" s="187" t="n"/>
      <c r="G14" s="187">
        <f>SUM(G13:G13)</f>
        <v/>
      </c>
      <c r="H14" s="387" t="n">
        <v>1</v>
      </c>
      <c r="I14" s="254" t="n"/>
      <c r="J14" s="187">
        <f>SUM(J13:J13)</f>
        <v/>
      </c>
    </row>
    <row r="15" ht="14.25" customFormat="1" customHeight="1" s="305">
      <c r="A15" s="384" t="n"/>
      <c r="B15" s="383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54" t="n"/>
      <c r="J15" s="254" t="n"/>
    </row>
    <row r="16" ht="14.25" customFormat="1" customHeight="1" s="305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457" t="n">
        <v>7.2566212</v>
      </c>
      <c r="F16" s="187">
        <f>G16/E16</f>
        <v/>
      </c>
      <c r="G16" s="187">
        <f>Прил.3!H24</f>
        <v/>
      </c>
      <c r="H16" s="387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5">
      <c r="A17" s="384" t="n"/>
      <c r="B17" s="382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54" t="n"/>
      <c r="J17" s="254" t="n"/>
    </row>
    <row r="18" ht="14.25" customFormat="1" customHeight="1" s="305">
      <c r="A18" s="384" t="n"/>
      <c r="B18" s="377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55" t="n"/>
      <c r="J18" s="255" t="n"/>
    </row>
    <row r="19" ht="25.5" customFormat="1" customHeight="1" s="305">
      <c r="A19" s="393" t="n">
        <v>3</v>
      </c>
      <c r="B19" s="279" t="inlineStr">
        <is>
          <t>91.05.05-015</t>
        </is>
      </c>
      <c r="C19" s="280" t="inlineStr">
        <is>
          <t>Краны на автомобильном ходу, грузоподъемность 16 т</t>
        </is>
      </c>
      <c r="D19" s="279" t="inlineStr">
        <is>
          <t>маш.-ч.</t>
        </is>
      </c>
      <c r="E19" s="460" t="n">
        <v>3.0569512</v>
      </c>
      <c r="F19" s="280" t="n">
        <v>115.4</v>
      </c>
      <c r="G19" s="386">
        <f>ROUND(E19*F19,2)</f>
        <v/>
      </c>
      <c r="H19" s="287">
        <f>G19/$G$40</f>
        <v/>
      </c>
      <c r="I19" s="278">
        <f>ROUND(F19*Прил.10!$D$12,2)</f>
        <v/>
      </c>
      <c r="J19" s="278">
        <f>ROUND(I19*E19,2)</f>
        <v/>
      </c>
    </row>
    <row r="20" ht="25.5" customFormat="1" customHeight="1" s="305">
      <c r="A20" s="393" t="n">
        <v>4</v>
      </c>
      <c r="B20" s="279" t="inlineStr">
        <is>
          <t>91.14.03-002</t>
        </is>
      </c>
      <c r="C20" s="280" t="inlineStr">
        <is>
          <t>Автомобили-самосвалы, грузоподъемность до 10 т</t>
        </is>
      </c>
      <c r="D20" s="279" t="inlineStr">
        <is>
          <t>маш.-ч.</t>
        </is>
      </c>
      <c r="E20" s="460" t="n">
        <v>2.05</v>
      </c>
      <c r="F20" s="280" t="n">
        <v>87.48999999999999</v>
      </c>
      <c r="G20" s="386">
        <f>ROUND(E20*F20,2)</f>
        <v/>
      </c>
      <c r="H20" s="287">
        <f>G20/$G$40</f>
        <v/>
      </c>
      <c r="I20" s="278">
        <f>ROUND(F20*Прил.10!$D$12,2)</f>
        <v/>
      </c>
      <c r="J20" s="278">
        <f>ROUND(I20*E20,2)</f>
        <v/>
      </c>
      <c r="L20" s="26" t="n"/>
    </row>
    <row r="21" ht="25.5" customFormat="1" customHeight="1" s="305">
      <c r="A21" s="393" t="n">
        <v>5</v>
      </c>
      <c r="B21" s="279" t="inlineStr">
        <is>
          <t>91.01.05-085</t>
        </is>
      </c>
      <c r="C21" s="280" t="inlineStr">
        <is>
          <t>Экскаваторы одноковшовые дизельные на гусеничном ходу, емкость ковша 0,5 м3</t>
        </is>
      </c>
      <c r="D21" s="279" t="inlineStr">
        <is>
          <t>маш.-ч.</t>
        </is>
      </c>
      <c r="E21" s="460" t="n">
        <v>1.2162</v>
      </c>
      <c r="F21" s="280" t="n">
        <v>100</v>
      </c>
      <c r="G21" s="386">
        <f>ROUND(E21*F21,2)</f>
        <v/>
      </c>
      <c r="H21" s="287">
        <f>G21/$G$40</f>
        <v/>
      </c>
      <c r="I21" s="278">
        <f>ROUND(F21*Прил.10!$D$12,2)</f>
        <v/>
      </c>
      <c r="J21" s="278">
        <f>ROUND(I21*E21,2)</f>
        <v/>
      </c>
    </row>
    <row r="22" ht="25.5" customFormat="1" customHeight="1" s="305">
      <c r="A22" s="393" t="n">
        <v>6</v>
      </c>
      <c r="B22" s="279" t="inlineStr">
        <is>
          <t>91.14.02-001</t>
        </is>
      </c>
      <c r="C22" s="280" t="inlineStr">
        <is>
          <t>Автомобили бортовые, грузоподъемность до 5 т</t>
        </is>
      </c>
      <c r="D22" s="279" t="inlineStr">
        <is>
          <t>маш.-ч.</t>
        </is>
      </c>
      <c r="E22" s="460" t="n">
        <v>1.3168644</v>
      </c>
      <c r="F22" s="280" t="n">
        <v>65.7</v>
      </c>
      <c r="G22" s="386">
        <f>ROUND(E22*F22,2)</f>
        <v/>
      </c>
      <c r="H22" s="287">
        <f>G22/$G$40</f>
        <v/>
      </c>
      <c r="I22" s="278">
        <f>ROUND(F22*Прил.10!$D$12,2)</f>
        <v/>
      </c>
      <c r="J22" s="278">
        <f>ROUND(I22*E22,2)</f>
        <v/>
      </c>
    </row>
    <row r="23" ht="51" customFormat="1" customHeight="1" s="305">
      <c r="A23" s="393" t="n">
        <v>7</v>
      </c>
      <c r="B23" s="279" t="inlineStr">
        <is>
          <t>91.18.01-007</t>
        </is>
      </c>
      <c r="C23" s="2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79" t="inlineStr">
        <is>
          <t>маш.-ч.</t>
        </is>
      </c>
      <c r="E23" s="460" t="n">
        <v>0.679104</v>
      </c>
      <c r="F23" s="280" t="n">
        <v>90</v>
      </c>
      <c r="G23" s="386">
        <f>ROUND(E23*F23,2)</f>
        <v/>
      </c>
      <c r="H23" s="287">
        <f>G23/$G$40</f>
        <v/>
      </c>
      <c r="I23" s="278">
        <f>ROUND(F23*Прил.10!$D$12,2)</f>
        <v/>
      </c>
      <c r="J23" s="278">
        <f>ROUND(I23*E23,2)</f>
        <v/>
      </c>
    </row>
    <row r="24" ht="25.5" customFormat="1" customHeight="1" s="305">
      <c r="A24" s="393" t="n">
        <v>8</v>
      </c>
      <c r="B24" s="279" t="inlineStr">
        <is>
          <t>91.05.06-012</t>
        </is>
      </c>
      <c r="C24" s="280" t="inlineStr">
        <is>
          <t>Краны на гусеничном ходу, грузоподъемность до 16 т</t>
        </is>
      </c>
      <c r="D24" s="279" t="inlineStr">
        <is>
          <t>маш.-ч.</t>
        </is>
      </c>
      <c r="E24" s="460" t="n">
        <v>0.615328</v>
      </c>
      <c r="F24" s="280" t="n">
        <v>96.89</v>
      </c>
      <c r="G24" s="386">
        <f>ROUND(E24*F24,2)</f>
        <v/>
      </c>
      <c r="H24" s="287">
        <f>G24/$G$40</f>
        <v/>
      </c>
      <c r="I24" s="278">
        <f>ROUND(F24*Прил.10!$D$12,2)</f>
        <v/>
      </c>
      <c r="J24" s="278">
        <f>ROUND(I24*E24,2)</f>
        <v/>
      </c>
    </row>
    <row r="25" ht="14.25" customFormat="1" customHeight="1" s="305">
      <c r="A25" s="395" t="n"/>
      <c r="B25" s="395" t="n"/>
      <c r="C25" s="240" t="inlineStr">
        <is>
          <t>Итого основные машины и механизмы</t>
        </is>
      </c>
      <c r="D25" s="395" t="n"/>
      <c r="E25" s="461" t="n"/>
      <c r="F25" s="244" t="n"/>
      <c r="G25" s="244">
        <f>SUM(G19:G24)</f>
        <v/>
      </c>
      <c r="H25" s="179">
        <f>G25/G40</f>
        <v/>
      </c>
      <c r="I25" s="180" t="n"/>
      <c r="J25" s="244">
        <f>SUM(J19:J24)</f>
        <v/>
      </c>
    </row>
    <row r="26" outlineLevel="1" ht="25.5" customFormat="1" customHeight="1" s="305">
      <c r="A26" s="384" t="n">
        <v>9</v>
      </c>
      <c r="B26" s="279" t="inlineStr">
        <is>
          <t>91.17.04-233</t>
        </is>
      </c>
      <c r="C26" s="280" t="inlineStr">
        <is>
          <t>Установки для сварки ручной дуговой (постоянного тока)</t>
        </is>
      </c>
      <c r="D26" s="279" t="inlineStr">
        <is>
          <t>маш.-ч.</t>
        </is>
      </c>
      <c r="E26" s="460" t="n">
        <v>5.0258064</v>
      </c>
      <c r="F26" s="280" t="n">
        <v>8.1</v>
      </c>
      <c r="G26" s="187">
        <f>ROUND(E26*F26,2)</f>
        <v/>
      </c>
      <c r="H26" s="287">
        <f>G26/$G$40</f>
        <v/>
      </c>
      <c r="I26" s="187">
        <f>ROUND(F26*Прил.10!$D$12,2)</f>
        <v/>
      </c>
      <c r="J26" s="187">
        <f>ROUND(I26*E26,2)</f>
        <v/>
      </c>
    </row>
    <row r="27" outlineLevel="1" ht="38.25" customFormat="1" customHeight="1" s="305">
      <c r="A27" s="384" t="n">
        <v>10</v>
      </c>
      <c r="B27" s="279" t="inlineStr">
        <is>
          <t>91.06.05-057</t>
        </is>
      </c>
      <c r="C27" s="280" t="inlineStr">
        <is>
          <t>Погрузчики одноковшовые универсальные фронтальные пневмоколесные, грузоподъемность 3 т</t>
        </is>
      </c>
      <c r="D27" s="279" t="inlineStr">
        <is>
          <t>маш.-ч.</t>
        </is>
      </c>
      <c r="E27" s="460" t="n">
        <v>0.175</v>
      </c>
      <c r="F27" s="280" t="n">
        <v>90.45999999999999</v>
      </c>
      <c r="G27" s="187">
        <f>ROUND(E27*F27,2)</f>
        <v/>
      </c>
      <c r="H27" s="287">
        <f>G27/$G$40</f>
        <v/>
      </c>
      <c r="I27" s="187">
        <f>ROUND(F27*Прил.10!$D$12,2)</f>
        <v/>
      </c>
      <c r="J27" s="187">
        <f>ROUND(I27*E27,2)</f>
        <v/>
      </c>
    </row>
    <row r="28" outlineLevel="1" ht="14.25" customFormat="1" customHeight="1" s="305">
      <c r="A28" s="384" t="n">
        <v>11</v>
      </c>
      <c r="B28" s="279" t="inlineStr">
        <is>
          <t>91.05.01-017</t>
        </is>
      </c>
      <c r="C28" s="280" t="inlineStr">
        <is>
          <t>Краны башенные, грузоподъемность 8 т</t>
        </is>
      </c>
      <c r="D28" s="279" t="inlineStr">
        <is>
          <t>маш.-ч.</t>
        </is>
      </c>
      <c r="E28" s="460" t="n">
        <v>0.108</v>
      </c>
      <c r="F28" s="280" t="n">
        <v>86.39</v>
      </c>
      <c r="G28" s="187">
        <f>ROUND(E28*F28,2)</f>
        <v/>
      </c>
      <c r="H28" s="287">
        <f>G28/$G$40</f>
        <v/>
      </c>
      <c r="I28" s="187">
        <f>ROUND(F28*Прил.10!$D$12,2)</f>
        <v/>
      </c>
      <c r="J28" s="187">
        <f>ROUND(I28*E28,2)</f>
        <v/>
      </c>
    </row>
    <row r="29" outlineLevel="1" ht="14.25" customFormat="1" customHeight="1" s="305">
      <c r="A29" s="384" t="n">
        <v>12</v>
      </c>
      <c r="B29" s="279" t="inlineStr">
        <is>
          <t>91.08.04-021</t>
        </is>
      </c>
      <c r="C29" s="280" t="inlineStr">
        <is>
          <t>Котлы битумные передвижные 400 л</t>
        </is>
      </c>
      <c r="D29" s="279" t="inlineStr">
        <is>
          <t>маш.-ч.</t>
        </is>
      </c>
      <c r="E29" s="460" t="n">
        <v>0.28626</v>
      </c>
      <c r="F29" s="280" t="n">
        <v>30.01</v>
      </c>
      <c r="G29" s="187">
        <f>ROUND(E29*F29,2)</f>
        <v/>
      </c>
      <c r="H29" s="287">
        <f>G29/$G$40</f>
        <v/>
      </c>
      <c r="I29" s="187">
        <f>ROUND(F29*Прил.10!$D$12,2)</f>
        <v/>
      </c>
      <c r="J29" s="187">
        <f>ROUND(I29*E29,2)</f>
        <v/>
      </c>
    </row>
    <row r="30" outlineLevel="1" ht="25.5" customFormat="1" customHeight="1" s="305">
      <c r="A30" s="384" t="n">
        <v>13</v>
      </c>
      <c r="B30" s="279" t="inlineStr">
        <is>
          <t>91.06.03-061</t>
        </is>
      </c>
      <c r="C30" s="280" t="inlineStr">
        <is>
          <t>Лебедки электрические тяговым усилием до 12,26 кН (1,25 т)</t>
        </is>
      </c>
      <c r="D30" s="279" t="inlineStr">
        <is>
          <t>маш.-ч.</t>
        </is>
      </c>
      <c r="E30" s="460" t="n">
        <v>2.47</v>
      </c>
      <c r="F30" s="280" t="n">
        <v>3.28</v>
      </c>
      <c r="G30" s="187">
        <f>ROUND(E30*F30,2)</f>
        <v/>
      </c>
      <c r="H30" s="287">
        <f>G30/$G$40</f>
        <v/>
      </c>
      <c r="I30" s="187">
        <f>ROUND(F30*Прил.10!$D$12,2)</f>
        <v/>
      </c>
      <c r="J30" s="187">
        <f>ROUND(I30*E30,2)</f>
        <v/>
      </c>
    </row>
    <row r="31" outlineLevel="1" ht="14.25" customFormat="1" customHeight="1" s="305">
      <c r="A31" s="384" t="n">
        <v>14</v>
      </c>
      <c r="B31" s="279" t="inlineStr">
        <is>
          <t>91.01.01-035</t>
        </is>
      </c>
      <c r="C31" s="280" t="inlineStr">
        <is>
          <t>Бульдозеры, мощность 79 кВт (108 л.с.)</t>
        </is>
      </c>
      <c r="D31" s="279" t="inlineStr">
        <is>
          <t>маш.-ч.</t>
        </is>
      </c>
      <c r="E31" s="460" t="n">
        <v>0.0824256</v>
      </c>
      <c r="F31" s="280" t="n">
        <v>79.09999999999999</v>
      </c>
      <c r="G31" s="187">
        <f>ROUND(E31*F31,2)</f>
        <v/>
      </c>
      <c r="H31" s="287">
        <f>G31/$G$40</f>
        <v/>
      </c>
      <c r="I31" s="187">
        <f>ROUND(F31*Прил.10!$D$12,2)</f>
        <v/>
      </c>
      <c r="J31" s="187">
        <f>ROUND(I31*E31,2)</f>
        <v/>
      </c>
    </row>
    <row r="32" outlineLevel="1" ht="25.5" customFormat="1" customHeight="1" s="305">
      <c r="A32" s="384" t="n">
        <v>15</v>
      </c>
      <c r="B32" s="279" t="inlineStr">
        <is>
          <t>91.08.09-024</t>
        </is>
      </c>
      <c r="C32" s="280" t="inlineStr">
        <is>
          <t>Трамбовки пневматические при работе от стационарного компрессора</t>
        </is>
      </c>
      <c r="D32" s="279" t="inlineStr">
        <is>
          <t>маш.-ч.</t>
        </is>
      </c>
      <c r="E32" s="460" t="n">
        <v>1</v>
      </c>
      <c r="F32" s="280" t="n">
        <v>4.9</v>
      </c>
      <c r="G32" s="187">
        <f>ROUND(E32*F32,2)</f>
        <v/>
      </c>
      <c r="H32" s="287">
        <f>G32/$G$40</f>
        <v/>
      </c>
      <c r="I32" s="187">
        <f>ROUND(F32*Прил.10!$D$12,2)</f>
        <v/>
      </c>
      <c r="J32" s="187">
        <f>ROUND(I32*E32,2)</f>
        <v/>
      </c>
    </row>
    <row r="33" outlineLevel="1" ht="25.5" customFormat="1" customHeight="1" s="305">
      <c r="A33" s="384" t="n">
        <v>16</v>
      </c>
      <c r="B33" s="279" t="inlineStr">
        <is>
          <t>91.06.01-003</t>
        </is>
      </c>
      <c r="C33" s="280" t="inlineStr">
        <is>
          <t>Домкраты гидравлические, грузоподъемность 63-100 т</t>
        </is>
      </c>
      <c r="D33" s="279" t="inlineStr">
        <is>
          <t>маш.-ч.</t>
        </is>
      </c>
      <c r="E33" s="460" t="n">
        <v>2.47</v>
      </c>
      <c r="F33" s="280" t="n">
        <v>0.9</v>
      </c>
      <c r="G33" s="187">
        <f>ROUND(E33*F33,2)</f>
        <v/>
      </c>
      <c r="H33" s="287">
        <f>G33/$G$40</f>
        <v/>
      </c>
      <c r="I33" s="187">
        <f>ROUND(F33*Прил.10!$D$12,2)</f>
        <v/>
      </c>
      <c r="J33" s="187">
        <f>ROUND(I33*E33,2)</f>
        <v/>
      </c>
    </row>
    <row r="34" outlineLevel="1" ht="25.5" customFormat="1" customHeight="1" s="305">
      <c r="A34" s="384" t="n">
        <v>17</v>
      </c>
      <c r="B34" s="279" t="inlineStr">
        <is>
          <t>91.08.09-023</t>
        </is>
      </c>
      <c r="C34" s="280" t="inlineStr">
        <is>
          <t>Трамбовки пневматические при работе от передвижных компрессорных станций</t>
        </is>
      </c>
      <c r="D34" s="279" t="inlineStr">
        <is>
          <t>маш.-ч.</t>
        </is>
      </c>
      <c r="E34" s="460" t="n">
        <v>2.7216</v>
      </c>
      <c r="F34" s="280" t="n">
        <v>0.55</v>
      </c>
      <c r="G34" s="187">
        <f>ROUND(E34*F34,2)</f>
        <v/>
      </c>
      <c r="H34" s="287">
        <f>G34/$G$40</f>
        <v/>
      </c>
      <c r="I34" s="187">
        <f>ROUND(F34*Прил.10!$D$12,2)</f>
        <v/>
      </c>
      <c r="J34" s="187">
        <f>ROUND(I34*E34,2)</f>
        <v/>
      </c>
    </row>
    <row r="35" outlineLevel="1" ht="14.25" customFormat="1" customHeight="1" s="305">
      <c r="A35" s="384" t="n">
        <v>18</v>
      </c>
      <c r="B35" s="279" t="inlineStr">
        <is>
          <t>91.07.04-001</t>
        </is>
      </c>
      <c r="C35" s="280" t="inlineStr">
        <is>
          <t>Вибраторы глубинные</t>
        </is>
      </c>
      <c r="D35" s="279" t="inlineStr">
        <is>
          <t>маш.-ч.</t>
        </is>
      </c>
      <c r="E35" s="460" t="n">
        <v>0.4556</v>
      </c>
      <c r="F35" s="280" t="n">
        <v>1.91</v>
      </c>
      <c r="G35" s="187">
        <f>ROUND(E35*F35,2)</f>
        <v/>
      </c>
      <c r="H35" s="287">
        <f>G35/$G$40</f>
        <v/>
      </c>
      <c r="I35" s="187">
        <f>ROUND(F35*Прил.10!$D$12,2)</f>
        <v/>
      </c>
      <c r="J35" s="187">
        <f>ROUND(I35*E35,2)</f>
        <v/>
      </c>
    </row>
    <row r="36" outlineLevel="1" ht="14.25" customFormat="1" customHeight="1" s="305">
      <c r="A36" s="384" t="n">
        <v>19</v>
      </c>
      <c r="B36" s="279" t="inlineStr">
        <is>
          <t>91.06.05-011</t>
        </is>
      </c>
      <c r="C36" s="280" t="inlineStr">
        <is>
          <t>Погрузчики, грузоподъемность 5 т</t>
        </is>
      </c>
      <c r="D36" s="279" t="inlineStr">
        <is>
          <t>маш.-ч.</t>
        </is>
      </c>
      <c r="E36" s="460" t="n">
        <v>0.006748</v>
      </c>
      <c r="F36" s="280" t="n">
        <v>88.91</v>
      </c>
      <c r="G36" s="187">
        <f>ROUND(E36*F36,2)</f>
        <v/>
      </c>
      <c r="H36" s="287">
        <f>G36/$G$40</f>
        <v/>
      </c>
      <c r="I36" s="187">
        <f>ROUND(F36*Прил.10!$D$12,2)</f>
        <v/>
      </c>
      <c r="J36" s="187">
        <f>ROUND(I36*E36,2)</f>
        <v/>
      </c>
    </row>
    <row r="37" outlineLevel="1" ht="38.25" customFormat="1" customHeight="1" s="305">
      <c r="A37" s="384" t="n">
        <v>20</v>
      </c>
      <c r="B37" s="279" t="inlineStr">
        <is>
          <t>91.21.01-012</t>
        </is>
      </c>
      <c r="C37" s="280" t="inlineStr">
        <is>
          <t>Агрегаты окрасочные высокого давления для окраски поверхностей конструкций, мощность 1 кВт</t>
        </is>
      </c>
      <c r="D37" s="279" t="inlineStr">
        <is>
          <t>маш.-ч.</t>
        </is>
      </c>
      <c r="E37" s="460" t="n">
        <v>0.00708</v>
      </c>
      <c r="F37" s="280" t="n">
        <v>5.65</v>
      </c>
      <c r="G37" s="187">
        <f>ROUND(E37*F37,2)</f>
        <v/>
      </c>
      <c r="H37" s="287">
        <f>G37/$G$40</f>
        <v/>
      </c>
      <c r="I37" s="187">
        <f>ROUND(F37*Прил.10!$D$12,2)</f>
        <v/>
      </c>
      <c r="J37" s="187">
        <f>ROUND(I37*E37,2)</f>
        <v/>
      </c>
    </row>
    <row r="38" outlineLevel="1" ht="14.25" customFormat="1" customHeight="1" s="305">
      <c r="A38" s="384" t="n">
        <v>21</v>
      </c>
      <c r="B38" s="279" t="inlineStr">
        <is>
          <t>91.07.04-002</t>
        </is>
      </c>
      <c r="C38" s="280" t="inlineStr">
        <is>
          <t>Вибраторы поверхностные</t>
        </is>
      </c>
      <c r="D38" s="279" t="inlineStr">
        <is>
          <t>маш.-ч.</t>
        </is>
      </c>
      <c r="E38" s="460" t="n">
        <v>0.06635199999999999</v>
      </c>
      <c r="F38" s="280" t="n">
        <v>0.45</v>
      </c>
      <c r="G38" s="187">
        <f>ROUND(E38*F38,2)</f>
        <v/>
      </c>
      <c r="H38" s="287">
        <f>G38/$G$40</f>
        <v/>
      </c>
      <c r="I38" s="187">
        <f>ROUND(F38*Прил.10!$D$12,2)</f>
        <v/>
      </c>
      <c r="J38" s="187">
        <f>ROUND(I38*E38,2)</f>
        <v/>
      </c>
    </row>
    <row r="39" ht="14.25" customFormat="1" customHeight="1" s="305">
      <c r="A39" s="384" t="n"/>
      <c r="B39" s="384" t="n"/>
      <c r="C39" s="383" t="inlineStr">
        <is>
          <t>Итого прочие машины и механизмы</t>
        </is>
      </c>
      <c r="D39" s="384" t="n"/>
      <c r="E39" s="385" t="n"/>
      <c r="F39" s="187" t="n"/>
      <c r="G39" s="180">
        <f>SUM(G26:G38)</f>
        <v/>
      </c>
      <c r="H39" s="243">
        <f>G39/G40</f>
        <v/>
      </c>
      <c r="I39" s="244" t="n"/>
      <c r="J39" s="244">
        <f>SUM(J26:J38)</f>
        <v/>
      </c>
    </row>
    <row r="40" ht="25.5" customFormat="1" customHeight="1" s="305">
      <c r="A40" s="384" t="n"/>
      <c r="B40" s="384" t="n"/>
      <c r="C40" s="382" t="inlineStr">
        <is>
          <t>Итого по разделу «Машины и механизмы»</t>
        </is>
      </c>
      <c r="D40" s="384" t="n"/>
      <c r="E40" s="385" t="n"/>
      <c r="F40" s="187" t="n"/>
      <c r="G40" s="187">
        <f>G25+G39</f>
        <v/>
      </c>
      <c r="H40" s="179" t="n">
        <v>1</v>
      </c>
      <c r="I40" s="180" t="n"/>
      <c r="J40" s="244">
        <f>J39+J25</f>
        <v/>
      </c>
    </row>
    <row r="41" ht="14.25" customFormat="1" customHeight="1" s="305">
      <c r="A41" s="384" t="n"/>
      <c r="B41" s="382" t="inlineStr">
        <is>
          <t>Оборудование</t>
        </is>
      </c>
      <c r="C41" s="448" t="n"/>
      <c r="D41" s="448" t="n"/>
      <c r="E41" s="448" t="n"/>
      <c r="F41" s="448" t="n"/>
      <c r="G41" s="448" t="n"/>
      <c r="H41" s="449" t="n"/>
      <c r="I41" s="254" t="n"/>
      <c r="J41" s="254" t="n"/>
    </row>
    <row r="42" ht="25.5" customHeight="1" s="307">
      <c r="A42" s="384" t="n">
        <v>22</v>
      </c>
      <c r="B42" s="384" t="inlineStr">
        <is>
          <t>БЦ.41.14</t>
        </is>
      </c>
      <c r="C42" s="398" t="inlineStr">
        <is>
          <t>Конденсатор связи 35 кВ СМ 66кВ 4400 пФ</t>
        </is>
      </c>
      <c r="D42" s="384" t="inlineStr">
        <is>
          <t>шт</t>
        </is>
      </c>
      <c r="E42" s="462" t="n">
        <v>3</v>
      </c>
      <c r="F42" s="386">
        <f>ROUND(I42/Прил.10!$D$14,2)</f>
        <v/>
      </c>
      <c r="G42" s="286">
        <f>ROUND(E42*F42,2)</f>
        <v/>
      </c>
      <c r="H42" s="287">
        <f>G42/$G$44</f>
        <v/>
      </c>
      <c r="I42" s="278" t="n">
        <v>210000</v>
      </c>
      <c r="J42" s="278">
        <f>ROUND(I42*E42,2)</f>
        <v/>
      </c>
      <c r="K42" s="305" t="n"/>
      <c r="L42" s="305" t="n"/>
    </row>
    <row r="43">
      <c r="A43" s="384" t="n">
        <v>23</v>
      </c>
      <c r="B43" s="384" t="inlineStr">
        <is>
          <t>БЦ.45.11</t>
        </is>
      </c>
      <c r="C43" s="398" t="inlineStr">
        <is>
          <t xml:space="preserve">Фильтр присоединения 35 кВ </t>
        </is>
      </c>
      <c r="D43" s="384" t="inlineStr">
        <is>
          <t>шт</t>
        </is>
      </c>
      <c r="E43" s="462" t="n">
        <v>3</v>
      </c>
      <c r="F43" s="386">
        <f>ROUND(I43/Прил.10!$D$14,2)</f>
        <v/>
      </c>
      <c r="G43" s="286">
        <f>ROUND(E43*F43,2)</f>
        <v/>
      </c>
      <c r="H43" s="287">
        <f>G43/$G$44</f>
        <v/>
      </c>
      <c r="I43" s="278" t="n">
        <v>89800</v>
      </c>
      <c r="J43" s="278">
        <f>ROUND(I43*E43,2)</f>
        <v/>
      </c>
      <c r="K43" s="305" t="n"/>
      <c r="L43" s="305" t="n"/>
    </row>
    <row r="44">
      <c r="A44" s="384" t="n"/>
      <c r="B44" s="384" t="n"/>
      <c r="C44" s="382" t="inlineStr">
        <is>
          <t>Итого по разделу «Оборудование»</t>
        </is>
      </c>
      <c r="D44" s="384" t="n"/>
      <c r="E44" s="385" t="n"/>
      <c r="F44" s="386" t="n"/>
      <c r="G44" s="187">
        <f>G42+G43</f>
        <v/>
      </c>
      <c r="H44" s="287">
        <f>G44/$G$44</f>
        <v/>
      </c>
      <c r="I44" s="183" t="n"/>
      <c r="J44" s="187">
        <f>J42+J43</f>
        <v/>
      </c>
      <c r="K44" s="305" t="n"/>
      <c r="L44" s="305" t="n"/>
    </row>
    <row r="45" ht="25.5" customHeight="1" s="307">
      <c r="A45" s="384" t="n"/>
      <c r="B45" s="384" t="n"/>
      <c r="C45" s="383" t="inlineStr">
        <is>
          <t>в том числе технологическое оборудование</t>
        </is>
      </c>
      <c r="D45" s="384" t="n"/>
      <c r="E45" s="463" t="n"/>
      <c r="F45" s="386" t="n"/>
      <c r="G45" s="187">
        <f>'Прил.6 Расчет ОБ'!G14</f>
        <v/>
      </c>
      <c r="H45" s="387" t="n"/>
      <c r="I45" s="183" t="n"/>
      <c r="J45" s="187">
        <f>ROUND(G45*Прил.10!D14,2)</f>
        <v/>
      </c>
      <c r="K45" s="305" t="n"/>
      <c r="L45" s="305" t="n"/>
    </row>
    <row r="46" ht="14.25" customFormat="1" customHeight="1" s="305">
      <c r="A46" s="384" t="n"/>
      <c r="B46" s="382" t="inlineStr">
        <is>
          <t>Материалы</t>
        </is>
      </c>
      <c r="C46" s="448" t="n"/>
      <c r="D46" s="448" t="n"/>
      <c r="E46" s="448" t="n"/>
      <c r="F46" s="448" t="n"/>
      <c r="G46" s="448" t="n"/>
      <c r="H46" s="449" t="n"/>
      <c r="I46" s="254" t="n"/>
      <c r="J46" s="254" t="n"/>
    </row>
    <row r="47" ht="14.25" customFormat="1" customHeight="1" s="305">
      <c r="A47" s="384" t="n"/>
      <c r="B47" s="377" t="inlineStr">
        <is>
          <t>Основные материалы</t>
        </is>
      </c>
      <c r="C47" s="458" t="n"/>
      <c r="D47" s="458" t="n"/>
      <c r="E47" s="458" t="n"/>
      <c r="F47" s="458" t="n"/>
      <c r="G47" s="458" t="n"/>
      <c r="H47" s="459" t="n"/>
      <c r="I47" s="255" t="n"/>
      <c r="J47" s="255" t="n"/>
    </row>
    <row r="48" ht="25.5" customFormat="1" customHeight="1" s="305">
      <c r="A48" s="384" t="n">
        <v>24</v>
      </c>
      <c r="B48" s="279" t="inlineStr">
        <is>
          <t>04.1.02.05-0046</t>
        </is>
      </c>
      <c r="C48" s="280" t="inlineStr">
        <is>
          <t>Бетон тяжелый, крупность заполнителя 20 мм, класс В25 (М350)</t>
        </is>
      </c>
      <c r="D48" s="279" t="inlineStr">
        <is>
          <t>м3</t>
        </is>
      </c>
      <c r="E48" s="460" t="n">
        <v>2.7202</v>
      </c>
      <c r="F48" s="280" t="n">
        <v>720</v>
      </c>
      <c r="G48" s="259">
        <f>ROUND(E48*F48,2)</f>
        <v/>
      </c>
      <c r="H48" s="287">
        <f>G48/$G$97</f>
        <v/>
      </c>
      <c r="I48" s="187">
        <f>ROUND(F48*Прил.10!$D$13,2)</f>
        <v/>
      </c>
      <c r="J48" s="187">
        <f>ROUND(I48*E48,2)</f>
        <v/>
      </c>
    </row>
    <row r="49" ht="25.5" customFormat="1" customHeight="1" s="305">
      <c r="A49" s="384" t="n">
        <v>25</v>
      </c>
      <c r="B49" s="279" t="inlineStr">
        <is>
          <t>21.1.03.02-0003</t>
        </is>
      </c>
      <c r="C49" s="280" t="inlineStr">
        <is>
          <t>Кабель коаксиальный радиочастотный РК 75-9-13</t>
        </is>
      </c>
      <c r="D49" s="279" t="inlineStr">
        <is>
          <t>1000 м</t>
        </is>
      </c>
      <c r="E49" s="460" t="n">
        <v>0.15</v>
      </c>
      <c r="F49" s="280" t="n">
        <v>9110.530000000001</v>
      </c>
      <c r="G49" s="259">
        <f>ROUND(E49*F49,2)</f>
        <v/>
      </c>
      <c r="H49" s="287">
        <f>G49/$G$97</f>
        <v/>
      </c>
      <c r="I49" s="187">
        <f>ROUND(F49*Прил.10!$D$13,2)</f>
        <v/>
      </c>
      <c r="J49" s="187">
        <f>ROUND(I49*E49,2)</f>
        <v/>
      </c>
    </row>
    <row r="50" ht="51" customFormat="1" customHeight="1" s="305">
      <c r="A50" s="384" t="n">
        <v>26</v>
      </c>
      <c r="B50" s="279" t="inlineStr">
        <is>
          <t>04.3.02.04-0316</t>
        </is>
      </c>
      <c r="C50" s="280" t="inlineStr">
        <is>
          <t>Смесь сухая безусадочная быстротвердеющая EMACO FAST TIXO тиксотропного типа (расход смеси 2000 кг на 1 м3)</t>
        </is>
      </c>
      <c r="D50" s="279" t="inlineStr">
        <is>
          <t>кг</t>
        </is>
      </c>
      <c r="E50" s="460" t="n">
        <v>80</v>
      </c>
      <c r="F50" s="280" t="n">
        <v>11.35</v>
      </c>
      <c r="G50" s="259">
        <f>ROUND(E50*F50,2)</f>
        <v/>
      </c>
      <c r="H50" s="287">
        <f>G50/$G$97</f>
        <v/>
      </c>
      <c r="I50" s="187">
        <f>ROUND(F50*Прил.10!$D$13,2)</f>
        <v/>
      </c>
      <c r="J50" s="187">
        <f>ROUND(I50*E50,2)</f>
        <v/>
      </c>
    </row>
    <row r="51" ht="25.5" customFormat="1" customHeight="1" s="305">
      <c r="A51" s="384" t="n">
        <v>27</v>
      </c>
      <c r="B51" s="279" t="inlineStr">
        <is>
          <t>08.4.03.03-0004</t>
        </is>
      </c>
      <c r="C51" s="280" t="inlineStr">
        <is>
          <t>Горячекатанная арматурная сталь класса А500 С, диаметром 12 мм</t>
        </is>
      </c>
      <c r="D51" s="279" t="inlineStr">
        <is>
          <t>т</t>
        </is>
      </c>
      <c r="E51" s="460" t="n">
        <v>0.1208</v>
      </c>
      <c r="F51" s="280" t="n">
        <v>5584.6</v>
      </c>
      <c r="G51" s="259">
        <f>ROUND(E51*F51,2)</f>
        <v/>
      </c>
      <c r="H51" s="287">
        <f>G51/$G$97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5">
      <c r="A52" s="384" t="n">
        <v>28</v>
      </c>
      <c r="B52" s="279" t="inlineStr">
        <is>
          <t>04.1.02.05-0041</t>
        </is>
      </c>
      <c r="C52" s="280" t="inlineStr">
        <is>
          <t>Бетон тяжелый, крупность заполнителя 20 мм, класс В10 (М150)</t>
        </is>
      </c>
      <c r="D52" s="279" t="inlineStr">
        <is>
          <t>м3</t>
        </is>
      </c>
      <c r="E52" s="460" t="n">
        <v>0.612</v>
      </c>
      <c r="F52" s="280" t="n">
        <v>542.24</v>
      </c>
      <c r="G52" s="259">
        <f>ROUND(E52*F52,2)</f>
        <v/>
      </c>
      <c r="H52" s="287">
        <f>G52/$G$97</f>
        <v/>
      </c>
      <c r="I52" s="187">
        <f>ROUND(F52*Прил.10!$D$13,2)</f>
        <v/>
      </c>
      <c r="J52" s="187">
        <f>ROUND(I52*E52,2)</f>
        <v/>
      </c>
    </row>
    <row r="53" ht="25.5" customFormat="1" customHeight="1" s="305">
      <c r="A53" s="384" t="n">
        <v>29</v>
      </c>
      <c r="B53" s="279" t="inlineStr">
        <is>
          <t>08.4.01.01-0022</t>
        </is>
      </c>
      <c r="C53" s="280" t="inlineStr">
        <is>
          <t>Детали анкерные с резьбой из прямых или гнутых круглых стержней</t>
        </is>
      </c>
      <c r="D53" s="279" t="inlineStr">
        <is>
          <t>т</t>
        </is>
      </c>
      <c r="E53" s="460" t="n">
        <v>0.02736</v>
      </c>
      <c r="F53" s="280" t="n">
        <v>10100.15</v>
      </c>
      <c r="G53" s="259">
        <f>ROUND(E53*F53,2)</f>
        <v/>
      </c>
      <c r="H53" s="287">
        <f>G53/$G$97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5">
      <c r="A54" s="384" t="n">
        <v>30</v>
      </c>
      <c r="B54" s="279" t="inlineStr">
        <is>
          <t>02.2.05.04-1777</t>
        </is>
      </c>
      <c r="C54" s="280" t="inlineStr">
        <is>
          <t>Щебень М 800, фракция 20-40 мм, группа 2</t>
        </is>
      </c>
      <c r="D54" s="279" t="inlineStr">
        <is>
          <t>м3</t>
        </is>
      </c>
      <c r="E54" s="460" t="n">
        <v>2.5</v>
      </c>
      <c r="F54" s="280" t="n">
        <v>108.4</v>
      </c>
      <c r="G54" s="259">
        <f>ROUND(E54*F54,2)</f>
        <v/>
      </c>
      <c r="H54" s="287">
        <f>G54/$G$97</f>
        <v/>
      </c>
      <c r="I54" s="187">
        <f>ROUND(F54*Прил.10!$D$13,2)</f>
        <v/>
      </c>
      <c r="J54" s="187">
        <f>ROUND(I54*E54,2)</f>
        <v/>
      </c>
    </row>
    <row r="55" ht="14.25" customFormat="1" customHeight="1" s="305">
      <c r="A55" s="384" t="n"/>
      <c r="B55" s="194" t="n"/>
      <c r="C55" s="240" t="inlineStr">
        <is>
          <t>Итого основные материалы</t>
        </is>
      </c>
      <c r="D55" s="395" t="n"/>
      <c r="E55" s="461" t="n"/>
      <c r="F55" s="244" t="n"/>
      <c r="G55" s="244">
        <f>SUM(G48:G54)</f>
        <v/>
      </c>
      <c r="H55" s="287">
        <f>G55/$G$97</f>
        <v/>
      </c>
      <c r="I55" s="187" t="n"/>
      <c r="J55" s="244">
        <f>SUM(J48:J54)</f>
        <v/>
      </c>
    </row>
    <row r="56" outlineLevel="1" ht="25.5" customFormat="1" customHeight="1" s="305">
      <c r="A56" s="239" t="n">
        <v>31</v>
      </c>
      <c r="B56" s="279" t="inlineStr">
        <is>
          <t>01.2.03.03-0103</t>
        </is>
      </c>
      <c r="C56" s="280" t="inlineStr">
        <is>
          <t>Мастика гидроизоляционная холодная ТЕХНОНИКОЛЬ №24 (МГТН)</t>
        </is>
      </c>
      <c r="D56" s="279" t="inlineStr">
        <is>
          <t>кг</t>
        </is>
      </c>
      <c r="E56" s="460" t="n">
        <v>29.4</v>
      </c>
      <c r="F56" s="280" t="n">
        <v>9.15</v>
      </c>
      <c r="G56" s="259">
        <f>ROUND(E56*F56,2)</f>
        <v/>
      </c>
      <c r="H56" s="287">
        <f>G56/$G$97</f>
        <v/>
      </c>
      <c r="I56" s="187">
        <f>ROUND(F56*Прил.10!$D$13,2)</f>
        <v/>
      </c>
      <c r="J56" s="187">
        <f>ROUND(I56*E56,2)</f>
        <v/>
      </c>
    </row>
    <row r="57" outlineLevel="1" ht="25.5" customFormat="1" customHeight="1" s="305">
      <c r="A57" s="384" t="n">
        <v>32</v>
      </c>
      <c r="B57" s="279" t="inlineStr">
        <is>
          <t>02.2.05.04-1577</t>
        </is>
      </c>
      <c r="C57" s="280" t="inlineStr">
        <is>
          <t>Щебень М 800, фракция 5(3)-10 мм, группа 2</t>
        </is>
      </c>
      <c r="D57" s="279" t="inlineStr">
        <is>
          <t>м3</t>
        </is>
      </c>
      <c r="E57" s="460" t="n">
        <v>0.76</v>
      </c>
      <c r="F57" s="280" t="n">
        <v>155.93</v>
      </c>
      <c r="G57" s="259">
        <f>ROUND(E57*F57,2)</f>
        <v/>
      </c>
      <c r="H57" s="287">
        <f>G57/$G$97</f>
        <v/>
      </c>
      <c r="I57" s="187">
        <f>ROUND(F57*Прил.10!$D$13,2)</f>
        <v/>
      </c>
      <c r="J57" s="187">
        <f>ROUND(I57*E57,2)</f>
        <v/>
      </c>
    </row>
    <row r="58" outlineLevel="1" ht="25.5" customFormat="1" customHeight="1" s="305">
      <c r="A58" s="239" t="n">
        <v>33</v>
      </c>
      <c r="B58" s="279" t="inlineStr">
        <is>
          <t>08.4.03.02-0001</t>
        </is>
      </c>
      <c r="C58" s="280" t="inlineStr">
        <is>
          <t>Горячекатаная арматурная сталь гладкая класса А-I, диаметром 6 мм</t>
        </is>
      </c>
      <c r="D58" s="279" t="inlineStr">
        <is>
          <t>т</t>
        </is>
      </c>
      <c r="E58" s="460" t="n">
        <v>0.012</v>
      </c>
      <c r="F58" s="280" t="n">
        <v>7419.17</v>
      </c>
      <c r="G58" s="259">
        <f>ROUND(E58*F58,2)</f>
        <v/>
      </c>
      <c r="H58" s="287">
        <f>G58/$G$97</f>
        <v/>
      </c>
      <c r="I58" s="187">
        <f>ROUND(F58*Прил.10!$D$13,2)</f>
        <v/>
      </c>
      <c r="J58" s="187">
        <f>ROUND(I58*E58,2)</f>
        <v/>
      </c>
    </row>
    <row r="59" outlineLevel="1" ht="14.25" customFormat="1" customHeight="1" s="305">
      <c r="A59" s="384" t="n">
        <v>34</v>
      </c>
      <c r="B59" s="279" t="inlineStr">
        <is>
          <t>01.7.15.03-0042</t>
        </is>
      </c>
      <c r="C59" s="280" t="inlineStr">
        <is>
          <t>Болты с гайками и шайбами строительные</t>
        </is>
      </c>
      <c r="D59" s="279" t="inlineStr">
        <is>
          <t>кг</t>
        </is>
      </c>
      <c r="E59" s="460" t="n">
        <v>6.664</v>
      </c>
      <c r="F59" s="280" t="n">
        <v>9.039999999999999</v>
      </c>
      <c r="G59" s="259">
        <f>ROUND(E59*F59,2)</f>
        <v/>
      </c>
      <c r="H59" s="287">
        <f>G59/$G$97</f>
        <v/>
      </c>
      <c r="I59" s="187">
        <f>ROUND(F59*Прил.10!$D$13,2)</f>
        <v/>
      </c>
      <c r="J59" s="187">
        <f>ROUND(I59*E59,2)</f>
        <v/>
      </c>
    </row>
    <row r="60" outlineLevel="1" ht="25.5" customFormat="1" customHeight="1" s="305">
      <c r="A60" s="239" t="n">
        <v>35</v>
      </c>
      <c r="B60" s="279" t="inlineStr">
        <is>
          <t>08.4.03.03-0002</t>
        </is>
      </c>
      <c r="C60" s="280" t="inlineStr">
        <is>
          <t>Горячекатанная арматурная сталь класса А500 С, диаметром 8 мм</t>
        </is>
      </c>
      <c r="D60" s="279" t="inlineStr">
        <is>
          <t>т</t>
        </is>
      </c>
      <c r="E60" s="460" t="n">
        <v>0.009599999999999999</v>
      </c>
      <c r="F60" s="280" t="n">
        <v>6213.54</v>
      </c>
      <c r="G60" s="259">
        <f>ROUND(E60*F60,2)</f>
        <v/>
      </c>
      <c r="H60" s="287">
        <f>G60/$G$97</f>
        <v/>
      </c>
      <c r="I60" s="187">
        <f>ROUND(F60*Прил.10!$D$13,2)</f>
        <v/>
      </c>
      <c r="J60" s="187">
        <f>ROUND(I60*E60,2)</f>
        <v/>
      </c>
    </row>
    <row r="61" outlineLevel="1" ht="14.25" customFormat="1" customHeight="1" s="305">
      <c r="A61" s="384" t="n">
        <v>36</v>
      </c>
      <c r="B61" s="279" t="inlineStr">
        <is>
          <t>11.2.13.04-0011</t>
        </is>
      </c>
      <c r="C61" s="280" t="inlineStr">
        <is>
          <t>Щиты из досок, толщина 25 мм</t>
        </is>
      </c>
      <c r="D61" s="279" t="inlineStr">
        <is>
          <t>м2</t>
        </is>
      </c>
      <c r="E61" s="460" t="n">
        <v>1.3266</v>
      </c>
      <c r="F61" s="280" t="n">
        <v>35.53</v>
      </c>
      <c r="G61" s="259">
        <f>ROUND(E61*F61,2)</f>
        <v/>
      </c>
      <c r="H61" s="287">
        <f>G61/$G$97</f>
        <v/>
      </c>
      <c r="I61" s="187">
        <f>ROUND(F61*Прил.10!$D$13,2)</f>
        <v/>
      </c>
      <c r="J61" s="187">
        <f>ROUND(I61*E61,2)</f>
        <v/>
      </c>
    </row>
    <row r="62" outlineLevel="1" ht="14.25" customFormat="1" customHeight="1" s="305">
      <c r="A62" s="239" t="n">
        <v>37</v>
      </c>
      <c r="B62" s="279" t="inlineStr">
        <is>
          <t>01.2.03.05-0011</t>
        </is>
      </c>
      <c r="C62" s="280" t="inlineStr">
        <is>
          <t>Праймер битумный ТЕХНОНИКОЛЬ №01</t>
        </is>
      </c>
      <c r="D62" s="279" t="inlineStr">
        <is>
          <t>л</t>
        </is>
      </c>
      <c r="E62" s="460" t="n">
        <v>5.2</v>
      </c>
      <c r="F62" s="280" t="n">
        <v>8.44</v>
      </c>
      <c r="G62" s="259">
        <f>ROUND(E62*F62,2)</f>
        <v/>
      </c>
      <c r="H62" s="287">
        <f>G62/$G$97</f>
        <v/>
      </c>
      <c r="I62" s="187">
        <f>ROUND(F62*Прил.10!$D$13,2)</f>
        <v/>
      </c>
      <c r="J62" s="187">
        <f>ROUND(I62*E62,2)</f>
        <v/>
      </c>
    </row>
    <row r="63" outlineLevel="1" ht="25.5" customFormat="1" customHeight="1" s="305">
      <c r="A63" s="384" t="n">
        <v>38</v>
      </c>
      <c r="B63" s="279" t="inlineStr">
        <is>
          <t>10.3.02.03-0011</t>
        </is>
      </c>
      <c r="C63" s="280" t="inlineStr">
        <is>
          <t>Припои оловянно-свинцовые бессурьмянистые, марка ПОС30</t>
        </is>
      </c>
      <c r="D63" s="279" t="inlineStr">
        <is>
          <t>т</t>
        </is>
      </c>
      <c r="E63" s="460" t="n">
        <v>0.00063</v>
      </c>
      <c r="F63" s="280" t="n">
        <v>68063.49000000001</v>
      </c>
      <c r="G63" s="259">
        <f>ROUND(E63*F63,2)</f>
        <v/>
      </c>
      <c r="H63" s="287">
        <f>G63/$G$97</f>
        <v/>
      </c>
      <c r="I63" s="187">
        <f>ROUND(F63*Прил.10!$D$13,2)</f>
        <v/>
      </c>
      <c r="J63" s="187">
        <f>ROUND(I63*E63,2)</f>
        <v/>
      </c>
    </row>
    <row r="64" outlineLevel="1" ht="14.25" customFormat="1" customHeight="1" s="305">
      <c r="A64" s="239" t="n">
        <v>39</v>
      </c>
      <c r="B64" s="279" t="inlineStr">
        <is>
          <t>01.7.15.07-0031</t>
        </is>
      </c>
      <c r="C64" s="280" t="inlineStr">
        <is>
          <t>Дюбели распорные с гайкой</t>
        </is>
      </c>
      <c r="D64" s="279" t="inlineStr">
        <is>
          <t>100 шт</t>
        </is>
      </c>
      <c r="E64" s="460" t="n">
        <v>0.192</v>
      </c>
      <c r="F64" s="280" t="n">
        <v>110</v>
      </c>
      <c r="G64" s="259">
        <f>ROUND(E64*F64,2)</f>
        <v/>
      </c>
      <c r="H64" s="287">
        <f>G64/$G$97</f>
        <v/>
      </c>
      <c r="I64" s="187">
        <f>ROUND(F64*Прил.10!$D$13,2)</f>
        <v/>
      </c>
      <c r="J64" s="187">
        <f>ROUND(I64*E64,2)</f>
        <v/>
      </c>
    </row>
    <row r="65" outlineLevel="1" ht="38.25" customFormat="1" customHeight="1" s="305">
      <c r="A65" s="384" t="n">
        <v>40</v>
      </c>
      <c r="B65" s="279" t="inlineStr">
        <is>
          <t>03.2.01.01-0003</t>
        </is>
      </c>
      <c r="C65" s="280" t="inlineStr">
        <is>
          <t>Портландцемент общестроительного назначения бездобавочный М500 Д0 (ЦЕМ I 42,5Н)</t>
        </is>
      </c>
      <c r="D65" s="279" t="inlineStr">
        <is>
          <t>т</t>
        </is>
      </c>
      <c r="E65" s="460" t="n">
        <v>0.0432</v>
      </c>
      <c r="F65" s="280" t="n">
        <v>480.09</v>
      </c>
      <c r="G65" s="259">
        <f>ROUND(E65*F65,2)</f>
        <v/>
      </c>
      <c r="H65" s="287">
        <f>G65/$G$97</f>
        <v/>
      </c>
      <c r="I65" s="187">
        <f>ROUND(F65*Прил.10!$D$13,2)</f>
        <v/>
      </c>
      <c r="J65" s="187">
        <f>ROUND(I65*E65,2)</f>
        <v/>
      </c>
    </row>
    <row r="66" outlineLevel="1" ht="38.25" customFormat="1" customHeight="1" s="305">
      <c r="A66" s="239" t="n">
        <v>41</v>
      </c>
      <c r="B66" s="279" t="inlineStr">
        <is>
          <t>11.1.03.06-0095</t>
        </is>
      </c>
      <c r="C66" s="280" t="inlineStr">
        <is>
          <t>Доска обрезная, хвойных пород, ширина 75-150 мм, толщина 44 мм и более, длина 4-6,5 м, сорт III</t>
        </is>
      </c>
      <c r="D66" s="279" t="inlineStr">
        <is>
          <t>м3</t>
        </is>
      </c>
      <c r="E66" s="460" t="n">
        <v>0.018982</v>
      </c>
      <c r="F66" s="280" t="n">
        <v>1055.73</v>
      </c>
      <c r="G66" s="259">
        <f>ROUND(E66*F66,2)</f>
        <v/>
      </c>
      <c r="H66" s="287">
        <f>G66/$G$97</f>
        <v/>
      </c>
      <c r="I66" s="187">
        <f>ROUND(F66*Прил.10!$D$13,2)</f>
        <v/>
      </c>
      <c r="J66" s="187">
        <f>ROUND(I66*E66,2)</f>
        <v/>
      </c>
    </row>
    <row r="67" outlineLevel="1" ht="14.25" customFormat="1" customHeight="1" s="305">
      <c r="A67" s="384" t="n">
        <v>42</v>
      </c>
      <c r="B67" s="279" t="inlineStr">
        <is>
          <t>01.7.20.08-0102</t>
        </is>
      </c>
      <c r="C67" s="280" t="inlineStr">
        <is>
          <t>Миткаль суровый</t>
        </is>
      </c>
      <c r="D67" s="279" t="inlineStr">
        <is>
          <t>10 м</t>
        </is>
      </c>
      <c r="E67" s="460" t="n">
        <v>0.26</v>
      </c>
      <c r="F67" s="280" t="n">
        <v>73.65000000000001</v>
      </c>
      <c r="G67" s="259">
        <f>ROUND(E67*F67,2)</f>
        <v/>
      </c>
      <c r="H67" s="287">
        <f>G67/$G$97</f>
        <v/>
      </c>
      <c r="I67" s="187">
        <f>ROUND(F67*Прил.10!$D$13,2)</f>
        <v/>
      </c>
      <c r="J67" s="187">
        <f>ROUND(I67*E67,2)</f>
        <v/>
      </c>
    </row>
    <row r="68" outlineLevel="1" ht="25.5" customFormat="1" customHeight="1" s="305">
      <c r="A68" s="239" t="n">
        <v>43</v>
      </c>
      <c r="B68" s="279" t="inlineStr">
        <is>
          <t>01.7.11.07-0034</t>
        </is>
      </c>
      <c r="C68" s="280" t="inlineStr">
        <is>
          <t>Электроды сварочные Э42А, диаметр 4 мм</t>
        </is>
      </c>
      <c r="D68" s="279" t="inlineStr">
        <is>
          <t>кг</t>
        </is>
      </c>
      <c r="E68" s="460" t="n">
        <v>1.808</v>
      </c>
      <c r="F68" s="280" t="n">
        <v>10.57</v>
      </c>
      <c r="G68" s="259">
        <f>ROUND(E68*F68,2)</f>
        <v/>
      </c>
      <c r="H68" s="287">
        <f>G68/$G$97</f>
        <v/>
      </c>
      <c r="I68" s="187">
        <f>ROUND(F68*Прил.10!$D$13,2)</f>
        <v/>
      </c>
      <c r="J68" s="187">
        <f>ROUND(I68*E68,2)</f>
        <v/>
      </c>
    </row>
    <row r="69" outlineLevel="1" ht="14.25" customFormat="1" customHeight="1" s="305">
      <c r="A69" s="384" t="n">
        <v>44</v>
      </c>
      <c r="B69" s="279" t="inlineStr">
        <is>
          <t>07.2.07.13-0171</t>
        </is>
      </c>
      <c r="C69" s="280" t="inlineStr">
        <is>
          <t>Подкладки металлические</t>
        </is>
      </c>
      <c r="D69" s="279" t="inlineStr">
        <is>
          <t>кг</t>
        </is>
      </c>
      <c r="E69" s="460" t="n">
        <v>1</v>
      </c>
      <c r="F69" s="280" t="n">
        <v>12.6</v>
      </c>
      <c r="G69" s="259">
        <f>ROUND(E69*F69,2)</f>
        <v/>
      </c>
      <c r="H69" s="287">
        <f>G69/$G$97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5">
      <c r="A70" s="239" t="n">
        <v>45</v>
      </c>
      <c r="B70" s="279" t="inlineStr">
        <is>
          <t>01.7.15.06-0111</t>
        </is>
      </c>
      <c r="C70" s="280" t="inlineStr">
        <is>
          <t>Гвозди строительные</t>
        </is>
      </c>
      <c r="D70" s="279" t="inlineStr">
        <is>
          <t>т</t>
        </is>
      </c>
      <c r="E70" s="460" t="n">
        <v>0.001021</v>
      </c>
      <c r="F70" s="280" t="n">
        <v>11978.46</v>
      </c>
      <c r="G70" s="259">
        <f>ROUND(E70*F70,2)</f>
        <v/>
      </c>
      <c r="H70" s="287">
        <f>G70/$G$97</f>
        <v/>
      </c>
      <c r="I70" s="187">
        <f>ROUND(F70*Прил.10!$D$13,2)</f>
        <v/>
      </c>
      <c r="J70" s="187">
        <f>ROUND(I70*E70,2)</f>
        <v/>
      </c>
    </row>
    <row r="71" outlineLevel="1" ht="38.25" customFormat="1" customHeight="1" s="305">
      <c r="A71" s="384" t="n">
        <v>46</v>
      </c>
      <c r="B71" s="279" t="inlineStr">
        <is>
          <t>11.1.02.04-0031</t>
        </is>
      </c>
      <c r="C71" s="280" t="inlineStr">
        <is>
          <t>Лесоматериалы круглые, хвойных пород, для строительства, диаметр 14-24 см, длина 3-6,5 м</t>
        </is>
      </c>
      <c r="D71" s="279" t="inlineStr">
        <is>
          <t>м3</t>
        </is>
      </c>
      <c r="E71" s="460" t="n">
        <v>0.018492</v>
      </c>
      <c r="F71" s="280" t="n">
        <v>558.08</v>
      </c>
      <c r="G71" s="259">
        <f>ROUND(E71*F71,2)</f>
        <v/>
      </c>
      <c r="H71" s="287">
        <f>G71/$G$97</f>
        <v/>
      </c>
      <c r="I71" s="187">
        <f>ROUND(F71*Прил.10!$D$13,2)</f>
        <v/>
      </c>
      <c r="J71" s="187">
        <f>ROUND(I71*E71,2)</f>
        <v/>
      </c>
    </row>
    <row r="72" outlineLevel="1" ht="38.25" customFormat="1" customHeight="1" s="305">
      <c r="A72" s="239" t="n">
        <v>47</v>
      </c>
      <c r="B72" s="279" t="inlineStr">
        <is>
          <t>11.1.03.05-0089</t>
        </is>
      </c>
      <c r="C72" s="280" t="inlineStr">
        <is>
          <t>Доска необрезная, хвойных пород, длина 4-6,5 м, ширина 75-150 мм, толщина 16 мм, сорт III</t>
        </is>
      </c>
      <c r="D72" s="279" t="inlineStr">
        <is>
          <t>м3</t>
        </is>
      </c>
      <c r="E72" s="460" t="n">
        <v>0.008</v>
      </c>
      <c r="F72" s="280" t="n">
        <v>1250</v>
      </c>
      <c r="G72" s="259">
        <f>ROUND(E72*F72,2)</f>
        <v/>
      </c>
      <c r="H72" s="287">
        <f>G72/$G$97</f>
        <v/>
      </c>
      <c r="I72" s="187">
        <f>ROUND(F72*Прил.10!$D$13,2)</f>
        <v/>
      </c>
      <c r="J72" s="187">
        <f>ROUND(I72*E72,2)</f>
        <v/>
      </c>
    </row>
    <row r="73" outlineLevel="1" ht="14.25" customFormat="1" customHeight="1" s="305">
      <c r="A73" s="384" t="n">
        <v>48</v>
      </c>
      <c r="B73" s="279" t="inlineStr">
        <is>
          <t>01.3.01.03-0002</t>
        </is>
      </c>
      <c r="C73" s="280" t="inlineStr">
        <is>
          <t>Керосин для технических целей</t>
        </is>
      </c>
      <c r="D73" s="279" t="inlineStr">
        <is>
          <t>т</t>
        </is>
      </c>
      <c r="E73" s="460" t="n">
        <v>0.0035232</v>
      </c>
      <c r="F73" s="280" t="n">
        <v>2608.42</v>
      </c>
      <c r="G73" s="259">
        <f>ROUND(E73*F73,2)</f>
        <v/>
      </c>
      <c r="H73" s="287">
        <f>G73/$G$97</f>
        <v/>
      </c>
      <c r="I73" s="187">
        <f>ROUND(F73*Прил.10!$D$13,2)</f>
        <v/>
      </c>
      <c r="J73" s="187">
        <f>ROUND(I73*E73,2)</f>
        <v/>
      </c>
    </row>
    <row r="74" outlineLevel="1" ht="25.5" customFormat="1" customHeight="1" s="305">
      <c r="A74" s="239" t="n">
        <v>49</v>
      </c>
      <c r="B74" s="279" t="inlineStr">
        <is>
          <t>14.4.02.09-0301</t>
        </is>
      </c>
      <c r="C74" s="280" t="inlineStr">
        <is>
          <t>Композиция антикоррозионная цинкнаполненная</t>
        </is>
      </c>
      <c r="D74" s="279" t="inlineStr">
        <is>
          <t>кг</t>
        </is>
      </c>
      <c r="E74" s="460" t="n">
        <v>0.036</v>
      </c>
      <c r="F74" s="280" t="n">
        <v>238.61</v>
      </c>
      <c r="G74" s="259">
        <f>ROUND(E74*F74,2)</f>
        <v/>
      </c>
      <c r="H74" s="287">
        <f>G74/$G$97</f>
        <v/>
      </c>
      <c r="I74" s="187">
        <f>ROUND(F74*Прил.10!$D$13,2)</f>
        <v/>
      </c>
      <c r="J74" s="187">
        <f>ROUND(I74*E74,2)</f>
        <v/>
      </c>
    </row>
    <row r="75" outlineLevel="1" ht="14.25" customFormat="1" customHeight="1" s="305">
      <c r="A75" s="384" t="n">
        <v>50</v>
      </c>
      <c r="B75" s="279" t="inlineStr">
        <is>
          <t>14.4.02.09-0001</t>
        </is>
      </c>
      <c r="C75" s="280" t="inlineStr">
        <is>
          <t>Краска</t>
        </is>
      </c>
      <c r="D75" s="279" t="inlineStr">
        <is>
          <t>кг</t>
        </is>
      </c>
      <c r="E75" s="460" t="n">
        <v>0.3</v>
      </c>
      <c r="F75" s="280" t="n">
        <v>28.6</v>
      </c>
      <c r="G75" s="259">
        <f>ROUND(E75*F75,2)</f>
        <v/>
      </c>
      <c r="H75" s="287">
        <f>G75/$G$97</f>
        <v/>
      </c>
      <c r="I75" s="187">
        <f>ROUND(F75*Прил.10!$D$13,2)</f>
        <v/>
      </c>
      <c r="J75" s="187">
        <f>ROUND(I75*E75,2)</f>
        <v/>
      </c>
    </row>
    <row r="76" outlineLevel="1" ht="25.5" customFormat="1" customHeight="1" s="305">
      <c r="A76" s="239" t="n">
        <v>51</v>
      </c>
      <c r="B76" s="279" t="inlineStr">
        <is>
          <t>999-9950</t>
        </is>
      </c>
      <c r="C76" s="280" t="inlineStr">
        <is>
          <t>Вспомогательные ненормируемые материальные ресурсы</t>
        </is>
      </c>
      <c r="D76" s="279" t="inlineStr">
        <is>
          <t>руб</t>
        </is>
      </c>
      <c r="E76" s="460" t="n">
        <v>7.519564</v>
      </c>
      <c r="F76" s="280" t="n">
        <v>1</v>
      </c>
      <c r="G76" s="259">
        <f>ROUND(E76*F76,2)</f>
        <v/>
      </c>
      <c r="H76" s="287">
        <f>G76/$G$97</f>
        <v/>
      </c>
      <c r="I76" s="187">
        <f>ROUND(F76*Прил.10!$D$13,2)</f>
        <v/>
      </c>
      <c r="J76" s="187">
        <f>ROUND(I76*E76,2)</f>
        <v/>
      </c>
    </row>
    <row r="77" outlineLevel="1" ht="14.25" customFormat="1" customHeight="1" s="305">
      <c r="A77" s="384" t="n">
        <v>52</v>
      </c>
      <c r="B77" s="279" t="inlineStr">
        <is>
          <t>01.7.06.07-0002</t>
        </is>
      </c>
      <c r="C77" s="280" t="inlineStr">
        <is>
          <t>Лента монтажная, тип ЛМ-5</t>
        </is>
      </c>
      <c r="D77" s="279" t="inlineStr">
        <is>
          <t>10 м</t>
        </is>
      </c>
      <c r="E77" s="460" t="n">
        <v>1.0825</v>
      </c>
      <c r="F77" s="280" t="n">
        <v>6.9</v>
      </c>
      <c r="G77" s="259">
        <f>ROUND(E77*F77,2)</f>
        <v/>
      </c>
      <c r="H77" s="287">
        <f>G77/$G$97</f>
        <v/>
      </c>
      <c r="I77" s="187">
        <f>ROUND(F77*Прил.10!$D$13,2)</f>
        <v/>
      </c>
      <c r="J77" s="187">
        <f>ROUND(I77*E77,2)</f>
        <v/>
      </c>
    </row>
    <row r="78" outlineLevel="1" ht="38.25" customFormat="1" customHeight="1" s="305">
      <c r="A78" s="239" t="n">
        <v>53</v>
      </c>
      <c r="B78" s="279" t="inlineStr">
        <is>
          <t>11.1.03.06-0087</t>
        </is>
      </c>
      <c r="C78" s="280" t="inlineStr">
        <is>
          <t>Доска обрезная, хвойных пород, ширина 75-150 мм, толщина 25 мм, длина 4-6,5 м, сорт III</t>
        </is>
      </c>
      <c r="D78" s="279" t="inlineStr">
        <is>
          <t>м3</t>
        </is>
      </c>
      <c r="E78" s="460" t="n">
        <v>0.006536</v>
      </c>
      <c r="F78" s="280" t="n">
        <v>1101.59</v>
      </c>
      <c r="G78" s="259">
        <f>ROUND(E78*F78,2)</f>
        <v/>
      </c>
      <c r="H78" s="287">
        <f>G78/$G$97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5">
      <c r="A79" s="384" t="n">
        <v>54</v>
      </c>
      <c r="B79" s="279" t="inlineStr">
        <is>
          <t>01.7.07.12-0024</t>
        </is>
      </c>
      <c r="C79" s="280" t="inlineStr">
        <is>
          <t>Пленка полиэтиленовая, толщина 0,15 мм</t>
        </is>
      </c>
      <c r="D79" s="279" t="inlineStr">
        <is>
          <t>м2</t>
        </is>
      </c>
      <c r="E79" s="460" t="n">
        <v>1.77068</v>
      </c>
      <c r="F79" s="280" t="n">
        <v>3.62</v>
      </c>
      <c r="G79" s="259">
        <f>ROUND(E79*F79,2)</f>
        <v/>
      </c>
      <c r="H79" s="287">
        <f>G79/$G$97</f>
        <v/>
      </c>
      <c r="I79" s="187">
        <f>ROUND(F79*Прил.10!$D$13,2)</f>
        <v/>
      </c>
      <c r="J79" s="187">
        <f>ROUND(I79*E79,2)</f>
        <v/>
      </c>
    </row>
    <row r="80" outlineLevel="1" ht="51" customFormat="1" customHeight="1" s="305">
      <c r="A80" s="239" t="n">
        <v>55</v>
      </c>
      <c r="B80" s="279" t="inlineStr">
        <is>
          <t>01.3.01.06-0023</t>
        </is>
      </c>
      <c r="C80" s="280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80" s="279" t="inlineStr">
        <is>
          <t>т</t>
        </is>
      </c>
      <c r="E80" s="460" t="n">
        <v>0.0003</v>
      </c>
      <c r="F80" s="280" t="n">
        <v>20600</v>
      </c>
      <c r="G80" s="259">
        <f>ROUND(E80*F80,2)</f>
        <v/>
      </c>
      <c r="H80" s="287">
        <f>G80/$G$97</f>
        <v/>
      </c>
      <c r="I80" s="187">
        <f>ROUND(F80*Прил.10!$D$13,2)</f>
        <v/>
      </c>
      <c r="J80" s="187">
        <f>ROUND(I80*E80,2)</f>
        <v/>
      </c>
    </row>
    <row r="81" outlineLevel="1" ht="14.25" customFormat="1" customHeight="1" s="305">
      <c r="A81" s="384" t="n">
        <v>56</v>
      </c>
      <c r="B81" s="279" t="inlineStr">
        <is>
          <t>01.3.01.01-0001</t>
        </is>
      </c>
      <c r="C81" s="280" t="inlineStr">
        <is>
          <t>Бензин авиационный Б-70</t>
        </is>
      </c>
      <c r="D81" s="279" t="inlineStr">
        <is>
          <t>т</t>
        </is>
      </c>
      <c r="E81" s="460" t="n">
        <v>0.0013</v>
      </c>
      <c r="F81" s="280" t="n">
        <v>4484.62</v>
      </c>
      <c r="G81" s="259">
        <f>ROUND(E81*F81,2)</f>
        <v/>
      </c>
      <c r="H81" s="287">
        <f>G81/$G$97</f>
        <v/>
      </c>
      <c r="I81" s="187">
        <f>ROUND(F81*Прил.10!$D$13,2)</f>
        <v/>
      </c>
      <c r="J81" s="187">
        <f>ROUND(I81*E81,2)</f>
        <v/>
      </c>
    </row>
    <row r="82" outlineLevel="1" ht="14.25" customFormat="1" customHeight="1" s="305">
      <c r="A82" s="239" t="n">
        <v>57</v>
      </c>
      <c r="B82" s="279" t="inlineStr">
        <is>
          <t>01.7.17.11-0001</t>
        </is>
      </c>
      <c r="C82" s="280" t="inlineStr">
        <is>
          <t>Бумага шлифовальная</t>
        </is>
      </c>
      <c r="D82" s="279" t="inlineStr">
        <is>
          <t>кг</t>
        </is>
      </c>
      <c r="E82" s="460" t="n">
        <v>0.1</v>
      </c>
      <c r="F82" s="280" t="n">
        <v>50</v>
      </c>
      <c r="G82" s="259">
        <f>ROUND(E82*F82,2)</f>
        <v/>
      </c>
      <c r="H82" s="287">
        <f>G82/$G$97</f>
        <v/>
      </c>
      <c r="I82" s="187">
        <f>ROUND(F82*Прил.10!$D$13,2)</f>
        <v/>
      </c>
      <c r="J82" s="187">
        <f>ROUND(I82*E82,2)</f>
        <v/>
      </c>
    </row>
    <row r="83" outlineLevel="1" ht="25.5" customFormat="1" customHeight="1" s="305">
      <c r="A83" s="384" t="n">
        <v>58</v>
      </c>
      <c r="B83" s="279" t="inlineStr">
        <is>
          <t>08.3.03.06-0002</t>
        </is>
      </c>
      <c r="C83" s="280" t="inlineStr">
        <is>
          <t>Проволока горячекатаная в мотках, диаметр 6,3-6,5 мм</t>
        </is>
      </c>
      <c r="D83" s="279" t="inlineStr">
        <is>
          <t>т</t>
        </is>
      </c>
      <c r="E83" s="460" t="n">
        <v>0.001072</v>
      </c>
      <c r="F83" s="280" t="n">
        <v>4458.96</v>
      </c>
      <c r="G83" s="259">
        <f>ROUND(E83*F83,2)</f>
        <v/>
      </c>
      <c r="H83" s="287">
        <f>G83/$G$97</f>
        <v/>
      </c>
      <c r="I83" s="187">
        <f>ROUND(F83*Прил.10!$D$13,2)</f>
        <v/>
      </c>
      <c r="J83" s="187">
        <f>ROUND(I83*E83,2)</f>
        <v/>
      </c>
    </row>
    <row r="84" outlineLevel="1" ht="14.25" customFormat="1" customHeight="1" s="305">
      <c r="A84" s="239" t="n">
        <v>59</v>
      </c>
      <c r="B84" s="279" t="inlineStr">
        <is>
          <t>14.4.03.03-0002</t>
        </is>
      </c>
      <c r="C84" s="280" t="inlineStr">
        <is>
          <t>Лак битумный БТ-123</t>
        </is>
      </c>
      <c r="D84" s="279" t="inlineStr">
        <is>
          <t>т</t>
        </is>
      </c>
      <c r="E84" s="460" t="n">
        <v>0.00042</v>
      </c>
      <c r="F84" s="280" t="n">
        <v>7833.33</v>
      </c>
      <c r="G84" s="259">
        <f>ROUND(E84*F84,2)</f>
        <v/>
      </c>
      <c r="H84" s="287">
        <f>G84/$G$97</f>
        <v/>
      </c>
      <c r="I84" s="187">
        <f>ROUND(F84*Прил.10!$D$13,2)</f>
        <v/>
      </c>
      <c r="J84" s="187">
        <f>ROUND(I84*E84,2)</f>
        <v/>
      </c>
    </row>
    <row r="85" outlineLevel="1" ht="38.25" customFormat="1" customHeight="1" s="305">
      <c r="A85" s="384" t="n">
        <v>60</v>
      </c>
      <c r="B85" s="279" t="inlineStr">
        <is>
          <t>11.1.03.01-0079</t>
        </is>
      </c>
      <c r="C85" s="280" t="inlineStr">
        <is>
          <t>Бруски обрезные, хвойных пород, длина 4-6,5 м, ширина 75-150 мм, толщина 40-75 мм, сорт III</t>
        </is>
      </c>
      <c r="D85" s="279" t="inlineStr">
        <is>
          <t>м3</t>
        </is>
      </c>
      <c r="E85" s="460" t="n">
        <v>0.002144</v>
      </c>
      <c r="F85" s="280" t="n">
        <v>1287.31</v>
      </c>
      <c r="G85" s="259">
        <f>ROUND(E85*F85,2)</f>
        <v/>
      </c>
      <c r="H85" s="287">
        <f>G85/$G$97</f>
        <v/>
      </c>
      <c r="I85" s="187">
        <f>ROUND(F85*Прил.10!$D$13,2)</f>
        <v/>
      </c>
      <c r="J85" s="187">
        <f>ROUND(I85*E85,2)</f>
        <v/>
      </c>
    </row>
    <row r="86" outlineLevel="1" ht="25.5" customFormat="1" customHeight="1" s="305">
      <c r="A86" s="239" t="n">
        <v>61</v>
      </c>
      <c r="B86" s="279" t="inlineStr">
        <is>
          <t>14.2.01.05-0001</t>
        </is>
      </c>
      <c r="C86" s="280" t="inlineStr">
        <is>
          <t>Композиция на основе термопластичных полимеров</t>
        </is>
      </c>
      <c r="D86" s="279" t="inlineStr">
        <is>
          <t>кг</t>
        </is>
      </c>
      <c r="E86" s="460" t="n">
        <v>0.045</v>
      </c>
      <c r="F86" s="280" t="n">
        <v>54.89</v>
      </c>
      <c r="G86" s="259">
        <f>ROUND(E86*F86,2)</f>
        <v/>
      </c>
      <c r="H86" s="287">
        <f>G86/$G$97</f>
        <v/>
      </c>
      <c r="I86" s="187">
        <f>ROUND(F86*Прил.10!$D$13,2)</f>
        <v/>
      </c>
      <c r="J86" s="187">
        <f>ROUND(I86*E86,2)</f>
        <v/>
      </c>
    </row>
    <row r="87" outlineLevel="1" ht="25.5" customFormat="1" customHeight="1" s="305">
      <c r="A87" s="384" t="n">
        <v>62</v>
      </c>
      <c r="B87" s="279" t="inlineStr">
        <is>
          <t>02.3.01.02-1012</t>
        </is>
      </c>
      <c r="C87" s="280" t="inlineStr">
        <is>
          <t>Песок природный II класс, средний, круглые сита</t>
        </is>
      </c>
      <c r="D87" s="279" t="inlineStr">
        <is>
          <t>м3</t>
        </is>
      </c>
      <c r="E87" s="460" t="n">
        <v>0.036</v>
      </c>
      <c r="F87" s="280" t="n">
        <v>60</v>
      </c>
      <c r="G87" s="259">
        <f>ROUND(E87*F87,2)</f>
        <v/>
      </c>
      <c r="H87" s="287">
        <f>G87/$G$97</f>
        <v/>
      </c>
      <c r="I87" s="187">
        <f>ROUND(F87*Прил.10!$D$13,2)</f>
        <v/>
      </c>
      <c r="J87" s="187">
        <f>ROUND(I87*E87,2)</f>
        <v/>
      </c>
    </row>
    <row r="88" outlineLevel="1" ht="14.25" customFormat="1" customHeight="1" s="305">
      <c r="A88" s="239" t="n">
        <v>63</v>
      </c>
      <c r="B88" s="279" t="inlineStr">
        <is>
          <t>01.7.03.01-0001</t>
        </is>
      </c>
      <c r="C88" s="280" t="inlineStr">
        <is>
          <t>Вода</t>
        </is>
      </c>
      <c r="D88" s="279" t="inlineStr">
        <is>
          <t>м3</t>
        </is>
      </c>
      <c r="E88" s="460" t="n">
        <v>0.4642116</v>
      </c>
      <c r="F88" s="280" t="n">
        <v>2.48</v>
      </c>
      <c r="G88" s="259">
        <f>ROUND(E88*F88,2)</f>
        <v/>
      </c>
      <c r="H88" s="287">
        <f>G88/$G$97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5">
      <c r="A89" s="384" t="n">
        <v>64</v>
      </c>
      <c r="B89" s="279" t="inlineStr">
        <is>
          <t>01.7.11.07-0054</t>
        </is>
      </c>
      <c r="C89" s="280" t="inlineStr">
        <is>
          <t>Электроды сварочные Э42, диаметр 6 мм</t>
        </is>
      </c>
      <c r="D89" s="279" t="inlineStr">
        <is>
          <t>т</t>
        </is>
      </c>
      <c r="E89" s="460" t="n">
        <v>0.0001072</v>
      </c>
      <c r="F89" s="280" t="n">
        <v>9421.639999999999</v>
      </c>
      <c r="G89" s="259">
        <f>ROUND(E89*F89,2)</f>
        <v/>
      </c>
      <c r="H89" s="287">
        <f>G89/$G$97</f>
        <v/>
      </c>
      <c r="I89" s="187">
        <f>ROUND(F89*Прил.10!$D$13,2)</f>
        <v/>
      </c>
      <c r="J89" s="187">
        <f>ROUND(I89*E89,2)</f>
        <v/>
      </c>
    </row>
    <row r="90" outlineLevel="1" ht="25.5" customFormat="1" customHeight="1" s="305">
      <c r="A90" s="239" t="n">
        <v>65</v>
      </c>
      <c r="B90" s="279" t="inlineStr">
        <is>
          <t>03.1.02.03-0011</t>
        </is>
      </c>
      <c r="C90" s="280" t="inlineStr">
        <is>
          <t>Известь строительная негашеная комовая, сорт I</t>
        </is>
      </c>
      <c r="D90" s="279" t="inlineStr">
        <is>
          <t>т</t>
        </is>
      </c>
      <c r="E90" s="460" t="n">
        <v>0.0012328</v>
      </c>
      <c r="F90" s="280" t="n">
        <v>738.16</v>
      </c>
      <c r="G90" s="259">
        <f>ROUND(E90*F90,2)</f>
        <v/>
      </c>
      <c r="H90" s="287">
        <f>G90/$G$97</f>
        <v/>
      </c>
      <c r="I90" s="187">
        <f>ROUND(F90*Прил.10!$D$13,2)</f>
        <v/>
      </c>
      <c r="J90" s="187">
        <f>ROUND(I90*E90,2)</f>
        <v/>
      </c>
    </row>
    <row r="91" outlineLevel="1" ht="14.25" customFormat="1" customHeight="1" s="305">
      <c r="A91" s="384" t="n">
        <v>66</v>
      </c>
      <c r="B91" s="279" t="inlineStr">
        <is>
          <t>01.7.15.14-0165</t>
        </is>
      </c>
      <c r="C91" s="280" t="inlineStr">
        <is>
          <t>Шурупы с полукруглой головкой 4x40 мм</t>
        </is>
      </c>
      <c r="D91" s="279" t="inlineStr">
        <is>
          <t>т</t>
        </is>
      </c>
      <c r="E91" s="460" t="n">
        <v>5.5e-05</v>
      </c>
      <c r="F91" s="280" t="n">
        <v>12545.45</v>
      </c>
      <c r="G91" s="259">
        <f>ROUND(E91*F91,2)</f>
        <v/>
      </c>
      <c r="H91" s="287">
        <f>G91/$G$97</f>
        <v/>
      </c>
      <c r="I91" s="187">
        <f>ROUND(F91*Прил.10!$D$13,2)</f>
        <v/>
      </c>
      <c r="J91" s="187">
        <f>ROUND(I91*E91,2)</f>
        <v/>
      </c>
    </row>
    <row r="92" outlineLevel="1" ht="14.25" customFormat="1" customHeight="1" s="305">
      <c r="A92" s="239" t="n">
        <v>67</v>
      </c>
      <c r="B92" s="279" t="inlineStr">
        <is>
          <t>01.7.11.07-0032</t>
        </is>
      </c>
      <c r="C92" s="280" t="inlineStr">
        <is>
          <t>Электроды сварочные Э42, диаметр 4 мм</t>
        </is>
      </c>
      <c r="D92" s="279" t="inlineStr">
        <is>
          <t>т</t>
        </is>
      </c>
      <c r="E92" s="460" t="n">
        <v>5.47e-05</v>
      </c>
      <c r="F92" s="280" t="n">
        <v>10237.66</v>
      </c>
      <c r="G92" s="259">
        <f>ROUND(E92*F92,2)</f>
        <v/>
      </c>
      <c r="H92" s="287">
        <f>G92/$G$97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5">
      <c r="A93" s="384" t="n">
        <v>68</v>
      </c>
      <c r="B93" s="279" t="inlineStr">
        <is>
          <t>07.2.07.02-0001</t>
        </is>
      </c>
      <c r="C93" s="280" t="inlineStr">
        <is>
          <t>Кондуктор инвентарный металлический</t>
        </is>
      </c>
      <c r="D93" s="279" t="inlineStr">
        <is>
          <t>шт</t>
        </is>
      </c>
      <c r="E93" s="460" t="n">
        <v>0.0002736</v>
      </c>
      <c r="F93" s="280" t="n">
        <v>328.95</v>
      </c>
      <c r="G93" s="259">
        <f>ROUND(E93*F93,2)</f>
        <v/>
      </c>
      <c r="H93" s="287">
        <f>G93/$G$97</f>
        <v/>
      </c>
      <c r="I93" s="187">
        <f>ROUND(F93*Прил.10!$D$13,2)</f>
        <v/>
      </c>
      <c r="J93" s="187">
        <f>ROUND(I93*E93,2)</f>
        <v/>
      </c>
    </row>
    <row r="94" outlineLevel="1" ht="14.25" customFormat="1" customHeight="1" s="305">
      <c r="A94" s="239" t="n">
        <v>69</v>
      </c>
      <c r="B94" s="279" t="inlineStr">
        <is>
          <t>14.5.09.07-0030</t>
        </is>
      </c>
      <c r="C94" s="280" t="inlineStr">
        <is>
          <t>Растворитель Р-4</t>
        </is>
      </c>
      <c r="D94" s="279" t="inlineStr">
        <is>
          <t>кг</t>
        </is>
      </c>
      <c r="E94" s="460" t="n">
        <v>0.0042</v>
      </c>
      <c r="F94" s="280" t="n">
        <v>9.52</v>
      </c>
      <c r="G94" s="259">
        <f>ROUND(E94*F94,2)</f>
        <v/>
      </c>
      <c r="H94" s="287">
        <f>G94/$G$97</f>
        <v/>
      </c>
      <c r="I94" s="187">
        <f>ROUND(F94*Прил.10!$D$13,2)</f>
        <v/>
      </c>
      <c r="J94" s="187">
        <f>ROUND(I94*E94,2)</f>
        <v/>
      </c>
    </row>
    <row r="95" outlineLevel="1" ht="14.25" customFormat="1" customHeight="1" s="305">
      <c r="A95" s="384" t="n">
        <v>70</v>
      </c>
      <c r="B95" s="279" t="inlineStr">
        <is>
          <t>01.7.20.08-0051</t>
        </is>
      </c>
      <c r="C95" s="280" t="inlineStr">
        <is>
          <t>Ветошь</t>
        </is>
      </c>
      <c r="D95" s="279" t="inlineStr">
        <is>
          <t>кг</t>
        </is>
      </c>
      <c r="E95" s="460" t="n">
        <v>0.01468</v>
      </c>
      <c r="F95" s="280" t="n">
        <v>2.04</v>
      </c>
      <c r="G95" s="259">
        <f>ROUND(E95*F95,2)</f>
        <v/>
      </c>
      <c r="H95" s="287">
        <f>G95/$G$97</f>
        <v/>
      </c>
      <c r="I95" s="187">
        <f>ROUND(F95*Прил.10!$D$13,2)</f>
        <v/>
      </c>
      <c r="J95" s="187">
        <f>ROUND(I95*E95,2)</f>
        <v/>
      </c>
    </row>
    <row r="96" ht="14.25" customFormat="1" customHeight="1" s="305">
      <c r="A96" s="384" t="n"/>
      <c r="B96" s="384" t="n"/>
      <c r="C96" s="383" t="inlineStr">
        <is>
          <t>Итого прочие материалы</t>
        </is>
      </c>
      <c r="D96" s="384" t="n"/>
      <c r="E96" s="385" t="n"/>
      <c r="F96" s="386" t="n"/>
      <c r="G96" s="187">
        <f>SUM(G56:G95)</f>
        <v/>
      </c>
      <c r="H96" s="287">
        <f>G96/$G$97</f>
        <v/>
      </c>
      <c r="I96" s="187" t="n"/>
      <c r="J96" s="187">
        <f>SUM(J56:J95)</f>
        <v/>
      </c>
    </row>
    <row r="97" ht="14.25" customFormat="1" customHeight="1" s="305">
      <c r="A97" s="384" t="n"/>
      <c r="B97" s="384" t="n"/>
      <c r="C97" s="382" t="inlineStr">
        <is>
          <t>Итого по разделу «Материалы»</t>
        </is>
      </c>
      <c r="D97" s="384" t="n"/>
      <c r="E97" s="385" t="n"/>
      <c r="F97" s="386" t="n"/>
      <c r="G97" s="187">
        <f>G55+G96</f>
        <v/>
      </c>
      <c r="H97" s="387">
        <f>G97/$G$97</f>
        <v/>
      </c>
      <c r="I97" s="187" t="n"/>
      <c r="J97" s="187">
        <f>J55+J96</f>
        <v/>
      </c>
    </row>
    <row r="98" ht="14.25" customFormat="1" customHeight="1" s="305">
      <c r="A98" s="384" t="n"/>
      <c r="B98" s="384" t="n"/>
      <c r="C98" s="383" t="inlineStr">
        <is>
          <t>ИТОГО ПО РМ</t>
        </is>
      </c>
      <c r="D98" s="384" t="n"/>
      <c r="E98" s="385" t="n"/>
      <c r="F98" s="386" t="n"/>
      <c r="G98" s="187">
        <f>G14+G40+G97</f>
        <v/>
      </c>
      <c r="H98" s="387" t="n"/>
      <c r="I98" s="187" t="n"/>
      <c r="J98" s="187">
        <f>J14+J40+J97</f>
        <v/>
      </c>
    </row>
    <row r="99" ht="14.25" customFormat="1" customHeight="1" s="305">
      <c r="A99" s="384" t="n"/>
      <c r="B99" s="384" t="n"/>
      <c r="C99" s="383" t="inlineStr">
        <is>
          <t>Накладные расходы</t>
        </is>
      </c>
      <c r="D99" s="250">
        <f>ROUND(G99/(G$16+$G$14),2)</f>
        <v/>
      </c>
      <c r="E99" s="385" t="n"/>
      <c r="F99" s="386" t="n"/>
      <c r="G99" s="187" t="n">
        <v>764.64</v>
      </c>
      <c r="H99" s="387" t="n"/>
      <c r="I99" s="187" t="n"/>
      <c r="J99" s="187">
        <f>ROUND(D99*(J14+J16),2)</f>
        <v/>
      </c>
    </row>
    <row r="100" ht="14.25" customFormat="1" customHeight="1" s="305">
      <c r="A100" s="384" t="n"/>
      <c r="B100" s="384" t="n"/>
      <c r="C100" s="383" t="inlineStr">
        <is>
          <t>Сметная прибыль</t>
        </is>
      </c>
      <c r="D100" s="250">
        <f>ROUND(G100/(G$14+G$16),2)</f>
        <v/>
      </c>
      <c r="E100" s="385" t="n"/>
      <c r="F100" s="386" t="n"/>
      <c r="G100" s="187" t="n">
        <v>411.03</v>
      </c>
      <c r="H100" s="387" t="n"/>
      <c r="I100" s="187" t="n"/>
      <c r="J100" s="187">
        <f>ROUND(D100*(J14+J16),2)</f>
        <v/>
      </c>
    </row>
    <row r="101" ht="14.25" customFormat="1" customHeight="1" s="305">
      <c r="A101" s="384" t="n"/>
      <c r="B101" s="384" t="n"/>
      <c r="C101" s="383" t="inlineStr">
        <is>
          <t>Итого СМР (с НР и СП)</t>
        </is>
      </c>
      <c r="D101" s="384" t="n"/>
      <c r="E101" s="385" t="n"/>
      <c r="F101" s="386" t="n"/>
      <c r="G101" s="187">
        <f>G14+G40+G97+G99+G100</f>
        <v/>
      </c>
      <c r="H101" s="387" t="n"/>
      <c r="I101" s="187" t="n"/>
      <c r="J101" s="187">
        <f>J14+J40+J97+J99+J100</f>
        <v/>
      </c>
    </row>
    <row r="102" ht="14.25" customFormat="1" customHeight="1" s="305">
      <c r="A102" s="384" t="n"/>
      <c r="B102" s="384" t="n"/>
      <c r="C102" s="383" t="inlineStr">
        <is>
          <t>ВСЕГО СМР + ОБОРУДОВАНИЕ</t>
        </is>
      </c>
      <c r="D102" s="384" t="n"/>
      <c r="E102" s="385" t="n"/>
      <c r="F102" s="386" t="n"/>
      <c r="G102" s="187">
        <f>G101+G44</f>
        <v/>
      </c>
      <c r="H102" s="387" t="n"/>
      <c r="I102" s="187" t="n"/>
      <c r="J102" s="187">
        <f>J101+J44</f>
        <v/>
      </c>
    </row>
    <row r="103" ht="34.5" customFormat="1" customHeight="1" s="305">
      <c r="A103" s="384" t="n"/>
      <c r="B103" s="384" t="n"/>
      <c r="C103" s="383" t="inlineStr">
        <is>
          <t>ИТОГО ПОКАЗАТЕЛЬ НА ЕД. ИЗМ.</t>
        </is>
      </c>
      <c r="D103" s="384" t="inlineStr">
        <is>
          <t>ед.</t>
        </is>
      </c>
      <c r="E103" s="464" t="n">
        <v>1</v>
      </c>
      <c r="F103" s="386" t="n"/>
      <c r="G103" s="187">
        <f>G102/E103</f>
        <v/>
      </c>
      <c r="H103" s="387" t="n"/>
      <c r="I103" s="187" t="n"/>
      <c r="J103" s="187">
        <f>J102/E103</f>
        <v/>
      </c>
    </row>
    <row r="105" ht="14.25" customFormat="1" customHeight="1" s="305">
      <c r="A105" s="295" t="inlineStr">
        <is>
          <t>Составил ______________________    А.Р. Маркова</t>
        </is>
      </c>
      <c r="B105" s="246" t="n"/>
      <c r="C105" s="249" t="n"/>
      <c r="D105" s="246" t="n"/>
      <c r="E105" s="246" t="n"/>
      <c r="F105" s="253" t="n"/>
      <c r="G105" s="253" t="n"/>
      <c r="H105" s="253" t="n"/>
      <c r="I105" s="253" t="n"/>
      <c r="J105" s="253" t="n"/>
    </row>
    <row r="106" ht="14.25" customFormat="1" customHeight="1" s="305">
      <c r="A106" s="304" t="inlineStr">
        <is>
          <t xml:space="preserve">                         (подпись, инициалы, фамилия)</t>
        </is>
      </c>
      <c r="B106" s="246" t="n"/>
      <c r="C106" s="249" t="n"/>
      <c r="D106" s="246" t="n"/>
      <c r="E106" s="246" t="n"/>
      <c r="F106" s="253" t="n"/>
      <c r="G106" s="253" t="n"/>
      <c r="H106" s="253" t="n"/>
      <c r="I106" s="253" t="n"/>
      <c r="J106" s="253" t="n"/>
    </row>
    <row r="107" ht="14.25" customFormat="1" customHeight="1" s="305">
      <c r="A107" s="295" t="n"/>
      <c r="B107" s="246" t="n"/>
      <c r="C107" s="249" t="n"/>
      <c r="D107" s="246" t="n"/>
      <c r="E107" s="246" t="n"/>
      <c r="F107" s="253" t="n"/>
      <c r="G107" s="253" t="n"/>
      <c r="H107" s="253" t="n"/>
      <c r="I107" s="253" t="n"/>
      <c r="J107" s="253" t="n"/>
    </row>
    <row r="108" ht="14.25" customFormat="1" customHeight="1" s="305">
      <c r="A108" s="295" t="inlineStr">
        <is>
          <t>Проверил ______________________        А.В. Костянецкая</t>
        </is>
      </c>
      <c r="B108" s="246" t="n"/>
      <c r="C108" s="249" t="n"/>
      <c r="D108" s="246" t="n"/>
      <c r="E108" s="246" t="n"/>
      <c r="F108" s="253" t="n"/>
      <c r="G108" s="253" t="n"/>
      <c r="H108" s="253" t="n"/>
      <c r="I108" s="253" t="n"/>
      <c r="J108" s="253" t="n"/>
    </row>
    <row r="109" ht="14.25" customFormat="1" customHeight="1" s="305">
      <c r="A109" s="304" t="inlineStr">
        <is>
          <t xml:space="preserve">                        (подпись, инициалы, фамилия)</t>
        </is>
      </c>
      <c r="B109" s="246" t="n"/>
      <c r="C109" s="249" t="n"/>
      <c r="D109" s="246" t="n"/>
      <c r="E109" s="246" t="n"/>
      <c r="F109" s="253" t="n"/>
      <c r="G109" s="253" t="n"/>
      <c r="H109" s="253" t="n"/>
      <c r="I109" s="253" t="n"/>
      <c r="J109" s="253" t="n"/>
    </row>
  </sheetData>
  <mergeCells count="20">
    <mergeCell ref="H9:H10"/>
    <mergeCell ref="B15:H15"/>
    <mergeCell ref="D5:J5"/>
    <mergeCell ref="A6:H6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F9:G9"/>
    <mergeCell ref="H1:J1"/>
    <mergeCell ref="B17:H17"/>
    <mergeCell ref="A9:A10"/>
    <mergeCell ref="A3:J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C19" sqref="C19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97" t="inlineStr">
        <is>
          <t>Приложение №6</t>
        </is>
      </c>
    </row>
    <row r="2" ht="21.75" customHeight="1" s="307">
      <c r="A2" s="397" t="n"/>
      <c r="B2" s="397" t="n"/>
      <c r="C2" s="397" t="n"/>
      <c r="D2" s="397" t="n"/>
      <c r="E2" s="397" t="n"/>
      <c r="F2" s="397" t="n"/>
      <c r="G2" s="397" t="n"/>
    </row>
    <row r="3">
      <c r="A3" s="354" t="inlineStr">
        <is>
          <t>Расчет стоимости оборудования</t>
        </is>
      </c>
    </row>
    <row r="4" ht="25.5" customHeight="1" s="307">
      <c r="A4" s="357" t="inlineStr">
        <is>
          <t>Наименование разрабатываемого показателя УНЦ — ВЧ-присоединение (КС+ФП+РК) на ЛЭП 35 кВ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307">
      <c r="A6" s="402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07">
      <c r="A9" s="218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07">
      <c r="A10" s="384" t="n"/>
      <c r="B10" s="382" t="n"/>
      <c r="C10" s="383" t="inlineStr">
        <is>
          <t>ИТОГО ИНЖЕНЕРНОЕ ОБОРУДОВАНИЕ</t>
        </is>
      </c>
      <c r="D10" s="382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07">
      <c r="A12" s="384" t="n">
        <v>1</v>
      </c>
      <c r="B12" s="383">
        <f>'Прил.5 Расчет СМР и ОБ'!B42</f>
        <v/>
      </c>
      <c r="C12" s="383">
        <f>'Прил.5 Расчет СМР и ОБ'!C42</f>
        <v/>
      </c>
      <c r="D12" s="384">
        <f>'Прил.5 Расчет СМР и ОБ'!D42</f>
        <v/>
      </c>
      <c r="E12" s="463">
        <f>'Прил.5 Расчет СМР и ОБ'!E42</f>
        <v/>
      </c>
      <c r="F12" s="384">
        <f>'Прил.5 Расчет СМР и ОБ'!F42</f>
        <v/>
      </c>
      <c r="G12" s="386">
        <f>ROUND(E12*F12,2)</f>
        <v/>
      </c>
    </row>
    <row r="13">
      <c r="A13" s="384" t="n">
        <v>2</v>
      </c>
      <c r="B13" s="383">
        <f>'Прил.5 Расчет СМР и ОБ'!B43</f>
        <v/>
      </c>
      <c r="C13" s="383">
        <f>'Прил.5 Расчет СМР и ОБ'!C43</f>
        <v/>
      </c>
      <c r="D13" s="384">
        <f>'Прил.5 Расчет СМР и ОБ'!D43</f>
        <v/>
      </c>
      <c r="E13" s="463">
        <f>'Прил.5 Расчет СМР и ОБ'!E43</f>
        <v/>
      </c>
      <c r="F13" s="384">
        <f>'Прил.5 Расчет СМР и ОБ'!F43</f>
        <v/>
      </c>
      <c r="G13" s="386">
        <f>ROUND(E13*F13,2)</f>
        <v/>
      </c>
    </row>
    <row r="14" ht="25.5" customHeight="1" s="307">
      <c r="A14" s="384" t="n"/>
      <c r="B14" s="382" t="n"/>
      <c r="C14" s="383" t="inlineStr">
        <is>
          <t>ИТОГО ТЕХНОЛОГИЧЕСКОЕ ОБОРУДОВАНИЕ</t>
        </is>
      </c>
      <c r="D14" s="382" t="n"/>
      <c r="E14" s="143" t="n"/>
      <c r="F14" s="386" t="n"/>
      <c r="G14" s="386">
        <f>G12+G13</f>
        <v/>
      </c>
    </row>
    <row r="15" ht="19.5" customHeight="1" s="307">
      <c r="A15" s="384" t="n"/>
      <c r="B15" s="383" t="n"/>
      <c r="C15" s="383" t="inlineStr">
        <is>
          <t>Всего по разделу «Оборудование»</t>
        </is>
      </c>
      <c r="D15" s="383" t="n"/>
      <c r="E15" s="401" t="n"/>
      <c r="F15" s="386" t="n"/>
      <c r="G15" s="187">
        <f>G10+G14</f>
        <v/>
      </c>
    </row>
    <row r="16">
      <c r="A16" s="306" t="n"/>
      <c r="B16" s="301" t="n"/>
      <c r="C16" s="306" t="n"/>
      <c r="D16" s="306" t="n"/>
      <c r="E16" s="306" t="n"/>
      <c r="F16" s="306" t="n"/>
      <c r="G16" s="306" t="n"/>
    </row>
    <row r="17">
      <c r="A17" s="295" t="inlineStr">
        <is>
          <t>Составил ______________________    А.Р. Маркова</t>
        </is>
      </c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 xml:space="preserve">                         (подпись, инициалы, фамилия)</t>
        </is>
      </c>
      <c r="B18" s="305" t="n"/>
      <c r="C18" s="305" t="n"/>
      <c r="D18" s="306" t="n"/>
      <c r="E18" s="306" t="n"/>
      <c r="F18" s="306" t="n"/>
      <c r="G18" s="306" t="n"/>
    </row>
    <row r="19">
      <c r="A19" s="295" t="n"/>
      <c r="B19" s="305" t="n"/>
      <c r="C19" s="305" t="n"/>
      <c r="D19" s="306" t="n"/>
      <c r="E19" s="306" t="n"/>
      <c r="F19" s="306" t="n"/>
      <c r="G19" s="306" t="n"/>
    </row>
    <row r="20">
      <c r="A20" s="295" t="inlineStr">
        <is>
          <t>Проверил ______________________        А.В. Костянецкая</t>
        </is>
      </c>
      <c r="B20" s="305" t="n"/>
      <c r="C20" s="305" t="n"/>
      <c r="D20" s="306" t="n"/>
      <c r="E20" s="306" t="n"/>
      <c r="F20" s="306" t="n"/>
      <c r="G20" s="306" t="n"/>
    </row>
    <row r="21">
      <c r="A21" s="304" t="inlineStr">
        <is>
          <t xml:space="preserve">                        (подпись, инициалы, фамилия)</t>
        </is>
      </c>
      <c r="B21" s="305" t="n"/>
      <c r="C21" s="305" t="n"/>
      <c r="D21" s="306" t="n"/>
      <c r="E21" s="306" t="n"/>
      <c r="F21" s="306" t="n"/>
      <c r="G21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07" min="1" max="1"/>
    <col width="29.7109375" customWidth="1" style="307" min="2" max="2"/>
    <col width="39.140625" customWidth="1" style="307" min="3" max="3"/>
    <col width="24.5703125" customWidth="1" style="307" min="4" max="4"/>
    <col width="8.85546875" customWidth="1" style="307" min="5" max="5"/>
  </cols>
  <sheetData>
    <row r="1">
      <c r="B1" s="295" t="n"/>
      <c r="C1" s="295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 ht="24.75" customHeight="1" s="307">
      <c r="A3" s="354" t="inlineStr">
        <is>
          <t>Расчет показателя УНЦ</t>
        </is>
      </c>
    </row>
    <row r="4" ht="24.75" customHeight="1" s="307">
      <c r="A4" s="354" t="n"/>
      <c r="B4" s="354" t="n"/>
      <c r="C4" s="354" t="n"/>
      <c r="D4" s="354" t="n"/>
    </row>
    <row r="5" ht="24.6" customHeight="1" s="307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ОБ'!D5:J5</f>
        <v/>
      </c>
    </row>
    <row r="6" ht="19.9" customHeight="1" s="307">
      <c r="A6" s="357" t="inlineStr">
        <is>
          <t>Единица измерения  — 1 ед</t>
        </is>
      </c>
      <c r="D6" s="357" t="n"/>
    </row>
    <row r="7">
      <c r="A7" s="295" t="n"/>
      <c r="B7" s="295" t="n"/>
      <c r="C7" s="295" t="n"/>
      <c r="D7" s="295" t="n"/>
    </row>
    <row r="8" ht="14.45" customHeight="1" s="307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307">
      <c r="A9" s="451" t="n"/>
      <c r="B9" s="451" t="n"/>
      <c r="C9" s="451" t="n"/>
      <c r="D9" s="451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41.45" customHeight="1" s="307">
      <c r="A11" s="384" t="inlineStr">
        <is>
          <t>А6-01-3</t>
        </is>
      </c>
      <c r="B11" s="384" t="inlineStr">
        <is>
          <t xml:space="preserve">УНЦ системы ВЧ связи 35-750 кВ </t>
        </is>
      </c>
      <c r="C11" s="297">
        <f>D5</f>
        <v/>
      </c>
      <c r="D11" s="298">
        <f>'Прил.4 РМ'!C41/1000</f>
        <v/>
      </c>
      <c r="E11" s="299" t="n"/>
    </row>
    <row r="12">
      <c r="A12" s="306" t="n"/>
      <c r="B12" s="301" t="n"/>
      <c r="C12" s="306" t="n"/>
      <c r="D12" s="306" t="n"/>
    </row>
    <row r="13">
      <c r="A13" s="295" t="inlineStr">
        <is>
          <t>Составил ______________________      А.Р. Маркова</t>
        </is>
      </c>
      <c r="B13" s="305" t="n"/>
      <c r="C13" s="305" t="n"/>
      <c r="D13" s="306" t="n"/>
    </row>
    <row r="14">
      <c r="A14" s="304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295" t="n"/>
      <c r="B15" s="305" t="n"/>
      <c r="C15" s="305" t="n"/>
      <c r="D15" s="306" t="n"/>
    </row>
    <row r="16">
      <c r="A16" s="295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4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61" t="inlineStr">
        <is>
          <t>Приложение № 10</t>
        </is>
      </c>
    </row>
    <row r="5" ht="18.75" customHeight="1" s="307">
      <c r="B5" s="167" t="n"/>
    </row>
    <row r="6" ht="15.75" customHeight="1" s="307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07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07">
      <c r="B10" s="369" t="n">
        <v>1</v>
      </c>
      <c r="C10" s="369" t="n">
        <v>2</v>
      </c>
      <c r="D10" s="369" t="n">
        <v>3</v>
      </c>
    </row>
    <row r="11" ht="45" customHeight="1" s="307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01.04.2023г. №17772-ИФ/09 прил.9</t>
        </is>
      </c>
      <c r="D11" s="369" t="n">
        <v>46.83</v>
      </c>
    </row>
    <row r="12" ht="29.25" customHeight="1" s="307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01.04.2023г. №17772-ИФ/09 прил.9</t>
        </is>
      </c>
      <c r="D12" s="369" t="n">
        <v>9.84</v>
      </c>
    </row>
    <row r="13" ht="29.25" customHeight="1" s="307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01.04.2023г. №17772-ИФ/09 прил.9</t>
        </is>
      </c>
      <c r="D13" s="369" t="n">
        <v>11.96</v>
      </c>
    </row>
    <row r="14" ht="30.75" customHeight="1" s="307">
      <c r="B14" s="36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07">
      <c r="B15" s="369" t="inlineStr">
        <is>
          <t>Временные здания и сооружения</t>
        </is>
      </c>
      <c r="C15" s="36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07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07">
      <c r="B17" s="369" t="n"/>
      <c r="C17" s="369" t="n"/>
      <c r="D17" s="369" t="n"/>
    </row>
    <row r="18" ht="31.5" customHeight="1" s="307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07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0" t="n">
        <v>0.002</v>
      </c>
    </row>
    <row r="20" ht="24" customHeight="1" s="307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0" t="n">
        <v>0.03</v>
      </c>
    </row>
    <row r="21" ht="18.75" customHeight="1" s="307">
      <c r="B21" s="168" t="n"/>
    </row>
    <row r="23">
      <c r="B23" s="295" t="inlineStr">
        <is>
          <t>Составил ______________________        А.Р. Маркова</t>
        </is>
      </c>
      <c r="C23" s="305" t="n"/>
    </row>
    <row r="24">
      <c r="B24" s="304" t="inlineStr">
        <is>
          <t xml:space="preserve">                         (подпись, инициалы, фамилия)</t>
        </is>
      </c>
      <c r="C24" s="305" t="n"/>
    </row>
    <row r="25">
      <c r="B25" s="295" t="n"/>
      <c r="C25" s="305" t="n"/>
    </row>
    <row r="26">
      <c r="B26" s="295" t="inlineStr">
        <is>
          <t>Проверил ______________________        А.В. Костянецкая</t>
        </is>
      </c>
      <c r="C26" s="305" t="n"/>
    </row>
    <row r="27">
      <c r="B27" s="304" t="inlineStr">
        <is>
          <t xml:space="preserve">                        (подпись, инициалы, фамилия)</t>
        </is>
      </c>
      <c r="C27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7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14" t="n">
        <v>47872.94</v>
      </c>
      <c r="F7" s="37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73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15">
        <f>1973/12</f>
        <v/>
      </c>
      <c r="F8" s="373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73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15" t="n">
        <v>1</v>
      </c>
      <c r="F9" s="373" t="n"/>
      <c r="G9" s="318" t="n"/>
    </row>
    <row r="10" ht="15.75" customHeight="1" s="307">
      <c r="A10" s="311" t="inlineStr">
        <is>
          <t>1.4</t>
        </is>
      </c>
      <c r="B10" s="373" t="inlineStr">
        <is>
          <t>Средний разряд работ</t>
        </is>
      </c>
      <c r="C10" s="369" t="n"/>
      <c r="D10" s="369" t="n"/>
      <c r="E10" s="465" t="n">
        <v>3.5</v>
      </c>
      <c r="F10" s="373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73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6" t="n">
        <v>1.263</v>
      </c>
      <c r="F11" s="37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7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7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2025-01-24T11:52:44Z</dcterms:modified>
  <cp:lastModifiedBy>Виктор Плотников</cp:lastModifiedBy>
</cp:coreProperties>
</file>