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1F1F1F"/>
      <sz val="12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1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top" wrapText="1"/>
    </xf>
    <xf numFmtId="0" fontId="8" fillId="0" borderId="0" applyAlignment="1" pivotButton="0" quotePrefix="0" xfId="0">
      <alignment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4" fillId="0" borderId="7" applyAlignment="1" pivotButton="0" quotePrefix="0" xfId="0">
      <alignment vertical="center" wrapText="1"/>
    </xf>
    <xf numFmtId="4" fontId="24" fillId="0" borderId="4" applyAlignment="1" pivotButton="0" quotePrefix="0" xfId="0">
      <alignment vertical="center" wrapText="1"/>
    </xf>
    <xf numFmtId="4" fontId="24" fillId="0" borderId="6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171" fontId="21" fillId="0" borderId="0" applyAlignment="1" pivotButton="0" quotePrefix="0" xfId="0">
      <alignment vertical="center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171" fontId="21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304" min="4" max="4"/>
    <col width="37.42578125" customWidth="1" style="304" min="5" max="5"/>
    <col width="9.140625" customWidth="1" style="304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24.6" customHeight="1" s="302">
      <c r="B5" s="360" t="n"/>
    </row>
    <row r="6" ht="18.75" customHeight="1" s="302">
      <c r="B6" s="241" t="n"/>
      <c r="C6" s="241" t="n"/>
      <c r="D6" s="241" t="n"/>
    </row>
    <row r="7">
      <c r="B7" s="359" t="inlineStr">
        <is>
          <t>Наименование разрабатываемого показателя УНЦ - ВЧ-заградитель (ВЧЗ) на ЛЭП 110(150) кВ</t>
        </is>
      </c>
    </row>
    <row r="8">
      <c r="B8" s="359" t="inlineStr">
        <is>
          <t>Сопоставимый уровень цен: 2 квартал 2020 года</t>
        </is>
      </c>
    </row>
    <row r="9" ht="15.75" customHeight="1" s="302">
      <c r="B9" s="359" t="inlineStr">
        <is>
          <t>Единица измерения  — 1 ед.</t>
        </is>
      </c>
    </row>
    <row r="10">
      <c r="B10" s="359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22" t="n"/>
    </row>
    <row r="12" ht="47.25" customHeight="1" s="302">
      <c r="B12" s="365" t="n">
        <v>1</v>
      </c>
      <c r="C12" s="370" t="inlineStr">
        <is>
          <t>Наименование объекта-представителя</t>
        </is>
      </c>
      <c r="D12" s="365" t="inlineStr">
        <is>
          <t>Строительство ПС 35/110 кв Джангар с двумя трансформаторами мощностью не менее 62.9 МВА каждый</t>
        </is>
      </c>
    </row>
    <row r="13">
      <c r="B13" s="365" t="n">
        <v>2</v>
      </c>
      <c r="C13" s="370" t="inlineStr">
        <is>
          <t>Наименование субъекта Российской Федерации</t>
        </is>
      </c>
      <c r="D13" s="365" t="inlineStr">
        <is>
          <t>Республика Калмыкия</t>
        </is>
      </c>
    </row>
    <row r="14">
      <c r="B14" s="365" t="n">
        <v>3</v>
      </c>
      <c r="C14" s="370" t="inlineStr">
        <is>
          <t>Климатический район и подрайон</t>
        </is>
      </c>
      <c r="D14" s="324" t="inlineStr">
        <is>
          <t>IVГ</t>
        </is>
      </c>
    </row>
    <row r="15">
      <c r="B15" s="365" t="n">
        <v>4</v>
      </c>
      <c r="C15" s="370" t="inlineStr">
        <is>
          <t>Мощность объекта</t>
        </is>
      </c>
      <c r="D15" s="365" t="n">
        <v>1</v>
      </c>
    </row>
    <row r="16" ht="63" customHeight="1" s="302">
      <c r="B16" s="36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5" t="inlineStr">
        <is>
          <t>ВЧ заградитель 110 кВ</t>
        </is>
      </c>
    </row>
    <row r="17" ht="63" customHeight="1" s="302">
      <c r="B17" s="36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3">
        <f>D18+D19+D20+D21</f>
        <v/>
      </c>
      <c r="E17" s="240" t="n"/>
    </row>
    <row r="18">
      <c r="B18" s="329" t="inlineStr">
        <is>
          <t>6.1</t>
        </is>
      </c>
      <c r="C18" s="370" t="inlineStr">
        <is>
          <t>строительно-монтажные работы</t>
        </is>
      </c>
      <c r="D18" s="333" t="n">
        <v>10.17</v>
      </c>
    </row>
    <row r="19" ht="15.75" customHeight="1" s="302">
      <c r="B19" s="329" t="inlineStr">
        <is>
          <t>6.2</t>
        </is>
      </c>
      <c r="C19" s="370" t="inlineStr">
        <is>
          <t>оборудование и инвентарь</t>
        </is>
      </c>
      <c r="D19" s="333" t="n">
        <v>2309.81</v>
      </c>
    </row>
    <row r="20" ht="16.5" customHeight="1" s="302">
      <c r="B20" s="329" t="inlineStr">
        <is>
          <t>6.3</t>
        </is>
      </c>
      <c r="C20" s="370" t="inlineStr">
        <is>
          <t>пусконаладочные работы</t>
        </is>
      </c>
      <c r="D20" s="333" t="n"/>
    </row>
    <row r="21">
      <c r="B21" s="329" t="inlineStr">
        <is>
          <t>6.4</t>
        </is>
      </c>
      <c r="C21" s="220" t="inlineStr">
        <is>
          <t>прочие и лимитированные затраты</t>
        </is>
      </c>
      <c r="D21" s="333" t="n"/>
    </row>
    <row r="22">
      <c r="B22" s="365" t="n">
        <v>7</v>
      </c>
      <c r="C22" s="220" t="inlineStr">
        <is>
          <t>Сопоставимый уровень цен</t>
        </is>
      </c>
      <c r="D22" s="327" t="inlineStr">
        <is>
          <t>2 квартал 2020 года</t>
        </is>
      </c>
      <c r="E22" s="218" t="n"/>
    </row>
    <row r="23" ht="78.75" customHeight="1" s="302">
      <c r="B23" s="365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3">
        <f>D17</f>
        <v/>
      </c>
      <c r="E23" s="240" t="n"/>
    </row>
    <row r="24" ht="31.5" customHeight="1" s="302">
      <c r="B24" s="36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3">
        <f>D23/D15</f>
        <v/>
      </c>
      <c r="E24" s="218" t="n"/>
    </row>
    <row r="25">
      <c r="B25" s="365" t="n">
        <v>10</v>
      </c>
      <c r="C25" s="370" t="inlineStr">
        <is>
          <t>Примечание</t>
        </is>
      </c>
      <c r="D25" s="370" t="n"/>
    </row>
    <row r="26">
      <c r="B26" s="371" t="n"/>
      <c r="C26" s="281" t="n"/>
      <c r="D26" s="281" t="n"/>
    </row>
    <row r="27" ht="37.5" customHeight="1" s="302">
      <c r="B27" s="214" t="n"/>
    </row>
    <row r="28">
      <c r="B28" s="304" t="inlineStr">
        <is>
          <t>Составил ______________________    А.Р. Маркова</t>
        </is>
      </c>
    </row>
    <row r="29">
      <c r="B29" s="21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2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18" customWidth="1" style="304" min="11" max="11"/>
    <col width="9.140625" customWidth="1" style="304" min="12" max="12"/>
  </cols>
  <sheetData>
    <row r="3">
      <c r="B3" s="357" t="inlineStr">
        <is>
          <t>Приложение № 2</t>
        </is>
      </c>
      <c r="K3" s="214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 ht="43.15" customHeight="1" s="302">
      <c r="B6" s="366">
        <f>'Прил.1 Сравнит табл'!B7:D7</f>
        <v/>
      </c>
      <c r="K6" s="281" t="n"/>
    </row>
    <row r="7">
      <c r="B7" s="359">
        <f>'Прил.1 Сравнит табл'!B9:D9</f>
        <v/>
      </c>
    </row>
    <row r="8" ht="18.75" customHeight="1" s="302">
      <c r="B8" s="242" t="n"/>
    </row>
    <row r="9" ht="15.75" customHeight="1" s="302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02">
      <c r="B10" s="448" t="n"/>
      <c r="C10" s="448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2 кв. 2020 г., тыс. руб.</t>
        </is>
      </c>
      <c r="G10" s="446" t="n"/>
      <c r="H10" s="446" t="n"/>
      <c r="I10" s="446" t="n"/>
      <c r="J10" s="447" t="n"/>
    </row>
    <row r="11" ht="31.5" customHeight="1" s="302">
      <c r="B11" s="449" t="n"/>
      <c r="C11" s="449" t="n"/>
      <c r="D11" s="449" t="n"/>
      <c r="E11" s="449" t="n"/>
      <c r="F11" s="226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63" customHeight="1" s="302">
      <c r="B12" s="365" t="n">
        <v>1</v>
      </c>
      <c r="C12" s="365" t="inlineStr">
        <is>
          <t>ВЧ заградитель 110 кВ</t>
        </is>
      </c>
      <c r="D12" s="329" t="inlineStr">
        <is>
          <t>02-03</t>
        </is>
      </c>
      <c r="E12" s="330" t="inlineStr">
        <is>
          <t>Приобретение и монтаж электросилового оборудования</t>
        </is>
      </c>
      <c r="F12" s="331" t="n"/>
      <c r="G12" s="332">
        <f>10173.27/1000</f>
        <v/>
      </c>
      <c r="H12" s="333">
        <f>2309809.97/1000</f>
        <v/>
      </c>
      <c r="I12" s="333" t="n"/>
      <c r="J12" s="333">
        <f>SUM(G12:I12)</f>
        <v/>
      </c>
    </row>
    <row r="13" ht="15" customHeight="1" s="302">
      <c r="B13" s="361" t="inlineStr">
        <is>
          <t>Всего по объекту:</t>
        </is>
      </c>
      <c r="C13" s="450" t="n"/>
      <c r="D13" s="450" t="n"/>
      <c r="E13" s="451" t="n"/>
      <c r="F13" s="331" t="n"/>
      <c r="G13" s="334">
        <f>SUM(G12)</f>
        <v/>
      </c>
      <c r="H13" s="335">
        <f>SUM(H12)</f>
        <v/>
      </c>
      <c r="I13" s="335" t="n"/>
      <c r="J13" s="335">
        <f>SUM(J12)</f>
        <v/>
      </c>
    </row>
    <row r="14">
      <c r="B14" s="363" t="inlineStr">
        <is>
          <t>Всего по объекту в сопоставимом уровне цен 2 кв. 2020 г:</t>
        </is>
      </c>
      <c r="C14" s="446" t="n"/>
      <c r="D14" s="446" t="n"/>
      <c r="E14" s="447" t="n"/>
      <c r="F14" s="331" t="n"/>
      <c r="G14" s="336">
        <f>G13</f>
        <v/>
      </c>
      <c r="H14" s="337">
        <f>H13</f>
        <v/>
      </c>
      <c r="I14" s="337" t="n"/>
      <c r="J14" s="337">
        <f>SUM(G14:I14)</f>
        <v/>
      </c>
    </row>
    <row r="15" ht="15" customHeight="1" s="302"/>
    <row r="16" ht="15" customHeight="1" s="302"/>
    <row r="17" ht="15" customHeight="1" s="302"/>
    <row r="18" ht="15" customHeight="1" s="302">
      <c r="C18" s="290" t="inlineStr">
        <is>
          <t>Составил ______________________     А.Р. Маркова</t>
        </is>
      </c>
      <c r="D18" s="300" t="n"/>
      <c r="E18" s="300" t="n"/>
    </row>
    <row r="19" ht="15" customHeight="1" s="302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2">
      <c r="C20" s="290" t="n"/>
      <c r="D20" s="300" t="n"/>
      <c r="E20" s="300" t="n"/>
    </row>
    <row r="21" ht="15" customHeight="1" s="302">
      <c r="C21" s="290" t="inlineStr">
        <is>
          <t>Проверил ______________________        А.В. Костянецкая</t>
        </is>
      </c>
      <c r="D21" s="300" t="n"/>
      <c r="E21" s="300" t="n"/>
    </row>
    <row r="22" ht="15" customHeight="1" s="302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7" zoomScale="85" zoomScaleSheetLayoutView="85" workbookViewId="0">
      <selection activeCell="D41" sqref="D41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266" min="3" max="3"/>
    <col width="49.7109375" customWidth="1" style="304" min="4" max="4"/>
    <col width="10.140625" customWidth="1" style="266" min="5" max="5"/>
    <col width="20.7109375" customWidth="1" style="266" min="6" max="6"/>
    <col width="20" customWidth="1" style="268" min="7" max="7"/>
    <col width="16" customWidth="1" style="214" min="8" max="8"/>
    <col width="9.140625" customWidth="1" style="304" min="9" max="10"/>
    <col width="15" customWidth="1" style="304" min="11" max="11"/>
    <col width="9.140625" customWidth="1" style="304" min="12" max="12"/>
  </cols>
  <sheetData>
    <row r="2">
      <c r="A2" s="357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02">
      <c r="A4" s="247" t="n"/>
      <c r="B4" s="247" t="n"/>
      <c r="C4" s="372" t="n"/>
    </row>
    <row r="5">
      <c r="A5" s="359" t="n"/>
    </row>
    <row r="6">
      <c r="A6" s="371" t="inlineStr">
        <is>
          <t>Наименование разрабатываемого показателя УНЦ - ВЧ-заградитель (ВЧЗ) на ЛЭП 110(150) кВ</t>
        </is>
      </c>
    </row>
    <row r="7" s="302">
      <c r="A7" s="371" t="n"/>
      <c r="B7" s="371" t="n"/>
      <c r="C7" s="371" t="n"/>
      <c r="D7" s="371" t="n"/>
      <c r="E7" s="371" t="n"/>
      <c r="F7" s="371" t="n"/>
      <c r="G7" s="371" t="n"/>
      <c r="H7" s="371" t="n"/>
      <c r="I7" s="304" t="n"/>
      <c r="J7" s="304" t="n"/>
      <c r="K7" s="304" t="n"/>
      <c r="L7" s="304" t="n"/>
    </row>
    <row r="8">
      <c r="A8" s="224" t="n"/>
      <c r="B8" s="224" t="n"/>
      <c r="D8" s="224" t="n"/>
      <c r="G8" s="269" t="n"/>
    </row>
    <row r="9" ht="38.25" customHeight="1" s="302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65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47" t="n"/>
    </row>
    <row r="10" ht="40.5" customHeight="1" s="302">
      <c r="A10" s="449" t="n"/>
      <c r="B10" s="449" t="n"/>
      <c r="C10" s="449" t="n"/>
      <c r="D10" s="449" t="n"/>
      <c r="E10" s="449" t="n"/>
      <c r="F10" s="449" t="n"/>
      <c r="G10" s="365" t="inlineStr">
        <is>
          <t>на ед.изм.</t>
        </is>
      </c>
      <c r="H10" s="365" t="inlineStr">
        <is>
          <t>общая</t>
        </is>
      </c>
    </row>
    <row r="11">
      <c r="A11" s="226" t="n">
        <v>1</v>
      </c>
      <c r="B11" s="226" t="n"/>
      <c r="C11" s="267" t="n">
        <v>2</v>
      </c>
      <c r="D11" s="226" t="inlineStr">
        <is>
          <t>З</t>
        </is>
      </c>
      <c r="E11" s="267" t="n">
        <v>4</v>
      </c>
      <c r="F11" s="267" t="n">
        <v>5</v>
      </c>
      <c r="G11" s="267" t="n">
        <v>6</v>
      </c>
      <c r="H11" s="226" t="n">
        <v>7</v>
      </c>
    </row>
    <row r="12" customFormat="1" s="225">
      <c r="A12" s="368" t="inlineStr">
        <is>
          <t>Затраты труда рабочих</t>
        </is>
      </c>
      <c r="B12" s="446" t="n"/>
      <c r="C12" s="446" t="n"/>
      <c r="D12" s="446" t="n"/>
      <c r="E12" s="447" t="n"/>
      <c r="F12" s="452" t="n">
        <v>6.59</v>
      </c>
      <c r="G12" s="11" t="n"/>
      <c r="H12" s="453">
        <f>SUM(H13:H13)</f>
        <v/>
      </c>
    </row>
    <row r="13">
      <c r="A13" s="378" t="n">
        <v>1</v>
      </c>
      <c r="B13" s="340" t="n"/>
      <c r="C13" s="341" t="inlineStr">
        <is>
          <t>1-4-0</t>
        </is>
      </c>
      <c r="D13" s="265" t="inlineStr">
        <is>
          <t>Затраты труда рабочих (средний разряд работы 4,0)</t>
        </is>
      </c>
      <c r="E13" s="264" t="inlineStr">
        <is>
          <t>чел.-ч</t>
        </is>
      </c>
      <c r="F13" s="264" t="n">
        <v>6.59</v>
      </c>
      <c r="G13" s="265" t="n">
        <v>9.619999999999999</v>
      </c>
      <c r="H13" s="292">
        <f>ROUND(F13*G13,2)</f>
        <v/>
      </c>
      <c r="M13" s="454" t="n"/>
    </row>
    <row r="14">
      <c r="A14" s="367" t="inlineStr">
        <is>
          <t>Затраты труда машинистов</t>
        </is>
      </c>
      <c r="B14" s="446" t="n"/>
      <c r="C14" s="446" t="n"/>
      <c r="D14" s="446" t="n"/>
      <c r="E14" s="447" t="n"/>
      <c r="F14" s="342" t="n"/>
      <c r="G14" s="343" t="n"/>
      <c r="H14" s="453">
        <f>H15</f>
        <v/>
      </c>
    </row>
    <row r="15">
      <c r="A15" s="378" t="n">
        <v>2</v>
      </c>
      <c r="B15" s="369" t="n"/>
      <c r="C15" s="200" t="n">
        <v>2</v>
      </c>
      <c r="D15" s="387" t="inlineStr">
        <is>
          <t>Затраты труда машинистов(справочно)</t>
        </is>
      </c>
      <c r="E15" s="378" t="inlineStr">
        <is>
          <t>чел.-ч</t>
        </is>
      </c>
      <c r="F15" s="378" t="n">
        <v>1.69</v>
      </c>
      <c r="G15" s="197" t="n"/>
      <c r="H15" s="254" t="n">
        <v>17.41</v>
      </c>
    </row>
    <row r="16" customFormat="1" s="225">
      <c r="A16" s="368" t="inlineStr">
        <is>
          <t>Машины и механизмы</t>
        </is>
      </c>
      <c r="B16" s="446" t="n"/>
      <c r="C16" s="446" t="n"/>
      <c r="D16" s="446" t="n"/>
      <c r="E16" s="447" t="n"/>
      <c r="F16" s="342" t="n"/>
      <c r="G16" s="343" t="n"/>
      <c r="H16" s="453">
        <f>SUM(H17:H20)</f>
        <v/>
      </c>
    </row>
    <row r="17">
      <c r="A17" s="378" t="n">
        <v>3</v>
      </c>
      <c r="B17" s="369" t="n"/>
      <c r="C17" s="264" t="inlineStr">
        <is>
          <t>91.06.06-012</t>
        </is>
      </c>
      <c r="D17" s="265" t="inlineStr">
        <is>
          <t>Автогидроподъемники, высота подъема 18 м</t>
        </is>
      </c>
      <c r="E17" s="264" t="inlineStr">
        <is>
          <t>маш.-ч.</t>
        </is>
      </c>
      <c r="F17" s="264" t="n">
        <v>1.52</v>
      </c>
      <c r="G17" s="265" t="n">
        <v>113.14</v>
      </c>
      <c r="H17" s="292">
        <f>ROUND(F17*G17,2)</f>
        <v/>
      </c>
      <c r="I17" s="249" t="n"/>
      <c r="J17" s="249" t="n"/>
      <c r="L17" s="249" t="n"/>
    </row>
    <row r="18" ht="25.5" customFormat="1" customHeight="1" s="225">
      <c r="A18" s="378" t="n">
        <v>4</v>
      </c>
      <c r="B18" s="369" t="n"/>
      <c r="C18" s="264" t="inlineStr">
        <is>
          <t>91.05.05-015</t>
        </is>
      </c>
      <c r="D18" s="265" t="inlineStr">
        <is>
          <t>Краны на автомобильном ходу, грузоподъемность 16 т</t>
        </is>
      </c>
      <c r="E18" s="264" t="inlineStr">
        <is>
          <t>маш.-ч.</t>
        </is>
      </c>
      <c r="F18" s="264" t="n">
        <v>0.08</v>
      </c>
      <c r="G18" s="265" t="n">
        <v>115.38</v>
      </c>
      <c r="H18" s="292">
        <f>ROUND(F18*G18,2)</f>
        <v/>
      </c>
      <c r="I18" s="249" t="n"/>
      <c r="J18" s="249" t="n"/>
      <c r="L18" s="249" t="n"/>
    </row>
    <row r="19">
      <c r="A19" s="378" t="n">
        <v>5</v>
      </c>
      <c r="B19" s="369" t="n"/>
      <c r="C19" s="264" t="inlineStr">
        <is>
          <t>91.14.02-001</t>
        </is>
      </c>
      <c r="D19" s="265" t="inlineStr">
        <is>
          <t>Автомобили бортовые, грузоподъемность до 5 т</t>
        </is>
      </c>
      <c r="E19" s="264" t="inlineStr">
        <is>
          <t>маш.-ч.</t>
        </is>
      </c>
      <c r="F19" s="264" t="n">
        <v>0.09</v>
      </c>
      <c r="G19" s="265" t="n">
        <v>65.67</v>
      </c>
      <c r="H19" s="292">
        <f>ROUND(F19*G19,2)</f>
        <v/>
      </c>
      <c r="I19" s="249" t="n"/>
      <c r="J19" s="249" t="n"/>
      <c r="K19" s="249" t="n"/>
      <c r="L19" s="249" t="n"/>
    </row>
    <row r="20" ht="25.5" customHeight="1" s="302">
      <c r="A20" s="378" t="n">
        <v>6</v>
      </c>
      <c r="B20" s="369" t="n"/>
      <c r="C20" s="264" t="inlineStr">
        <is>
          <t>91.06.03-060</t>
        </is>
      </c>
      <c r="D20" s="265" t="inlineStr">
        <is>
          <t>Лебедки электрические тяговым усилием до 5,79 кН (0,59 т)</t>
        </is>
      </c>
      <c r="E20" s="264" t="inlineStr">
        <is>
          <t>маш.-ч.</t>
        </is>
      </c>
      <c r="F20" s="264" t="n">
        <v>1.52</v>
      </c>
      <c r="G20" s="265" t="n">
        <v>1.7</v>
      </c>
      <c r="H20" s="292">
        <f>ROUND(F20*G20,2)</f>
        <v/>
      </c>
      <c r="I20" s="249" t="n"/>
      <c r="J20" s="249" t="n"/>
      <c r="L20" s="249" t="n"/>
    </row>
    <row r="21" ht="15" customHeight="1" s="302">
      <c r="A21" s="367" t="inlineStr">
        <is>
          <t>Оборудование</t>
        </is>
      </c>
      <c r="B21" s="446" t="n"/>
      <c r="C21" s="446" t="n"/>
      <c r="D21" s="446" t="n"/>
      <c r="E21" s="447" t="n"/>
      <c r="F21" s="391" t="n"/>
      <c r="G21" s="11" t="n"/>
      <c r="H21" s="453">
        <f>SUM(H22:H22)</f>
        <v/>
      </c>
    </row>
    <row r="22" ht="19.9" customHeight="1" s="302">
      <c r="A22" s="345" t="n">
        <v>7</v>
      </c>
      <c r="B22" s="386" t="n"/>
      <c r="C22" s="264" t="inlineStr">
        <is>
          <t>Прайс из СД ОП</t>
        </is>
      </c>
      <c r="D22" s="258" t="inlineStr">
        <is>
          <t>ВЧ заградитель 110 кВ 1250А, 0,5 мГн</t>
        </is>
      </c>
      <c r="E22" s="264" t="inlineStr">
        <is>
          <t>шт</t>
        </is>
      </c>
      <c r="F22" s="264" t="n">
        <v>3</v>
      </c>
      <c r="G22" s="346" t="n">
        <v>156809.91</v>
      </c>
      <c r="H22" s="292">
        <f>ROUND(F22*G22,2)</f>
        <v/>
      </c>
      <c r="I22" s="244" t="n"/>
    </row>
    <row r="23">
      <c r="A23" s="368" t="inlineStr">
        <is>
          <t>Материалы</t>
        </is>
      </c>
      <c r="B23" s="446" t="n"/>
      <c r="C23" s="446" t="n"/>
      <c r="D23" s="446" t="n"/>
      <c r="E23" s="447" t="n"/>
      <c r="F23" s="342" t="n"/>
      <c r="G23" s="343" t="n"/>
      <c r="H23" s="453">
        <f>SUM(H24:H36)</f>
        <v/>
      </c>
    </row>
    <row r="24">
      <c r="A24" s="345" t="n">
        <v>8</v>
      </c>
      <c r="B24" s="369" t="n"/>
      <c r="C24" s="264" t="inlineStr">
        <is>
          <t>20.1.01.12-0016</t>
        </is>
      </c>
      <c r="D24" s="265" t="inlineStr">
        <is>
          <t>Зажим поддерживающий глухой ПГН-5-3</t>
        </is>
      </c>
      <c r="E24" s="264" t="inlineStr">
        <is>
          <t>шт</t>
        </is>
      </c>
      <c r="F24" s="264" t="n">
        <v>2</v>
      </c>
      <c r="G24" s="265" t="n">
        <v>266.27</v>
      </c>
      <c r="H24" s="292">
        <f>ROUND(F24*G24,2)</f>
        <v/>
      </c>
      <c r="I24" s="244" t="n"/>
      <c r="J24" s="249" t="n"/>
      <c r="K24" s="249" t="n"/>
    </row>
    <row r="25">
      <c r="A25" s="345" t="n">
        <v>9</v>
      </c>
      <c r="B25" s="369" t="n"/>
      <c r="C25" s="264" t="inlineStr">
        <is>
          <t>22.2.02.04-0036</t>
        </is>
      </c>
      <c r="D25" s="265" t="inlineStr">
        <is>
          <t>Звено промежуточное регулируемое ПРР-12-1</t>
        </is>
      </c>
      <c r="E25" s="264" t="inlineStr">
        <is>
          <t>шт</t>
        </is>
      </c>
      <c r="F25" s="264" t="n">
        <v>1</v>
      </c>
      <c r="G25" s="265" t="n">
        <v>193.24</v>
      </c>
      <c r="H25" s="292">
        <f>ROUND(F25*G25,2)</f>
        <v/>
      </c>
      <c r="I25" s="244" t="n"/>
      <c r="J25" s="249" t="n"/>
      <c r="K25" s="249" t="n"/>
      <c r="L25" s="249" t="n"/>
    </row>
    <row r="26">
      <c r="A26" s="345" t="n">
        <v>10</v>
      </c>
      <c r="B26" s="369" t="n"/>
      <c r="C26" s="264" t="inlineStr">
        <is>
          <t>20.1.02.22-0006</t>
        </is>
      </c>
      <c r="D26" s="265" t="inlineStr">
        <is>
          <t>Ушко однолапчатое У1-12-16</t>
        </is>
      </c>
      <c r="E26" s="264" t="inlineStr">
        <is>
          <t>шт</t>
        </is>
      </c>
      <c r="F26" s="264" t="n">
        <v>1</v>
      </c>
      <c r="G26" s="265" t="n">
        <v>137.86</v>
      </c>
      <c r="H26" s="292">
        <f>ROUND(F26*G26,2)</f>
        <v/>
      </c>
      <c r="I26" s="244" t="n"/>
      <c r="J26" s="249" t="n"/>
      <c r="K26" s="249" t="n"/>
    </row>
    <row r="27">
      <c r="A27" s="345" t="n">
        <v>11</v>
      </c>
      <c r="B27" s="369" t="n"/>
      <c r="C27" s="264" t="inlineStr">
        <is>
          <t>22.2.02.04-0009</t>
        </is>
      </c>
      <c r="D27" s="265" t="inlineStr">
        <is>
          <t>Звено промежуточное монтажное ПТМ-12-3</t>
        </is>
      </c>
      <c r="E27" s="264" t="inlineStr">
        <is>
          <t>шт</t>
        </is>
      </c>
      <c r="F27" s="264" t="n">
        <v>1</v>
      </c>
      <c r="G27" s="265" t="n">
        <v>103.63</v>
      </c>
      <c r="H27" s="292">
        <f>ROUND(F27*G27,2)</f>
        <v/>
      </c>
      <c r="I27" s="244" t="n"/>
      <c r="J27" s="249" t="n"/>
    </row>
    <row r="28">
      <c r="A28" s="345" t="n">
        <v>12</v>
      </c>
      <c r="B28" s="369" t="n"/>
      <c r="C28" s="264" t="inlineStr">
        <is>
          <t>22.2.02.04-0018</t>
        </is>
      </c>
      <c r="D28" s="265" t="inlineStr">
        <is>
          <t>Звено промежуточное прямое двойное 2ПР-12-1</t>
        </is>
      </c>
      <c r="E28" s="264" t="inlineStr">
        <is>
          <t>шт</t>
        </is>
      </c>
      <c r="F28" s="264" t="n">
        <v>1</v>
      </c>
      <c r="G28" s="265" t="n">
        <v>83.27</v>
      </c>
      <c r="H28" s="292">
        <f>ROUND(F28*G28,2)</f>
        <v/>
      </c>
      <c r="I28" s="244" t="n"/>
      <c r="J28" s="249" t="n"/>
    </row>
    <row r="29">
      <c r="A29" s="345" t="n">
        <v>13</v>
      </c>
      <c r="B29" s="369" t="n"/>
      <c r="C29" s="264" t="inlineStr">
        <is>
          <t>22.2.02.04-0017</t>
        </is>
      </c>
      <c r="D29" s="265" t="inlineStr">
        <is>
          <t>Звено промежуточное прямое двойное 2ПР-7-1</t>
        </is>
      </c>
      <c r="E29" s="264" t="inlineStr">
        <is>
          <t>шт</t>
        </is>
      </c>
      <c r="F29" s="264" t="n">
        <v>1</v>
      </c>
      <c r="G29" s="265" t="n">
        <v>41.1</v>
      </c>
      <c r="H29" s="292">
        <f>ROUND(F29*G29,2)</f>
        <v/>
      </c>
      <c r="I29" s="244" t="n"/>
      <c r="J29" s="249" t="n"/>
    </row>
    <row r="30" ht="25.5" customHeight="1" s="302">
      <c r="A30" s="345" t="n">
        <v>14</v>
      </c>
      <c r="B30" s="369" t="n"/>
      <c r="C30" s="264" t="inlineStr">
        <is>
          <t>20.2.03.17-0001</t>
        </is>
      </c>
      <c r="D30" s="265" t="inlineStr">
        <is>
          <t>Скоба для крепления кабельной трассы верхняя с основанием 50 мм, из оцинкованной стали</t>
        </is>
      </c>
      <c r="E30" s="264" t="inlineStr">
        <is>
          <t>шт</t>
        </is>
      </c>
      <c r="F30" s="264" t="n">
        <v>1</v>
      </c>
      <c r="G30" s="265" t="n">
        <v>29.54</v>
      </c>
      <c r="H30" s="292">
        <f>ROUND(F30*G30,2)</f>
        <v/>
      </c>
      <c r="I30" s="244" t="n"/>
      <c r="J30" s="249" t="n"/>
    </row>
    <row r="31">
      <c r="A31" s="345" t="n">
        <v>15</v>
      </c>
      <c r="B31" s="369" t="n"/>
      <c r="C31" s="264" t="inlineStr">
        <is>
          <t>20.1.02.14-1006</t>
        </is>
      </c>
      <c r="D31" s="265" t="inlineStr">
        <is>
          <t>Серьга СР-12-16</t>
        </is>
      </c>
      <c r="E31" s="264" t="inlineStr">
        <is>
          <t>шт</t>
        </is>
      </c>
      <c r="F31" s="264" t="n">
        <v>1</v>
      </c>
      <c r="G31" s="265" t="n">
        <v>13.29</v>
      </c>
      <c r="H31" s="292">
        <f>ROUND(F31*G31,2)</f>
        <v/>
      </c>
      <c r="I31" s="244" t="n"/>
      <c r="J31" s="249" t="n"/>
    </row>
    <row r="32">
      <c r="A32" s="345" t="n">
        <v>16</v>
      </c>
      <c r="B32" s="369" t="n"/>
      <c r="C32" s="264" t="inlineStr">
        <is>
          <t>01.7.15.03-0042</t>
        </is>
      </c>
      <c r="D32" s="265" t="inlineStr">
        <is>
          <t>Болты с гайками и шайбами строительные</t>
        </is>
      </c>
      <c r="E32" s="264" t="inlineStr">
        <is>
          <t>кг</t>
        </is>
      </c>
      <c r="F32" s="264" t="n">
        <v>1.44542</v>
      </c>
      <c r="G32" s="265" t="n">
        <v>9.039999999999999</v>
      </c>
      <c r="H32" s="292">
        <f>ROUND(F32*G32,2)</f>
        <v/>
      </c>
      <c r="I32" s="244" t="n"/>
      <c r="J32" s="249" t="n"/>
    </row>
    <row r="33">
      <c r="A33" s="345" t="n">
        <v>17</v>
      </c>
      <c r="B33" s="369" t="n"/>
      <c r="C33" s="264" t="inlineStr">
        <is>
          <t>20.1.02.14-1014</t>
        </is>
      </c>
      <c r="D33" s="265" t="inlineStr">
        <is>
          <t>Серьга СР-7-16</t>
        </is>
      </c>
      <c r="E33" s="264" t="inlineStr">
        <is>
          <t>шт</t>
        </is>
      </c>
      <c r="F33" s="264" t="n">
        <v>1</v>
      </c>
      <c r="G33" s="265" t="n">
        <v>9.359999999999999</v>
      </c>
      <c r="H33" s="292">
        <f>ROUND(F33*G33,2)</f>
        <v/>
      </c>
      <c r="I33" s="244" t="n"/>
      <c r="J33" s="249" t="n"/>
    </row>
    <row r="34">
      <c r="A34" s="345" t="n">
        <v>18</v>
      </c>
      <c r="B34" s="369" t="n"/>
      <c r="C34" s="264" t="inlineStr">
        <is>
          <t>08.3.08.02-0023</t>
        </is>
      </c>
      <c r="D34" s="265" t="inlineStr">
        <is>
          <t>Уголок горячекатаный, размер 60х60 мм</t>
        </is>
      </c>
      <c r="E34" s="264" t="inlineStr">
        <is>
          <t>т</t>
        </is>
      </c>
      <c r="F34" s="264" t="n">
        <v>0.00038</v>
      </c>
      <c r="G34" s="265" t="n">
        <v>5552.63</v>
      </c>
      <c r="H34" s="292">
        <f>ROUND(F34*G34,2)</f>
        <v/>
      </c>
      <c r="I34" s="244" t="n"/>
      <c r="J34" s="249" t="n"/>
    </row>
    <row r="35" ht="25.5" customHeight="1" s="302">
      <c r="A35" s="345" t="n">
        <v>19</v>
      </c>
      <c r="B35" s="369" t="n"/>
      <c r="C35" s="264" t="inlineStr">
        <is>
          <t>999-9950</t>
        </is>
      </c>
      <c r="D35" s="265" t="inlineStr">
        <is>
          <t>Вспомогательные ненормируемые материальные ресурсы</t>
        </is>
      </c>
      <c r="E35" s="264" t="inlineStr">
        <is>
          <t>руб</t>
        </is>
      </c>
      <c r="F35" s="264" t="n">
        <v>1.268</v>
      </c>
      <c r="G35" s="265" t="n">
        <v>1</v>
      </c>
      <c r="H35" s="292">
        <f>ROUND(F35*G35,2)</f>
        <v/>
      </c>
      <c r="I35" s="244" t="n"/>
      <c r="J35" s="249" t="n"/>
    </row>
    <row r="36">
      <c r="A36" s="345" t="n">
        <v>20</v>
      </c>
      <c r="B36" s="369" t="n"/>
      <c r="C36" s="264" t="inlineStr">
        <is>
          <t>01.7.15.13-0001</t>
        </is>
      </c>
      <c r="D36" s="265" t="inlineStr">
        <is>
          <t>Шплинты</t>
        </is>
      </c>
      <c r="E36" s="264" t="inlineStr">
        <is>
          <t>кг</t>
        </is>
      </c>
      <c r="F36" s="264" t="n">
        <v>0.00449</v>
      </c>
      <c r="G36" s="265" t="n">
        <v>13.36</v>
      </c>
      <c r="H36" s="292">
        <f>ROUND(F36*G36,2)</f>
        <v/>
      </c>
      <c r="I36" s="244" t="n"/>
      <c r="J36" s="249" t="n"/>
    </row>
    <row r="37">
      <c r="A37" s="282" t="n"/>
      <c r="C37" s="284" t="n"/>
      <c r="D37" s="284" t="n"/>
      <c r="E37" s="284" t="n"/>
      <c r="F37" s="284" t="n"/>
      <c r="G37" s="284" t="n"/>
      <c r="H37" s="283" t="n"/>
    </row>
    <row r="38">
      <c r="B38" s="304" t="inlineStr">
        <is>
          <t>Составил ______________________     А.Р. Маркова</t>
        </is>
      </c>
      <c r="H38" s="455" t="n"/>
    </row>
    <row r="39">
      <c r="B39" s="214" t="inlineStr">
        <is>
          <t xml:space="preserve">                         (подпись, инициалы, фамилия)</t>
        </is>
      </c>
    </row>
    <row r="41">
      <c r="B41" s="304" t="inlineStr">
        <is>
          <t>Проверил ______________________        А.В. Костянецкая</t>
        </is>
      </c>
    </row>
    <row r="42">
      <c r="B42" s="21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A12:E12"/>
    <mergeCell ref="D9:D10"/>
    <mergeCell ref="E9:E10"/>
    <mergeCell ref="F9:F10"/>
    <mergeCell ref="A16:E16"/>
    <mergeCell ref="A9:A10"/>
    <mergeCell ref="A2:H2"/>
    <mergeCell ref="A23:E23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5" sqref="D45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95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50" t="inlineStr">
        <is>
          <t>Ресурсная модель</t>
        </is>
      </c>
    </row>
    <row r="6">
      <c r="B6" s="237" t="n"/>
      <c r="C6" s="290" t="n"/>
      <c r="D6" s="290" t="n"/>
      <c r="E6" s="290" t="n"/>
    </row>
    <row r="7" ht="25.5" customHeight="1" s="302">
      <c r="B7" s="373" t="inlineStr">
        <is>
          <t>Наименование разрабатываемого показателя УНЦ —ВЧ-заградитель (ВЧЗ) на ЛЭП 110(150) кВ</t>
        </is>
      </c>
    </row>
    <row r="8">
      <c r="B8" s="374" t="inlineStr">
        <is>
          <t>Единица измерения  — 1 ед.</t>
        </is>
      </c>
    </row>
    <row r="9">
      <c r="B9" s="237" t="n"/>
      <c r="C9" s="290" t="n"/>
      <c r="D9" s="290" t="n"/>
      <c r="E9" s="290" t="n"/>
    </row>
    <row r="10" ht="51" customHeight="1" s="302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29" t="inlineStr">
        <is>
          <t>Оплата труда рабочих</t>
        </is>
      </c>
      <c r="C11" s="292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229" t="inlineStr">
        <is>
          <t>Эксплуатация машин основных</t>
        </is>
      </c>
      <c r="C12" s="292">
        <f>'Прил.5 Расчет СМР и ОБ'!J20</f>
        <v/>
      </c>
      <c r="D12" s="231">
        <f>C12/$C$24</f>
        <v/>
      </c>
      <c r="E12" s="231">
        <f>C12/$C$40</f>
        <v/>
      </c>
    </row>
    <row r="13">
      <c r="B13" s="229" t="inlineStr">
        <is>
          <t>Эксплуатация машин прочих</t>
        </is>
      </c>
      <c r="C13" s="292">
        <f>'Прил.5 Расчет СМР и ОБ'!J24</f>
        <v/>
      </c>
      <c r="D13" s="231">
        <f>C13/$C$24</f>
        <v/>
      </c>
      <c r="E13" s="231">
        <f>C13/$C$40</f>
        <v/>
      </c>
    </row>
    <row r="14">
      <c r="B14" s="229" t="inlineStr">
        <is>
          <t>ЭКСПЛУАТАЦИЯ МАШИН, ВСЕГО:</t>
        </is>
      </c>
      <c r="C14" s="292">
        <f>C13+C12</f>
        <v/>
      </c>
      <c r="D14" s="231">
        <f>C14/$C$24</f>
        <v/>
      </c>
      <c r="E14" s="231">
        <f>C14/$C$40</f>
        <v/>
      </c>
    </row>
    <row r="15">
      <c r="B15" s="229" t="inlineStr">
        <is>
          <t>в том числе зарплата машинистов</t>
        </is>
      </c>
      <c r="C15" s="292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229" t="inlineStr">
        <is>
          <t>Материалы основные</t>
        </is>
      </c>
      <c r="C16" s="292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229" t="inlineStr">
        <is>
          <t>Материалы прочие</t>
        </is>
      </c>
      <c r="C17" s="292">
        <f>'Прил.5 Расчет СМР и ОБ'!J49</f>
        <v/>
      </c>
      <c r="D17" s="231">
        <f>C17/$C$24</f>
        <v/>
      </c>
      <c r="E17" s="231">
        <f>C17/$C$40</f>
        <v/>
      </c>
      <c r="G17" s="456" t="n"/>
    </row>
    <row r="18">
      <c r="B18" s="229" t="inlineStr">
        <is>
          <t>МАТЕРИАЛЫ, ВСЕГО:</t>
        </is>
      </c>
      <c r="C18" s="292">
        <f>C17+C16</f>
        <v/>
      </c>
      <c r="D18" s="231">
        <f>C18/$C$24</f>
        <v/>
      </c>
      <c r="E18" s="231">
        <f>C18/$C$40</f>
        <v/>
      </c>
    </row>
    <row r="19">
      <c r="B19" s="229" t="inlineStr">
        <is>
          <t>ИТОГО</t>
        </is>
      </c>
      <c r="C19" s="292">
        <f>C18+C14+C11</f>
        <v/>
      </c>
      <c r="D19" s="231" t="n"/>
      <c r="E19" s="229" t="n"/>
    </row>
    <row r="20">
      <c r="B20" s="229" t="inlineStr">
        <is>
          <t>Сметная прибыль, руб.</t>
        </is>
      </c>
      <c r="C20" s="292">
        <f>ROUND(C21*(C11+C15),2)</f>
        <v/>
      </c>
      <c r="D20" s="231">
        <f>C20/$C$24</f>
        <v/>
      </c>
      <c r="E20" s="231">
        <f>C20/$C$40</f>
        <v/>
      </c>
    </row>
    <row r="21">
      <c r="B21" s="229" t="inlineStr">
        <is>
          <t>Сметная прибыль, %</t>
        </is>
      </c>
      <c r="C21" s="234">
        <f>'Прил.5 Расчет СМР и ОБ'!D53</f>
        <v/>
      </c>
      <c r="D21" s="231" t="n"/>
      <c r="E21" s="229" t="n"/>
    </row>
    <row r="22">
      <c r="B22" s="229" t="inlineStr">
        <is>
          <t>Накладные расходы, руб.</t>
        </is>
      </c>
      <c r="C22" s="292">
        <f>ROUND(C23*(C11+C15),2)</f>
        <v/>
      </c>
      <c r="D22" s="231">
        <f>C22/$C$24</f>
        <v/>
      </c>
      <c r="E22" s="231">
        <f>C22/$C$40</f>
        <v/>
      </c>
    </row>
    <row r="23">
      <c r="B23" s="229" t="inlineStr">
        <is>
          <t>Накладные расходы, %</t>
        </is>
      </c>
      <c r="C23" s="234">
        <f>'Прил.5 Расчет СМР и ОБ'!D52</f>
        <v/>
      </c>
      <c r="D23" s="231" t="n"/>
      <c r="E23" s="229" t="n"/>
    </row>
    <row r="24">
      <c r="B24" s="229" t="inlineStr">
        <is>
          <t>ВСЕГО СМР с НР и СП</t>
        </is>
      </c>
      <c r="C24" s="292">
        <f>C19+C20+C22</f>
        <v/>
      </c>
      <c r="D24" s="231">
        <f>C24/$C$24</f>
        <v/>
      </c>
      <c r="E24" s="231">
        <f>C24/$C$40</f>
        <v/>
      </c>
    </row>
    <row r="25" ht="25.5" customHeight="1" s="302">
      <c r="B25" s="229" t="inlineStr">
        <is>
          <t>ВСЕГО стоимость оборудования, в том числе</t>
        </is>
      </c>
      <c r="C25" s="292">
        <f>'Прил.5 Расчет СМР и ОБ'!J31</f>
        <v/>
      </c>
      <c r="D25" s="231" t="n"/>
      <c r="E25" s="231">
        <f>C25/$C$40</f>
        <v/>
      </c>
    </row>
    <row r="26" ht="25.5" customHeight="1" s="302">
      <c r="B26" s="229" t="inlineStr">
        <is>
          <t>стоимость оборудования технологического</t>
        </is>
      </c>
      <c r="C26" s="292">
        <f>'Прил.5 Расчет СМР и ОБ'!J32</f>
        <v/>
      </c>
      <c r="D26" s="231" t="n"/>
      <c r="E26" s="231">
        <f>C26/$C$40</f>
        <v/>
      </c>
    </row>
    <row r="27">
      <c r="B27" s="229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02">
      <c r="B28" s="229" t="inlineStr">
        <is>
          <t>ПРОЧ. ЗАТР., УЧТЕННЫЕ ПОКАЗАТЕЛЕМ,  в том числе</t>
        </is>
      </c>
      <c r="C28" s="229" t="n"/>
      <c r="D28" s="229" t="n"/>
      <c r="E28" s="229" t="n"/>
      <c r="F28" s="232" t="n"/>
    </row>
    <row r="29" ht="25.5" customHeight="1" s="302">
      <c r="B29" s="229" t="inlineStr">
        <is>
          <t>Временные здания и сооружения - 3,3%</t>
        </is>
      </c>
      <c r="C29" s="233">
        <f>ROUND(C24*3.3%,2)</f>
        <v/>
      </c>
      <c r="D29" s="229" t="n"/>
      <c r="E29" s="231">
        <f>C29/$C$40</f>
        <v/>
      </c>
    </row>
    <row r="30" ht="38.25" customHeight="1" s="302">
      <c r="B30" s="229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229" t="n"/>
      <c r="E30" s="231">
        <f>C30/$C$40</f>
        <v/>
      </c>
      <c r="F30" s="232" t="n"/>
    </row>
    <row r="31">
      <c r="B31" s="229" t="inlineStr">
        <is>
          <t>Пусконаладочные работы</t>
        </is>
      </c>
      <c r="C31" s="233" t="n">
        <v>99530</v>
      </c>
      <c r="D31" s="229" t="n"/>
      <c r="E31" s="231">
        <f>C31/$C$40</f>
        <v/>
      </c>
    </row>
    <row r="32" ht="25.5" customHeight="1" s="302">
      <c r="B32" s="229" t="inlineStr">
        <is>
          <t>Затраты по перевозке работников к месту работы и обратно</t>
        </is>
      </c>
      <c r="C32" s="233">
        <f>ROUND(C27*0%,2)</f>
        <v/>
      </c>
      <c r="D32" s="229" t="n"/>
      <c r="E32" s="231">
        <f>C32/$C$40</f>
        <v/>
      </c>
    </row>
    <row r="33" ht="25.5" customHeight="1" s="302">
      <c r="B33" s="229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229" t="n"/>
      <c r="E33" s="231">
        <f>C33/$C$40</f>
        <v/>
      </c>
    </row>
    <row r="34" ht="51" customHeight="1" s="302">
      <c r="B34" s="22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229" t="n"/>
      <c r="E34" s="231">
        <f>C34/$C$40</f>
        <v/>
      </c>
      <c r="H34" s="244" t="n"/>
    </row>
    <row r="35" ht="76.5" customHeight="1" s="302">
      <c r="B35" s="22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229" t="n"/>
      <c r="E35" s="272">
        <f>C35/$C$40</f>
        <v/>
      </c>
    </row>
    <row r="36" ht="25.5" customHeight="1" s="302">
      <c r="B36" s="229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229" t="n"/>
      <c r="E36" s="272">
        <f>C36/$C$40</f>
        <v/>
      </c>
      <c r="G36" s="273" t="n"/>
      <c r="L36" s="232" t="n"/>
    </row>
    <row r="37">
      <c r="B37" s="229" t="inlineStr">
        <is>
          <t>Авторский надзор - 0,2%</t>
        </is>
      </c>
      <c r="C37" s="233">
        <f>ROUND((C27+C32+C33+C34+C35+C29+C31+C30)*0.2%,2)</f>
        <v/>
      </c>
      <c r="D37" s="229" t="n"/>
      <c r="E37" s="272">
        <f>C37/$C$40</f>
        <v/>
      </c>
      <c r="G37" s="274" t="n"/>
      <c r="L37" s="232" t="n"/>
    </row>
    <row r="38" ht="38.25" customHeight="1" s="302">
      <c r="B38" s="229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29" t="n"/>
      <c r="E38" s="272">
        <f>C38/$C$40</f>
        <v/>
      </c>
    </row>
    <row r="39" ht="13.5" customHeight="1" s="302">
      <c r="B39" s="229" t="inlineStr">
        <is>
          <t>Непредвиденные расходы</t>
        </is>
      </c>
      <c r="C39" s="292">
        <f>ROUND(C38*3%,2)</f>
        <v/>
      </c>
      <c r="D39" s="229" t="n"/>
      <c r="E39" s="272">
        <f>C39/$C$38</f>
        <v/>
      </c>
    </row>
    <row r="40">
      <c r="B40" s="229" t="inlineStr">
        <is>
          <t>ВСЕГО:</t>
        </is>
      </c>
      <c r="C40" s="292">
        <f>C39+C38</f>
        <v/>
      </c>
      <c r="D40" s="229" t="n"/>
      <c r="E40" s="231">
        <f>C40/$C$40</f>
        <v/>
      </c>
    </row>
    <row r="41">
      <c r="B41" s="229" t="inlineStr">
        <is>
          <t>ИТОГО ПОКАЗАТЕЛЬ НА ЕД. ИЗМ.</t>
        </is>
      </c>
      <c r="C41" s="292">
        <f>C40/'Прил.5 Расчет СМР и ОБ'!E56</f>
        <v/>
      </c>
      <c r="D41" s="229" t="n"/>
      <c r="E41" s="229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А.Р. Маркова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74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41" zoomScaleSheetLayoutView="100" workbookViewId="0">
      <selection activeCell="C60" sqref="C60"/>
    </sheetView>
  </sheetViews>
  <sheetFormatPr baseColWidth="8" defaultColWidth="9.140625" defaultRowHeight="15" outlineLevelRow="1"/>
  <cols>
    <col width="5.7109375" customWidth="1" style="300" min="1" max="1"/>
    <col width="22.5703125" customWidth="1" style="276" min="2" max="2"/>
    <col width="39.140625" customWidth="1" style="300" min="3" max="3"/>
    <col width="10.7109375" customWidth="1" style="279" min="4" max="4"/>
    <col width="12.7109375" customWidth="1" style="279" min="5" max="5"/>
    <col width="15" customWidth="1" style="279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276" t="n"/>
      <c r="C1" s="300" t="n"/>
      <c r="D1" s="279" t="n"/>
      <c r="E1" s="279" t="n"/>
      <c r="F1" s="279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276" t="n"/>
      <c r="C2" s="300" t="n"/>
      <c r="D2" s="279" t="n"/>
      <c r="E2" s="279" t="n"/>
      <c r="F2" s="279" t="n"/>
      <c r="G2" s="300" t="n"/>
      <c r="H2" s="375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276" t="n"/>
      <c r="C3" s="300" t="n"/>
      <c r="D3" s="279" t="n"/>
      <c r="E3" s="279" t="n"/>
      <c r="F3" s="279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50" t="inlineStr">
        <is>
          <t>Расчет стоимости СМР и оборудования</t>
        </is>
      </c>
    </row>
    <row r="5" ht="12.75" customFormat="1" customHeight="1" s="290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25.9" customFormat="1" customHeight="1" s="290">
      <c r="A6" s="203" t="inlineStr">
        <is>
          <t>Наименование разрабатываемого показателя УНЦ</t>
        </is>
      </c>
      <c r="B6" s="381" t="n"/>
      <c r="C6" s="202" t="n"/>
      <c r="D6" s="381" t="inlineStr">
        <is>
          <t>ВЧ-заградитель (ВЧЗ) на ЛЭП 110(150) кВ</t>
        </is>
      </c>
    </row>
    <row r="7" ht="12.75" customFormat="1" customHeight="1" s="290">
      <c r="A7" s="353" t="inlineStr">
        <is>
          <t>Единица измерения  — 1 ед.</t>
        </is>
      </c>
      <c r="I7" s="373" t="n"/>
      <c r="J7" s="373" t="n"/>
    </row>
    <row r="8" ht="13.5" customFormat="1" customHeight="1" s="290">
      <c r="A8" s="353" t="n"/>
    </row>
    <row r="9" ht="27" customHeight="1" s="302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47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47" t="n"/>
      <c r="K9" s="300" t="n"/>
      <c r="L9" s="300" t="n"/>
      <c r="M9" s="300" t="n"/>
      <c r="N9" s="300" t="n"/>
    </row>
    <row r="10" ht="28.5" customHeight="1" s="302">
      <c r="A10" s="449" t="n"/>
      <c r="B10" s="449" t="n"/>
      <c r="C10" s="449" t="n"/>
      <c r="D10" s="449" t="n"/>
      <c r="E10" s="449" t="n"/>
      <c r="F10" s="378" t="inlineStr">
        <is>
          <t>на ед. изм.</t>
        </is>
      </c>
      <c r="G10" s="378" t="inlineStr">
        <is>
          <t>общая</t>
        </is>
      </c>
      <c r="H10" s="449" t="n"/>
      <c r="I10" s="378" t="inlineStr">
        <is>
          <t>на ед. изм.</t>
        </is>
      </c>
      <c r="J10" s="378" t="inlineStr">
        <is>
          <t>общая</t>
        </is>
      </c>
      <c r="K10" s="300" t="n"/>
      <c r="L10" s="300" t="n"/>
      <c r="M10" s="300" t="n"/>
      <c r="N10" s="300" t="n"/>
    </row>
    <row r="11" s="302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9" t="n">
        <v>9</v>
      </c>
      <c r="J11" s="379" t="n">
        <v>10</v>
      </c>
      <c r="K11" s="300" t="n"/>
      <c r="L11" s="300" t="n"/>
      <c r="M11" s="300" t="n"/>
      <c r="N11" s="300" t="n"/>
    </row>
    <row r="12">
      <c r="A12" s="378" t="n"/>
      <c r="B12" s="386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191" t="n"/>
      <c r="J12" s="191" t="n"/>
    </row>
    <row r="13" ht="25.5" customHeight="1" s="302">
      <c r="A13" s="378" t="n">
        <v>1</v>
      </c>
      <c r="B13" s="200" t="inlineStr">
        <is>
          <t>1-4-0</t>
        </is>
      </c>
      <c r="C13" s="387" t="inlineStr">
        <is>
          <t>Затраты труда рабочих-строителей среднего разряда (4,0)</t>
        </is>
      </c>
      <c r="D13" s="378" t="inlineStr">
        <is>
          <t>чел.-ч.</t>
        </is>
      </c>
      <c r="E13" s="457">
        <f>G13/F13</f>
        <v/>
      </c>
      <c r="F13" s="197" t="n">
        <v>9.619999999999999</v>
      </c>
      <c r="G13" s="197">
        <f>Прил.3!H12</f>
        <v/>
      </c>
      <c r="H13" s="199">
        <f>G13/G14</f>
        <v/>
      </c>
      <c r="I13" s="197">
        <f>ФОТр.тек.!E13</f>
        <v/>
      </c>
      <c r="J13" s="197">
        <f>ROUND(I13*E13,2)</f>
        <v/>
      </c>
    </row>
    <row r="14" ht="25.5" customFormat="1" customHeight="1" s="300">
      <c r="A14" s="378" t="n"/>
      <c r="B14" s="378" t="n"/>
      <c r="C14" s="386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457">
        <f>SUM(E13:E13)</f>
        <v/>
      </c>
      <c r="F14" s="197" t="n"/>
      <c r="G14" s="197">
        <f>SUM(G13:G13)</f>
        <v/>
      </c>
      <c r="H14" s="390" t="n">
        <v>1</v>
      </c>
      <c r="I14" s="191" t="n"/>
      <c r="J14" s="197">
        <f>SUM(J13:J13)</f>
        <v/>
      </c>
    </row>
    <row r="15" ht="14.25" customFormat="1" customHeight="1" s="300">
      <c r="A15" s="378" t="n"/>
      <c r="B15" s="387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191" t="n"/>
      <c r="J15" s="191" t="n"/>
    </row>
    <row r="16" ht="14.25" customFormat="1" customHeight="1" s="300">
      <c r="A16" s="378" t="n">
        <v>2</v>
      </c>
      <c r="B16" s="378" t="n">
        <v>2</v>
      </c>
      <c r="C16" s="387" t="inlineStr">
        <is>
          <t>Затраты труда машинистов</t>
        </is>
      </c>
      <c r="D16" s="378" t="inlineStr">
        <is>
          <t>чел.-ч.</t>
        </is>
      </c>
      <c r="E16" s="458" t="n">
        <v>1.69</v>
      </c>
      <c r="F16" s="197">
        <f>G16/E16</f>
        <v/>
      </c>
      <c r="G16" s="197">
        <f>Прил.3!H14</f>
        <v/>
      </c>
      <c r="H16" s="390" t="n">
        <v>1</v>
      </c>
      <c r="I16" s="197">
        <f>ROUND(F16*Прил.10!D11,2)</f>
        <v/>
      </c>
      <c r="J16" s="197">
        <f>ROUND(I16*E16,2)</f>
        <v/>
      </c>
    </row>
    <row r="17" ht="14.25" customFormat="1" customHeight="1" s="300">
      <c r="A17" s="378" t="n"/>
      <c r="B17" s="386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191" t="n"/>
      <c r="J17" s="191" t="n"/>
    </row>
    <row r="18" ht="14.25" customFormat="1" customHeight="1" s="300">
      <c r="A18" s="378" t="n"/>
      <c r="B18" s="387" t="inlineStr">
        <is>
          <t>Основные 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191" t="n"/>
      <c r="J18" s="191" t="n"/>
    </row>
    <row r="19" ht="25.5" customFormat="1" customHeight="1" s="300">
      <c r="A19" s="378" t="n">
        <v>3</v>
      </c>
      <c r="B19" s="264" t="inlineStr">
        <is>
          <t>91.06.06-012</t>
        </is>
      </c>
      <c r="C19" s="265" t="inlineStr">
        <is>
          <t>Автогидроподъемники, высота подъема 18 м</t>
        </is>
      </c>
      <c r="D19" s="264" t="inlineStr">
        <is>
          <t>маш.-ч.</t>
        </is>
      </c>
      <c r="E19" s="459" t="n">
        <v>1.52</v>
      </c>
      <c r="F19" s="265" t="n">
        <v>113.14</v>
      </c>
      <c r="G19" s="197">
        <f>ROUND(E19*F19,2)</f>
        <v/>
      </c>
      <c r="H19" s="199">
        <f>G19/$G$25</f>
        <v/>
      </c>
      <c r="I19" s="197">
        <f>ROUND(F19*Прил.10!$D$12,2)</f>
        <v/>
      </c>
      <c r="J19" s="197">
        <f>ROUND(I19*E19,2)</f>
        <v/>
      </c>
    </row>
    <row r="20" ht="14.25" customFormat="1" customHeight="1" s="300">
      <c r="A20" s="378" t="n"/>
      <c r="B20" s="378" t="n"/>
      <c r="C20" s="387" t="inlineStr">
        <is>
          <t>Итого основные машины и механизмы</t>
        </is>
      </c>
      <c r="D20" s="378" t="n"/>
      <c r="E20" s="458" t="n"/>
      <c r="F20" s="197" t="n"/>
      <c r="G20" s="197">
        <f>SUM(G19:G19)</f>
        <v/>
      </c>
      <c r="H20" s="390">
        <f>G20/G25</f>
        <v/>
      </c>
      <c r="I20" s="192" t="n"/>
      <c r="J20" s="197">
        <f>SUM(J19:J19)</f>
        <v/>
      </c>
    </row>
    <row r="21" outlineLevel="1" ht="25.5" customFormat="1" customHeight="1" s="300">
      <c r="A21" s="378" t="n">
        <v>4</v>
      </c>
      <c r="B21" s="264" t="inlineStr">
        <is>
          <t>91.05.05-015</t>
        </is>
      </c>
      <c r="C21" s="265" t="inlineStr">
        <is>
          <t>Краны на автомобильном ходу, грузоподъемность 16 т</t>
        </is>
      </c>
      <c r="D21" s="264" t="inlineStr">
        <is>
          <t>маш.-ч.</t>
        </is>
      </c>
      <c r="E21" s="459" t="n">
        <v>0.08</v>
      </c>
      <c r="F21" s="265" t="n">
        <v>115.38</v>
      </c>
      <c r="G21" s="197">
        <f>ROUND(E21*F21,2)</f>
        <v/>
      </c>
      <c r="H21" s="199">
        <f>G21/$G$25</f>
        <v/>
      </c>
      <c r="I21" s="197">
        <f>ROUND(F21*Прил.10!$D$12,2)</f>
        <v/>
      </c>
      <c r="J21" s="197">
        <f>ROUND(I21*E21,2)</f>
        <v/>
      </c>
    </row>
    <row r="22" outlineLevel="1" ht="25.5" customFormat="1" customHeight="1" s="300">
      <c r="A22" s="378" t="n">
        <v>5</v>
      </c>
      <c r="B22" s="264" t="inlineStr">
        <is>
          <t>91.14.02-001</t>
        </is>
      </c>
      <c r="C22" s="265" t="inlineStr">
        <is>
          <t>Автомобили бортовые, грузоподъемность до 5 т</t>
        </is>
      </c>
      <c r="D22" s="264" t="inlineStr">
        <is>
          <t>маш.-ч.</t>
        </is>
      </c>
      <c r="E22" s="459" t="n">
        <v>0.09</v>
      </c>
      <c r="F22" s="265" t="n">
        <v>65.67</v>
      </c>
      <c r="G22" s="197">
        <f>ROUND(E22*F22,2)</f>
        <v/>
      </c>
      <c r="H22" s="199">
        <f>G22/$G$25</f>
        <v/>
      </c>
      <c r="I22" s="197">
        <f>ROUND(F22*Прил.10!$D$12,2)</f>
        <v/>
      </c>
      <c r="J22" s="197">
        <f>ROUND(I22*E22,2)</f>
        <v/>
      </c>
    </row>
    <row r="23" outlineLevel="1" ht="25.5" customFormat="1" customHeight="1" s="300">
      <c r="A23" s="378" t="n">
        <v>6</v>
      </c>
      <c r="B23" s="264" t="inlineStr">
        <is>
          <t>91.06.03-060</t>
        </is>
      </c>
      <c r="C23" s="265" t="inlineStr">
        <is>
          <t>Лебедки электрические тяговым усилием до 5,79 кН (0,59 т)</t>
        </is>
      </c>
      <c r="D23" s="264" t="inlineStr">
        <is>
          <t>маш.-ч.</t>
        </is>
      </c>
      <c r="E23" s="459" t="n">
        <v>1.52</v>
      </c>
      <c r="F23" s="265" t="n">
        <v>1.7</v>
      </c>
      <c r="G23" s="197">
        <f>ROUND(E23*F23,2)</f>
        <v/>
      </c>
      <c r="H23" s="199">
        <f>G23/$G$25</f>
        <v/>
      </c>
      <c r="I23" s="197">
        <f>ROUND(F23*Прил.10!$D$12,2)</f>
        <v/>
      </c>
      <c r="J23" s="197">
        <f>ROUND(I23*E23,2)</f>
        <v/>
      </c>
    </row>
    <row r="24" ht="14.25" customFormat="1" customHeight="1" s="300">
      <c r="A24" s="378" t="n"/>
      <c r="B24" s="378" t="n"/>
      <c r="C24" s="387" t="inlineStr">
        <is>
          <t>Итого прочие машины и механизмы</t>
        </is>
      </c>
      <c r="D24" s="378" t="n"/>
      <c r="E24" s="388" t="n"/>
      <c r="F24" s="197" t="n"/>
      <c r="G24" s="192">
        <f>SUM(G21:G23)</f>
        <v/>
      </c>
      <c r="H24" s="199">
        <f>G24/G25</f>
        <v/>
      </c>
      <c r="I24" s="197" t="n"/>
      <c r="J24" s="197">
        <f>SUM(J21:J23)</f>
        <v/>
      </c>
    </row>
    <row r="25" ht="25.5" customFormat="1" customHeight="1" s="300">
      <c r="A25" s="378" t="n"/>
      <c r="B25" s="378" t="n"/>
      <c r="C25" s="386" t="inlineStr">
        <is>
          <t>Итого по разделу «Машины и механизмы»</t>
        </is>
      </c>
      <c r="D25" s="378" t="n"/>
      <c r="E25" s="388" t="n"/>
      <c r="F25" s="197" t="n"/>
      <c r="G25" s="197">
        <f>G24+G20</f>
        <v/>
      </c>
      <c r="H25" s="186" t="n">
        <v>1</v>
      </c>
      <c r="I25" s="187" t="n"/>
      <c r="J25" s="210">
        <f>J24+J20</f>
        <v/>
      </c>
    </row>
    <row r="26" ht="14.25" customFormat="1" customHeight="1" s="300">
      <c r="A26" s="378" t="n"/>
      <c r="B26" s="386" t="inlineStr">
        <is>
          <t>Оборудование</t>
        </is>
      </c>
      <c r="C26" s="446" t="n"/>
      <c r="D26" s="446" t="n"/>
      <c r="E26" s="446" t="n"/>
      <c r="F26" s="446" t="n"/>
      <c r="G26" s="446" t="n"/>
      <c r="H26" s="447" t="n"/>
      <c r="I26" s="191" t="n"/>
      <c r="J26" s="191" t="n"/>
    </row>
    <row r="27">
      <c r="A27" s="378" t="n"/>
      <c r="B27" s="387" t="inlineStr">
        <is>
          <t>Основное оборудование</t>
        </is>
      </c>
      <c r="C27" s="446" t="n"/>
      <c r="D27" s="446" t="n"/>
      <c r="E27" s="446" t="n"/>
      <c r="F27" s="446" t="n"/>
      <c r="G27" s="446" t="n"/>
      <c r="H27" s="447" t="n"/>
      <c r="I27" s="191" t="n"/>
      <c r="J27" s="191" t="n"/>
      <c r="K27" s="300" t="n"/>
      <c r="L27" s="300" t="n"/>
    </row>
    <row r="28" ht="24.6" customFormat="1" customHeight="1" s="300">
      <c r="A28" s="378" t="n">
        <v>7</v>
      </c>
      <c r="B28" s="378" t="inlineStr">
        <is>
          <t>БЦ.42.54</t>
        </is>
      </c>
      <c r="C28" s="387" t="inlineStr">
        <is>
          <t>ВЧ заградитель 110 кВ 1250А, 0,5 мГн</t>
        </is>
      </c>
      <c r="D28" s="378" t="inlineStr">
        <is>
          <t>шт</t>
        </is>
      </c>
      <c r="E28" s="458" t="n">
        <v>3</v>
      </c>
      <c r="F28" s="399">
        <f>ROUND(I28/Прил.10!$D$14,2)</f>
        <v/>
      </c>
      <c r="G28" s="197">
        <f>ROUND(E28*F28,2)</f>
        <v/>
      </c>
      <c r="H28" s="199">
        <f>G28/$G$31</f>
        <v/>
      </c>
      <c r="I28" s="256" t="n">
        <v>1090700</v>
      </c>
      <c r="J28" s="197">
        <f>ROUND(I28*E28,2)</f>
        <v/>
      </c>
    </row>
    <row r="29">
      <c r="A29" s="378" t="n"/>
      <c r="B29" s="378" t="n"/>
      <c r="C29" s="387" t="inlineStr">
        <is>
          <t>Итого основное оборудование</t>
        </is>
      </c>
      <c r="D29" s="378" t="n"/>
      <c r="E29" s="458" t="n"/>
      <c r="F29" s="389" t="n"/>
      <c r="G29" s="197">
        <f>G28</f>
        <v/>
      </c>
      <c r="H29" s="199">
        <f>G29/$G$31</f>
        <v/>
      </c>
      <c r="I29" s="192" t="n"/>
      <c r="J29" s="197">
        <f>J28</f>
        <v/>
      </c>
      <c r="K29" s="300" t="n"/>
      <c r="L29" s="300" t="n"/>
    </row>
    <row r="30">
      <c r="A30" s="378" t="n"/>
      <c r="B30" s="378" t="n"/>
      <c r="C30" s="387" t="inlineStr">
        <is>
          <t>Итого прочее оборудование</t>
        </is>
      </c>
      <c r="D30" s="259" t="n"/>
      <c r="E30" s="458" t="n"/>
      <c r="F30" s="389" t="n"/>
      <c r="G30" s="197" t="n">
        <v>0</v>
      </c>
      <c r="H30" s="199">
        <f>G30/$G$31</f>
        <v/>
      </c>
      <c r="I30" s="192" t="n"/>
      <c r="J30" s="197" t="n">
        <v>0</v>
      </c>
      <c r="K30" s="300" t="n"/>
      <c r="L30" s="300" t="n"/>
    </row>
    <row r="31">
      <c r="A31" s="378" t="n"/>
      <c r="B31" s="378" t="n"/>
      <c r="C31" s="386" t="inlineStr">
        <is>
          <t>Итого по разделу «Оборудование»</t>
        </is>
      </c>
      <c r="D31" s="378" t="n"/>
      <c r="E31" s="388" t="n"/>
      <c r="F31" s="389" t="n"/>
      <c r="G31" s="197">
        <f>G29+G30</f>
        <v/>
      </c>
      <c r="H31" s="199">
        <f>G31/$G$31</f>
        <v/>
      </c>
      <c r="I31" s="192" t="n"/>
      <c r="J31" s="197">
        <f>J29+J30</f>
        <v/>
      </c>
      <c r="K31" s="300" t="n"/>
      <c r="L31" s="300" t="n"/>
    </row>
    <row r="32" ht="25.5" customHeight="1" s="302">
      <c r="A32" s="378" t="n"/>
      <c r="B32" s="378" t="n"/>
      <c r="C32" s="387" t="inlineStr">
        <is>
          <t>в том числе технологическое оборудование</t>
        </is>
      </c>
      <c r="D32" s="378" t="n"/>
      <c r="E32" s="458" t="n"/>
      <c r="F32" s="389" t="n"/>
      <c r="G32" s="197">
        <f>'Прил.6 Расчет ОБ'!G13</f>
        <v/>
      </c>
      <c r="H32" s="390" t="n"/>
      <c r="I32" s="192" t="n"/>
      <c r="J32" s="197">
        <f>J31</f>
        <v/>
      </c>
      <c r="K32" s="300" t="n"/>
      <c r="L32" s="300" t="n"/>
    </row>
    <row r="33" ht="14.25" customFormat="1" customHeight="1" s="300">
      <c r="A33" s="378" t="n"/>
      <c r="B33" s="386" t="inlineStr">
        <is>
          <t>Материалы</t>
        </is>
      </c>
      <c r="C33" s="446" t="n"/>
      <c r="D33" s="446" t="n"/>
      <c r="E33" s="446" t="n"/>
      <c r="F33" s="446" t="n"/>
      <c r="G33" s="446" t="n"/>
      <c r="H33" s="447" t="n"/>
      <c r="I33" s="191" t="n"/>
      <c r="J33" s="191" t="n"/>
    </row>
    <row r="34" ht="14.25" customFormat="1" customHeight="1" s="300">
      <c r="A34" s="379" t="n"/>
      <c r="B34" s="382" t="inlineStr">
        <is>
          <t>Основные материалы</t>
        </is>
      </c>
      <c r="C34" s="460" t="n"/>
      <c r="D34" s="460" t="n"/>
      <c r="E34" s="460" t="n"/>
      <c r="F34" s="460" t="n"/>
      <c r="G34" s="460" t="n"/>
      <c r="H34" s="461" t="n"/>
      <c r="I34" s="205" t="n"/>
      <c r="J34" s="205" t="n"/>
    </row>
    <row r="35" ht="18.6" customFormat="1" customHeight="1" s="300">
      <c r="A35" s="378" t="n">
        <v>9</v>
      </c>
      <c r="B35" s="264" t="inlineStr">
        <is>
          <t>20.1.01.12-0016</t>
        </is>
      </c>
      <c r="C35" s="265" t="inlineStr">
        <is>
          <t>Зажим поддерживающий глухой ПГН-5-3</t>
        </is>
      </c>
      <c r="D35" s="264" t="inlineStr">
        <is>
          <t>шт</t>
        </is>
      </c>
      <c r="E35" s="459" t="n">
        <v>2</v>
      </c>
      <c r="F35" s="265" t="n">
        <v>266.27</v>
      </c>
      <c r="G35" s="197">
        <f>ROUND(E35*F35,2)</f>
        <v/>
      </c>
      <c r="H35" s="199">
        <f>G35/$G$50</f>
        <v/>
      </c>
      <c r="I35" s="197">
        <f>ROUND(F35*Прил.10!$D$13,2)</f>
        <v/>
      </c>
      <c r="J35" s="197">
        <f>ROUND(I35*E35,2)</f>
        <v/>
      </c>
    </row>
    <row r="36" ht="25.5" customFormat="1" customHeight="1" s="300">
      <c r="A36" s="378" t="n">
        <v>10</v>
      </c>
      <c r="B36" s="264" t="inlineStr">
        <is>
          <t>22.2.02.04-0036</t>
        </is>
      </c>
      <c r="C36" s="265" t="inlineStr">
        <is>
          <t>Звено промежуточное регулируемое ПРР-12-1</t>
        </is>
      </c>
      <c r="D36" s="264" t="inlineStr">
        <is>
          <t>шт</t>
        </is>
      </c>
      <c r="E36" s="459" t="n">
        <v>1</v>
      </c>
      <c r="F36" s="265" t="n">
        <v>193.24</v>
      </c>
      <c r="G36" s="197">
        <f>ROUND(E36*F36,2)</f>
        <v/>
      </c>
      <c r="H36" s="199">
        <f>G36/$G$50</f>
        <v/>
      </c>
      <c r="I36" s="197">
        <f>ROUND(F36*Прил.10!$D$13,2)</f>
        <v/>
      </c>
      <c r="J36" s="197">
        <f>ROUND(I36*E36,2)</f>
        <v/>
      </c>
    </row>
    <row r="37" ht="14.25" customFormat="1" customHeight="1" s="300">
      <c r="A37" s="378" t="n">
        <v>11</v>
      </c>
      <c r="B37" s="264" t="inlineStr">
        <is>
          <t>20.1.02.22-0006</t>
        </is>
      </c>
      <c r="C37" s="265" t="inlineStr">
        <is>
          <t>Ушко однолапчатое У1-12-16</t>
        </is>
      </c>
      <c r="D37" s="264" t="inlineStr">
        <is>
          <t>шт</t>
        </is>
      </c>
      <c r="E37" s="459" t="n">
        <v>1</v>
      </c>
      <c r="F37" s="265" t="n">
        <v>137.86</v>
      </c>
      <c r="G37" s="197">
        <f>ROUND(E37*F37,2)</f>
        <v/>
      </c>
      <c r="H37" s="199">
        <f>G37/$G$50</f>
        <v/>
      </c>
      <c r="I37" s="197">
        <f>ROUND(F37*Прил.10!$D$13,2)</f>
        <v/>
      </c>
      <c r="J37" s="197">
        <f>ROUND(I37*E37,2)</f>
        <v/>
      </c>
    </row>
    <row r="38" ht="25.5" customFormat="1" customHeight="1" s="300">
      <c r="A38" s="378" t="n">
        <v>12</v>
      </c>
      <c r="B38" s="264" t="inlineStr">
        <is>
          <t>22.2.02.04-0009</t>
        </is>
      </c>
      <c r="C38" s="265" t="inlineStr">
        <is>
          <t>Звено промежуточное монтажное ПТМ-12-3</t>
        </is>
      </c>
      <c r="D38" s="264" t="inlineStr">
        <is>
          <t>шт</t>
        </is>
      </c>
      <c r="E38" s="459" t="n">
        <v>1</v>
      </c>
      <c r="F38" s="265" t="n">
        <v>103.63</v>
      </c>
      <c r="G38" s="197">
        <f>ROUND(E38*F38,2)</f>
        <v/>
      </c>
      <c r="H38" s="199">
        <f>G38/$G$50</f>
        <v/>
      </c>
      <c r="I38" s="197">
        <f>ROUND(F38*Прил.10!$D$13,2)</f>
        <v/>
      </c>
      <c r="J38" s="197">
        <f>ROUND(I38*E38,2)</f>
        <v/>
      </c>
    </row>
    <row r="39" ht="25.5" customFormat="1" customHeight="1" s="300">
      <c r="A39" s="378" t="n">
        <v>13</v>
      </c>
      <c r="B39" s="264" t="inlineStr">
        <is>
          <t>22.2.02.04-0018</t>
        </is>
      </c>
      <c r="C39" s="265" t="inlineStr">
        <is>
          <t>Звено промежуточное прямое двойное 2ПР-12-1</t>
        </is>
      </c>
      <c r="D39" s="264" t="inlineStr">
        <is>
          <t>шт</t>
        </is>
      </c>
      <c r="E39" s="459" t="n">
        <v>1</v>
      </c>
      <c r="F39" s="265" t="n">
        <v>83.27</v>
      </c>
      <c r="G39" s="197">
        <f>ROUND(E39*F39,2)</f>
        <v/>
      </c>
      <c r="H39" s="199">
        <f>G39/$G$50</f>
        <v/>
      </c>
      <c r="I39" s="197">
        <f>ROUND(F39*Прил.10!$D$13,2)</f>
        <v/>
      </c>
      <c r="J39" s="197">
        <f>ROUND(I39*E39,2)</f>
        <v/>
      </c>
    </row>
    <row r="40" ht="14.25" customFormat="1" customHeight="1" s="300">
      <c r="A40" s="378" t="n"/>
      <c r="B40" s="206" t="n"/>
      <c r="C40" s="207" t="inlineStr">
        <is>
          <t>Итого основные материалы</t>
        </is>
      </c>
      <c r="D40" s="380" t="n"/>
      <c r="E40" s="462" t="n"/>
      <c r="F40" s="210" t="n"/>
      <c r="G40" s="210">
        <f>SUM(G35:G39)</f>
        <v/>
      </c>
      <c r="H40" s="199">
        <f>G40/$G$50</f>
        <v/>
      </c>
      <c r="I40" s="197" t="n"/>
      <c r="J40" s="210">
        <f>SUM(J35:J39)</f>
        <v/>
      </c>
    </row>
    <row r="41" outlineLevel="1" ht="25.5" customFormat="1" customHeight="1" s="300">
      <c r="A41" s="378" t="n">
        <v>14</v>
      </c>
      <c r="B41" s="264" t="inlineStr">
        <is>
          <t>22.2.02.04-0017</t>
        </is>
      </c>
      <c r="C41" s="265" t="inlineStr">
        <is>
          <t>Звено промежуточное прямое двойное 2ПР-7-1</t>
        </is>
      </c>
      <c r="D41" s="264" t="inlineStr">
        <is>
          <t>шт</t>
        </is>
      </c>
      <c r="E41" s="459" t="n">
        <v>1</v>
      </c>
      <c r="F41" s="265" t="n">
        <v>41.1</v>
      </c>
      <c r="G41" s="197">
        <f>ROUND(E41*F41,2)</f>
        <v/>
      </c>
      <c r="H41" s="199">
        <f>G41/$G$50</f>
        <v/>
      </c>
      <c r="I41" s="197">
        <f>ROUND(F41*Прил.10!$D$13,2)</f>
        <v/>
      </c>
      <c r="J41" s="197">
        <f>ROUND(I41*E41,2)</f>
        <v/>
      </c>
    </row>
    <row r="42" outlineLevel="1" ht="38.25" customFormat="1" customHeight="1" s="300">
      <c r="A42" s="378" t="n">
        <v>15</v>
      </c>
      <c r="B42" s="264" t="inlineStr">
        <is>
          <t>20.2.03.17-0001</t>
        </is>
      </c>
      <c r="C42" s="265" t="inlineStr">
        <is>
          <t>Скоба для крепления кабельной трассы верхняя с основанием 50 мм, из оцинкованной стали</t>
        </is>
      </c>
      <c r="D42" s="264" t="inlineStr">
        <is>
          <t>шт</t>
        </is>
      </c>
      <c r="E42" s="459" t="n">
        <v>1</v>
      </c>
      <c r="F42" s="265" t="n">
        <v>29.54</v>
      </c>
      <c r="G42" s="197">
        <f>ROUND(E42*F42,2)</f>
        <v/>
      </c>
      <c r="H42" s="199">
        <f>G42/$G$50</f>
        <v/>
      </c>
      <c r="I42" s="197">
        <f>ROUND(F42*Прил.10!$D$13,2)</f>
        <v/>
      </c>
      <c r="J42" s="197">
        <f>ROUND(I42*E42,2)</f>
        <v/>
      </c>
    </row>
    <row r="43" outlineLevel="1" ht="14.25" customFormat="1" customHeight="1" s="300">
      <c r="A43" s="378" t="n">
        <v>16</v>
      </c>
      <c r="B43" s="264" t="inlineStr">
        <is>
          <t>20.1.02.14-1006</t>
        </is>
      </c>
      <c r="C43" s="265" t="inlineStr">
        <is>
          <t>Серьга СР-12-16</t>
        </is>
      </c>
      <c r="D43" s="264" t="inlineStr">
        <is>
          <t>шт</t>
        </is>
      </c>
      <c r="E43" s="459" t="n">
        <v>1</v>
      </c>
      <c r="F43" s="265" t="n">
        <v>13.29</v>
      </c>
      <c r="G43" s="197">
        <f>ROUND(E43*F43,2)</f>
        <v/>
      </c>
      <c r="H43" s="199">
        <f>G43/$G$50</f>
        <v/>
      </c>
      <c r="I43" s="197">
        <f>ROUND(F43*Прил.10!$D$13,2)</f>
        <v/>
      </c>
      <c r="J43" s="197">
        <f>ROUND(I43*E43,2)</f>
        <v/>
      </c>
    </row>
    <row r="44" outlineLevel="1" ht="14.25" customFormat="1" customHeight="1" s="300">
      <c r="A44" s="378" t="n">
        <v>17</v>
      </c>
      <c r="B44" s="264" t="inlineStr">
        <is>
          <t>01.7.15.03-0042</t>
        </is>
      </c>
      <c r="C44" s="265" t="inlineStr">
        <is>
          <t>Болты с гайками и шайбами строительные</t>
        </is>
      </c>
      <c r="D44" s="264" t="inlineStr">
        <is>
          <t>кг</t>
        </is>
      </c>
      <c r="E44" s="459" t="n">
        <v>1.44542</v>
      </c>
      <c r="F44" s="265" t="n">
        <v>9.039999999999999</v>
      </c>
      <c r="G44" s="197">
        <f>ROUND(E44*F44,2)</f>
        <v/>
      </c>
      <c r="H44" s="199">
        <f>G44/$G$50</f>
        <v/>
      </c>
      <c r="I44" s="197">
        <f>ROUND(F44*Прил.10!$D$13,2)</f>
        <v/>
      </c>
      <c r="J44" s="197">
        <f>ROUND(I44*E44,2)</f>
        <v/>
      </c>
    </row>
    <row r="45" outlineLevel="1" ht="14.25" customFormat="1" customHeight="1" s="300">
      <c r="A45" s="378" t="n">
        <v>18</v>
      </c>
      <c r="B45" s="264" t="inlineStr">
        <is>
          <t>20.1.02.14-1014</t>
        </is>
      </c>
      <c r="C45" s="265" t="inlineStr">
        <is>
          <t>Серьга СР-7-16</t>
        </is>
      </c>
      <c r="D45" s="264" t="inlineStr">
        <is>
          <t>шт</t>
        </is>
      </c>
      <c r="E45" s="459" t="n">
        <v>1</v>
      </c>
      <c r="F45" s="265" t="n">
        <v>9.359999999999999</v>
      </c>
      <c r="G45" s="197">
        <f>ROUND(E45*F45,2)</f>
        <v/>
      </c>
      <c r="H45" s="199">
        <f>G45/$G$50</f>
        <v/>
      </c>
      <c r="I45" s="197">
        <f>ROUND(F45*Прил.10!$D$13,2)</f>
        <v/>
      </c>
      <c r="J45" s="197">
        <f>ROUND(I45*E45,2)</f>
        <v/>
      </c>
    </row>
    <row r="46" outlineLevel="1" ht="14.25" customFormat="1" customHeight="1" s="300">
      <c r="A46" s="378" t="n">
        <v>19</v>
      </c>
      <c r="B46" s="264" t="inlineStr">
        <is>
          <t>08.3.08.02-0023</t>
        </is>
      </c>
      <c r="C46" s="265" t="inlineStr">
        <is>
          <t>Уголок горячекатаный, размер 60х60 мм</t>
        </is>
      </c>
      <c r="D46" s="264" t="inlineStr">
        <is>
          <t>т</t>
        </is>
      </c>
      <c r="E46" s="459" t="n">
        <v>0.00038</v>
      </c>
      <c r="F46" s="265" t="n">
        <v>5552.63</v>
      </c>
      <c r="G46" s="197">
        <f>ROUND(E46*F46,2)</f>
        <v/>
      </c>
      <c r="H46" s="199">
        <f>G46/$G$50</f>
        <v/>
      </c>
      <c r="I46" s="197">
        <f>ROUND(F46*Прил.10!$D$13,2)</f>
        <v/>
      </c>
      <c r="J46" s="197">
        <f>ROUND(I46*E46,2)</f>
        <v/>
      </c>
    </row>
    <row r="47" outlineLevel="1" ht="25.5" customFormat="1" customHeight="1" s="300">
      <c r="A47" s="378" t="n">
        <v>20</v>
      </c>
      <c r="B47" s="264" t="inlineStr">
        <is>
          <t>999-9950</t>
        </is>
      </c>
      <c r="C47" s="265" t="inlineStr">
        <is>
          <t>Вспомогательные ненормируемые материальные ресурсы</t>
        </is>
      </c>
      <c r="D47" s="264" t="inlineStr">
        <is>
          <t>руб</t>
        </is>
      </c>
      <c r="E47" s="459" t="n">
        <v>1.268</v>
      </c>
      <c r="F47" s="265" t="n">
        <v>1</v>
      </c>
      <c r="G47" s="197">
        <f>ROUND(E47*F47,2)</f>
        <v/>
      </c>
      <c r="H47" s="199">
        <f>G47/$G$50</f>
        <v/>
      </c>
      <c r="I47" s="197">
        <f>ROUND(F47*Прил.10!$D$13,2)</f>
        <v/>
      </c>
      <c r="J47" s="197">
        <f>ROUND(I47*E47,2)</f>
        <v/>
      </c>
    </row>
    <row r="48" outlineLevel="1" ht="14.25" customFormat="1" customHeight="1" s="300">
      <c r="A48" s="378" t="n">
        <v>21</v>
      </c>
      <c r="B48" s="264" t="inlineStr">
        <is>
          <t>01.7.15.13-0001</t>
        </is>
      </c>
      <c r="C48" s="265" t="inlineStr">
        <is>
          <t>Шплинты</t>
        </is>
      </c>
      <c r="D48" s="264" t="inlineStr">
        <is>
          <t>кг</t>
        </is>
      </c>
      <c r="E48" s="459" t="n">
        <v>0.00449</v>
      </c>
      <c r="F48" s="265" t="n">
        <v>13.36</v>
      </c>
      <c r="G48" s="197">
        <f>ROUND(E48*F48,2)</f>
        <v/>
      </c>
      <c r="H48" s="199">
        <f>G48/$G$50</f>
        <v/>
      </c>
      <c r="I48" s="197">
        <f>ROUND(F48*Прил.10!$D$13,2)</f>
        <v/>
      </c>
      <c r="J48" s="197">
        <f>ROUND(I48*E48,2)</f>
        <v/>
      </c>
    </row>
    <row r="49" ht="14.25" customFormat="1" customHeight="1" s="300">
      <c r="A49" s="378" t="n"/>
      <c r="B49" s="378" t="n"/>
      <c r="C49" s="387" t="inlineStr">
        <is>
          <t>Итого прочие материалы</t>
        </is>
      </c>
      <c r="D49" s="378" t="n"/>
      <c r="E49" s="458" t="n"/>
      <c r="F49" s="389" t="n"/>
      <c r="G49" s="197">
        <f>SUM(G41:G48)</f>
        <v/>
      </c>
      <c r="H49" s="199">
        <f>G49/$G$50</f>
        <v/>
      </c>
      <c r="I49" s="197" t="n"/>
      <c r="J49" s="197">
        <f>SUM(J41:J48)</f>
        <v/>
      </c>
    </row>
    <row r="50" ht="14.25" customFormat="1" customHeight="1" s="300">
      <c r="A50" s="378" t="n"/>
      <c r="B50" s="378" t="n"/>
      <c r="C50" s="386" t="inlineStr">
        <is>
          <t>Итого по разделу «Материалы»</t>
        </is>
      </c>
      <c r="D50" s="378" t="n"/>
      <c r="E50" s="388" t="n"/>
      <c r="F50" s="389" t="n"/>
      <c r="G50" s="197">
        <f>G40+G49</f>
        <v/>
      </c>
      <c r="H50" s="390">
        <f>G50/$G$50</f>
        <v/>
      </c>
      <c r="I50" s="197" t="n"/>
      <c r="J50" s="197">
        <f>J40+J49</f>
        <v/>
      </c>
    </row>
    <row r="51" ht="14.25" customFormat="1" customHeight="1" s="300">
      <c r="A51" s="378" t="n"/>
      <c r="B51" s="378" t="n"/>
      <c r="C51" s="387" t="inlineStr">
        <is>
          <t>ИТОГО ПО РМ</t>
        </is>
      </c>
      <c r="D51" s="378" t="n"/>
      <c r="E51" s="388" t="n"/>
      <c r="F51" s="389" t="n"/>
      <c r="G51" s="197">
        <f>G14+G25+G50</f>
        <v/>
      </c>
      <c r="H51" s="390" t="n"/>
      <c r="I51" s="197" t="n"/>
      <c r="J51" s="197">
        <f>J14+J25+J50</f>
        <v/>
      </c>
    </row>
    <row r="52" ht="14.25" customFormat="1" customHeight="1" s="300">
      <c r="A52" s="378" t="n"/>
      <c r="B52" s="378" t="n"/>
      <c r="C52" s="387" t="inlineStr">
        <is>
          <t>Накладные расходы</t>
        </is>
      </c>
      <c r="D52" s="278">
        <f>ROUND(G52/(G$16+$G$14),2)</f>
        <v/>
      </c>
      <c r="E52" s="388" t="n"/>
      <c r="F52" s="389" t="n"/>
      <c r="G52" s="197" t="n">
        <v>78.39</v>
      </c>
      <c r="H52" s="390" t="n"/>
      <c r="I52" s="197" t="n"/>
      <c r="J52" s="197">
        <f>ROUND(D52*(J14+J16),2)</f>
        <v/>
      </c>
    </row>
    <row r="53" ht="14.25" customFormat="1" customHeight="1" s="300">
      <c r="A53" s="378" t="n"/>
      <c r="B53" s="378" t="n"/>
      <c r="C53" s="387" t="inlineStr">
        <is>
          <t>Сметная прибыль</t>
        </is>
      </c>
      <c r="D53" s="278">
        <f>ROUND(G53/(G$14+G$16),2)</f>
        <v/>
      </c>
      <c r="E53" s="388" t="n"/>
      <c r="F53" s="389" t="n"/>
      <c r="G53" s="197" t="n">
        <v>41.21</v>
      </c>
      <c r="H53" s="390" t="n"/>
      <c r="I53" s="197" t="n"/>
      <c r="J53" s="197">
        <f>ROUND(D53*(J14+J16),2)</f>
        <v/>
      </c>
    </row>
    <row r="54" ht="14.25" customFormat="1" customHeight="1" s="300">
      <c r="A54" s="378" t="n"/>
      <c r="B54" s="378" t="n"/>
      <c r="C54" s="387" t="inlineStr">
        <is>
          <t>Итого СМР (с НР и СП)</t>
        </is>
      </c>
      <c r="D54" s="378" t="n"/>
      <c r="E54" s="388" t="n"/>
      <c r="F54" s="389" t="n"/>
      <c r="G54" s="197">
        <f>G14+G25+G50+G52+G53</f>
        <v/>
      </c>
      <c r="H54" s="390" t="n"/>
      <c r="I54" s="197" t="n"/>
      <c r="J54" s="197">
        <f>J14+J25+J50+J52+J53</f>
        <v/>
      </c>
    </row>
    <row r="55" ht="14.25" customFormat="1" customHeight="1" s="300">
      <c r="A55" s="378" t="n"/>
      <c r="B55" s="378" t="n"/>
      <c r="C55" s="387" t="inlineStr">
        <is>
          <t>ВСЕГО СМР + ОБОРУДОВАНИЕ</t>
        </is>
      </c>
      <c r="D55" s="378" t="n"/>
      <c r="E55" s="388" t="n"/>
      <c r="F55" s="389" t="n"/>
      <c r="G55" s="197">
        <f>G54+G31</f>
        <v/>
      </c>
      <c r="H55" s="390" t="n"/>
      <c r="I55" s="197" t="n"/>
      <c r="J55" s="197">
        <f>J54+J31</f>
        <v/>
      </c>
    </row>
    <row r="56" ht="34.5" customFormat="1" customHeight="1" s="300">
      <c r="A56" s="378" t="n"/>
      <c r="B56" s="378" t="n"/>
      <c r="C56" s="387" t="inlineStr">
        <is>
          <t>ИТОГО ПОКАЗАТЕЛЬ НА ЕД. ИЗМ.</t>
        </is>
      </c>
      <c r="D56" s="378" t="inlineStr">
        <is>
          <t>1 ед.</t>
        </is>
      </c>
      <c r="E56" s="463" t="n">
        <v>1</v>
      </c>
      <c r="F56" s="389" t="n"/>
      <c r="G56" s="197">
        <f>G55/E56</f>
        <v/>
      </c>
      <c r="H56" s="390" t="n"/>
      <c r="I56" s="197" t="n"/>
      <c r="J56" s="197">
        <f>J55/E56</f>
        <v/>
      </c>
    </row>
    <row r="58" ht="14.25" customFormat="1" customHeight="1" s="300">
      <c r="A58" s="290" t="inlineStr">
        <is>
          <t>Составил ______________________    А.Р. Маркова</t>
        </is>
      </c>
      <c r="B58" s="276" t="n"/>
      <c r="D58" s="279" t="n"/>
      <c r="E58" s="279" t="n"/>
      <c r="F58" s="279" t="n"/>
    </row>
    <row r="59" ht="14.25" customFormat="1" customHeight="1" s="300">
      <c r="A59" s="299" t="inlineStr">
        <is>
          <t xml:space="preserve">                         (подпись, инициалы, фамилия)</t>
        </is>
      </c>
      <c r="B59" s="276" t="n"/>
      <c r="D59" s="279" t="n"/>
      <c r="E59" s="279" t="n"/>
      <c r="F59" s="279" t="n"/>
    </row>
    <row r="60" ht="14.25" customFormat="1" customHeight="1" s="300">
      <c r="A60" s="290" t="n"/>
      <c r="B60" s="276" t="n"/>
      <c r="D60" s="279" t="n"/>
      <c r="E60" s="279" t="n"/>
      <c r="F60" s="279" t="n"/>
    </row>
    <row r="61" ht="14.25" customFormat="1" customHeight="1" s="300">
      <c r="A61" s="290" t="inlineStr">
        <is>
          <t>Проверил ______________________        А.В. Костянецкая</t>
        </is>
      </c>
      <c r="B61" s="276" t="n"/>
      <c r="D61" s="279" t="n"/>
      <c r="E61" s="279" t="n"/>
      <c r="F61" s="279" t="n"/>
    </row>
    <row r="62" ht="14.25" customFormat="1" customHeight="1" s="300">
      <c r="A62" s="299" t="inlineStr">
        <is>
          <t xml:space="preserve">                        (подпись, инициалы, фамилия)</t>
        </is>
      </c>
      <c r="B62" s="276" t="n"/>
      <c r="D62" s="279" t="n"/>
      <c r="E62" s="279" t="n"/>
      <c r="F62" s="279" t="n"/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4" sqref="D24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95" t="inlineStr">
        <is>
          <t>Приложение №6</t>
        </is>
      </c>
    </row>
    <row r="2" ht="21.75" customHeight="1" s="302">
      <c r="A2" s="395" t="n"/>
      <c r="B2" s="395" t="n"/>
      <c r="C2" s="395" t="n"/>
      <c r="D2" s="395" t="n"/>
      <c r="E2" s="395" t="n"/>
      <c r="F2" s="395" t="n"/>
      <c r="G2" s="395" t="n"/>
    </row>
    <row r="3">
      <c r="A3" s="350" t="inlineStr">
        <is>
          <t>Расчет стоимости оборудования</t>
        </is>
      </c>
    </row>
    <row r="4" ht="25.5" customHeight="1" s="302">
      <c r="A4" s="353" t="inlineStr">
        <is>
          <t>Наименование разрабатываемого показателя УНЦ — ВЧ-заградитель (ВЧЗ) на ЛЭП 110(150) кВ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02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8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02">
      <c r="A9" s="229" t="n"/>
      <c r="B9" s="387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02">
      <c r="A10" s="378" t="n"/>
      <c r="B10" s="386" t="n"/>
      <c r="C10" s="387" t="inlineStr">
        <is>
          <t>ИТОГО ИНЖЕНЕРНОЕ ОБОРУДОВАНИЕ</t>
        </is>
      </c>
      <c r="D10" s="386" t="n"/>
      <c r="E10" s="142" t="n"/>
      <c r="F10" s="389" t="n"/>
      <c r="G10" s="389" t="n">
        <v>0</v>
      </c>
    </row>
    <row r="11">
      <c r="A11" s="378" t="n"/>
      <c r="B11" s="387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35.45" customHeight="1" s="302">
      <c r="A12" s="378" t="n">
        <v>1</v>
      </c>
      <c r="B12" s="258">
        <f>'Прил.5 Расчет СМР и ОБ'!B28</f>
        <v/>
      </c>
      <c r="C12" s="387">
        <f>'Прил.5 Расчет СМР и ОБ'!C28</f>
        <v/>
      </c>
      <c r="D12" s="378">
        <f>'Прил.5 Расчет СМР и ОБ'!D28</f>
        <v/>
      </c>
      <c r="E12" s="458">
        <f>'Прил.5 Расчет СМР и ОБ'!E28</f>
        <v/>
      </c>
      <c r="F12" s="399">
        <f>'Прил.5 Расчет СМР и ОБ'!F28</f>
        <v/>
      </c>
      <c r="G12" s="197">
        <f>ROUND(E12*F12,2)</f>
        <v/>
      </c>
    </row>
    <row r="13" ht="25.5" customHeight="1" s="302">
      <c r="A13" s="378" t="n"/>
      <c r="B13" s="387" t="n"/>
      <c r="C13" s="387" t="inlineStr">
        <is>
          <t>ИТОГО ТЕХНОЛОГИЧЕСКОЕ ОБОРУДОВАНИЕ</t>
        </is>
      </c>
      <c r="D13" s="387" t="n"/>
      <c r="E13" s="399" t="n"/>
      <c r="F13" s="389" t="n"/>
      <c r="G13" s="197">
        <f>SUM(G12:G12)</f>
        <v/>
      </c>
    </row>
    <row r="14" ht="19.5" customHeight="1" s="302">
      <c r="A14" s="378" t="n"/>
      <c r="B14" s="387" t="n"/>
      <c r="C14" s="387" t="inlineStr">
        <is>
          <t>Всего по разделу «Оборудование»</t>
        </is>
      </c>
      <c r="D14" s="387" t="n"/>
      <c r="E14" s="399" t="n"/>
      <c r="F14" s="389" t="n"/>
      <c r="G14" s="197">
        <f>G10+G13</f>
        <v/>
      </c>
    </row>
    <row r="15">
      <c r="A15" s="301" t="n"/>
      <c r="B15" s="296" t="n"/>
      <c r="C15" s="301" t="n"/>
      <c r="D15" s="301" t="n"/>
      <c r="E15" s="301" t="n"/>
      <c r="F15" s="301" t="n"/>
      <c r="G15" s="301" t="n"/>
    </row>
    <row r="16">
      <c r="A16" s="290" t="inlineStr">
        <is>
          <t>Составил ______________________    А.Р. Маркова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0" t="n"/>
      <c r="B18" s="300" t="n"/>
      <c r="C18" s="300" t="n"/>
      <c r="D18" s="301" t="n"/>
      <c r="E18" s="301" t="n"/>
      <c r="F18" s="301" t="n"/>
      <c r="G18" s="301" t="n"/>
    </row>
    <row r="19">
      <c r="A19" s="290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9.140625" customWidth="1" style="302" min="3" max="3"/>
    <col width="24.5703125" customWidth="1" style="302" min="4" max="4"/>
    <col width="8.85546875" customWidth="1" style="302" min="5" max="5"/>
  </cols>
  <sheetData>
    <row r="1">
      <c r="B1" s="290" t="n"/>
      <c r="C1" s="290" t="n"/>
      <c r="D1" s="395" t="inlineStr">
        <is>
          <t>Приложение №7</t>
        </is>
      </c>
    </row>
    <row r="2">
      <c r="A2" s="395" t="n"/>
      <c r="B2" s="395" t="n"/>
      <c r="C2" s="395" t="n"/>
      <c r="D2" s="395" t="n"/>
    </row>
    <row r="3" ht="24.75" customHeight="1" s="302">
      <c r="A3" s="350" t="inlineStr">
        <is>
          <t>Расчет показателя УНЦ</t>
        </is>
      </c>
    </row>
    <row r="4" ht="24.75" customHeight="1" s="302">
      <c r="A4" s="350" t="n"/>
      <c r="B4" s="350" t="n"/>
      <c r="C4" s="350" t="n"/>
      <c r="D4" s="350" t="n"/>
    </row>
    <row r="5" ht="24.6" customHeight="1" s="302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02">
      <c r="A6" s="353" t="inlineStr">
        <is>
          <t>Единица измерения  — 1 ед</t>
        </is>
      </c>
      <c r="D6" s="353" t="n"/>
    </row>
    <row r="7">
      <c r="A7" s="290" t="n"/>
      <c r="B7" s="290" t="n"/>
      <c r="C7" s="290" t="n"/>
      <c r="D7" s="290" t="n"/>
    </row>
    <row r="8" ht="14.45" customHeight="1" s="302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 ht="15" customHeight="1" s="302">
      <c r="A9" s="449" t="n"/>
      <c r="B9" s="449" t="n"/>
      <c r="C9" s="449" t="n"/>
      <c r="D9" s="449" t="n"/>
    </row>
    <row r="10">
      <c r="A10" s="378" t="n">
        <v>1</v>
      </c>
      <c r="B10" s="378" t="n">
        <v>2</v>
      </c>
      <c r="C10" s="378" t="n">
        <v>3</v>
      </c>
      <c r="D10" s="378" t="n">
        <v>4</v>
      </c>
    </row>
    <row r="11" ht="41.45" customHeight="1" s="302">
      <c r="A11" s="378" t="inlineStr">
        <is>
          <t>А6-02-2</t>
        </is>
      </c>
      <c r="B11" s="378" t="inlineStr">
        <is>
          <t xml:space="preserve">УНЦ системы ВЧ связи 35-750 кВ 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А.Р. Маркова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="60" zoomScaleNormal="85" workbookViewId="0">
      <selection activeCell="C27" sqref="C27"/>
    </sheetView>
  </sheetViews>
  <sheetFormatPr baseColWidth="8" defaultColWidth="9.140625" defaultRowHeight="15"/>
  <cols>
    <col width="9.140625" customWidth="1" style="302" min="1" max="1"/>
    <col width="40.7109375" customWidth="1" style="302" min="2" max="2"/>
    <col width="37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57" t="inlineStr">
        <is>
          <t>Приложение № 10</t>
        </is>
      </c>
    </row>
    <row r="5" ht="18.75" customHeight="1" s="302">
      <c r="B5" s="166" t="n"/>
    </row>
    <row r="6" ht="15.75" customHeight="1" s="302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02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02">
      <c r="B10" s="365" t="n">
        <v>1</v>
      </c>
      <c r="C10" s="365" t="n">
        <v>2</v>
      </c>
      <c r="D10" s="365" t="n">
        <v>3</v>
      </c>
    </row>
    <row r="11" ht="45" customHeight="1" s="302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01.04.2023г. №17772-ИФ/09 прил.9</t>
        </is>
      </c>
      <c r="D11" s="365" t="n">
        <v>46.83</v>
      </c>
    </row>
    <row r="12" ht="29.25" customHeight="1" s="302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01.04.2023г. №17772-ИФ/09 прил.9</t>
        </is>
      </c>
      <c r="D12" s="365" t="n">
        <v>11.96</v>
      </c>
    </row>
    <row r="13" ht="29.25" customHeight="1" s="302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01.04.2023г. №17772-ИФ/09 прил.9</t>
        </is>
      </c>
      <c r="D13" s="365" t="n">
        <v>9.84</v>
      </c>
    </row>
    <row r="14" ht="30.75" customHeight="1" s="302">
      <c r="B14" s="36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5" t="n">
        <v>6.26</v>
      </c>
    </row>
    <row r="15" ht="89.25" customHeight="1" s="302">
      <c r="B15" s="365" t="inlineStr">
        <is>
          <t>Временные здания и сооружения</t>
        </is>
      </c>
      <c r="C15" s="36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0.033</v>
      </c>
    </row>
    <row r="16" ht="78.75" customHeight="1" s="302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0.6" customHeight="1" s="302">
      <c r="B17" s="365" t="n"/>
      <c r="C17" s="365" t="n"/>
      <c r="D17" s="169" t="n"/>
    </row>
    <row r="18" ht="31.5" customHeight="1" s="302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02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169" t="n">
        <v>0.002</v>
      </c>
    </row>
    <row r="20" ht="24" customHeight="1" s="302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169" t="n">
        <v>0.03</v>
      </c>
    </row>
    <row r="21" ht="18.75" customHeight="1" s="302">
      <c r="B21" s="242" t="n"/>
    </row>
    <row r="23">
      <c r="B23" s="290" t="inlineStr">
        <is>
          <t>Составил ______________________        А.Р. Маркова</t>
        </is>
      </c>
      <c r="C23" s="300" t="n"/>
    </row>
    <row r="24">
      <c r="B24" s="299" t="inlineStr">
        <is>
          <t xml:space="preserve">                         (подпись, инициалы, фамилия)</t>
        </is>
      </c>
      <c r="C24" s="300" t="n"/>
    </row>
    <row r="25">
      <c r="B25" s="290" t="n"/>
      <c r="C25" s="300" t="n"/>
    </row>
    <row r="26">
      <c r="B26" s="290" t="inlineStr">
        <is>
          <t>Проверил ______________________        А.В. Костянецкая</t>
        </is>
      </c>
      <c r="C26" s="300" t="n"/>
    </row>
    <row r="27">
      <c r="B27" s="299" t="inlineStr">
        <is>
          <t xml:space="preserve">                        (подпись, инициалы, фамилия)</t>
        </is>
      </c>
      <c r="C27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21" sqref="D21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</cols>
  <sheetData>
    <row r="1" s="302"/>
    <row r="2" ht="17.25" customHeight="1" s="302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75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65" t="n"/>
      <c r="D10" s="365" t="n"/>
      <c r="E10" s="464" t="n">
        <v>4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5" t="n">
        <v>1.34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06" t="inlineStr">
        <is>
          <t>1.6</t>
        </is>
      </c>
      <c r="B12" s="37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6" t="n">
        <v>1.139</v>
      </c>
      <c r="F1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2">
      <c r="A13" s="30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348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2025-01-24T11:52:45Z</dcterms:modified>
  <cp:lastModifiedBy>Виктор Плотников</cp:lastModifiedBy>
</cp:coreProperties>
</file>