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ОБ'!$A$1:$J$62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_-* #,##0.0\ _₽_-;\-* #,##0.0\ _₽_-;_-* &quot;-&quot;??\ _₽_-;_-@_-"/>
    <numFmt numFmtId="167" formatCode="0.0000"/>
    <numFmt numFmtId="168" formatCode="0.000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8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0" fillId="0" borderId="0" applyAlignment="1" pivotButton="0" quotePrefix="0" xfId="0">
      <alignment horizontal="center" vertical="center"/>
    </xf>
    <xf numFmtId="166" fontId="16" fillId="0" borderId="0" pivotButton="0" quotePrefix="0" xfId="0"/>
    <xf numFmtId="10" fontId="16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167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7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1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vertical="top" wrapText="1"/>
    </xf>
    <xf numFmtId="0" fontId="8" fillId="0" borderId="0" applyAlignment="1" pivotButton="0" quotePrefix="0" xfId="0">
      <alignment wrapText="1"/>
    </xf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10" fontId="1" fillId="4" borderId="1" applyAlignment="1" pivotButton="0" quotePrefix="0" xfId="0">
      <alignment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0" fontId="1" fillId="4" borderId="0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0" fontId="4" fillId="4" borderId="5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9" fontId="1" fillId="4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/>
    </xf>
    <xf numFmtId="4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43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1" pivotButton="0" quotePrefix="0" xfId="0"/>
    <xf numFmtId="4" fontId="16" fillId="0" borderId="6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3" fillId="0" borderId="7" applyAlignment="1" pivotButton="0" quotePrefix="0" xfId="0">
      <alignment vertical="center" wrapText="1"/>
    </xf>
    <xf numFmtId="4" fontId="23" fillId="0" borderId="4" applyAlignment="1" pivotButton="0" quotePrefix="0" xfId="0">
      <alignment vertical="center" wrapText="1"/>
    </xf>
    <xf numFmtId="4" fontId="23" fillId="0" borderId="6" applyAlignment="1" pivotButton="0" quotePrefix="0" xfId="0">
      <alignment vertical="center" wrapText="1"/>
    </xf>
    <xf numFmtId="4" fontId="23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3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2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right" vertical="center" wrapText="1"/>
    </xf>
    <xf numFmtId="10" fontId="1" fillId="4" borderId="8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7" pivotButton="0" quotePrefix="0" xfId="0"/>
    <xf numFmtId="43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6" fontId="16" fillId="0" borderId="0" pivotButton="0" quotePrefix="0" xfId="0"/>
    <xf numFmtId="43" fontId="16" fillId="0" borderId="0" applyAlignment="1" pivotButton="0" quotePrefix="0" xfId="0">
      <alignment vertical="center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7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6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21" min="1" max="2"/>
    <col width="51.7109375" customWidth="1" style="321" min="3" max="3"/>
    <col width="47" customWidth="1" style="321" min="4" max="4"/>
    <col width="37.42578125" customWidth="1" style="321" min="5" max="5"/>
    <col width="9.140625" customWidth="1" style="321" min="6" max="6"/>
  </cols>
  <sheetData>
    <row r="3">
      <c r="B3" s="373" t="inlineStr">
        <is>
          <t>Приложение № 1</t>
        </is>
      </c>
    </row>
    <row r="4">
      <c r="B4" s="374" t="inlineStr">
        <is>
          <t>Сравнительная таблица отбора объекта-представителя</t>
        </is>
      </c>
    </row>
    <row r="5" ht="24.6" customHeight="1" s="319">
      <c r="B5" s="376" t="n"/>
    </row>
    <row r="6" ht="18.75" customHeight="1" s="319">
      <c r="B6" s="236" t="n"/>
      <c r="C6" s="236" t="n"/>
      <c r="D6" s="236" t="n"/>
    </row>
    <row r="7">
      <c r="B7" s="375" t="inlineStr">
        <is>
          <t>Наименование разрабатываемого показателя УНЦ -ВЧ-заградитель (ВЧЗ) на ЛЭП 330 кВ</t>
        </is>
      </c>
    </row>
    <row r="8" ht="15.75" customHeight="1" s="319">
      <c r="B8" s="375" t="inlineStr">
        <is>
          <t>Сопоставимый уровень цен:  - 4 квартал 2019 года</t>
        </is>
      </c>
    </row>
    <row r="9" ht="15.75" customHeight="1" s="319">
      <c r="B9" s="375" t="inlineStr">
        <is>
          <t>Единица измерения  — 1 ед.</t>
        </is>
      </c>
    </row>
    <row r="10">
      <c r="B10" s="375" t="n"/>
    </row>
    <row r="11">
      <c r="B11" s="381" t="inlineStr">
        <is>
          <t>№ п/п</t>
        </is>
      </c>
      <c r="C11" s="381" t="inlineStr">
        <is>
          <t>Параметр</t>
        </is>
      </c>
      <c r="D11" s="381" t="inlineStr">
        <is>
          <t xml:space="preserve">Объект-представитель </t>
        </is>
      </c>
      <c r="E11" s="217" t="n"/>
    </row>
    <row r="12" ht="31.5" customHeight="1" s="319">
      <c r="B12" s="381" t="n">
        <v>1</v>
      </c>
      <c r="C12" s="386" t="inlineStr">
        <is>
          <t>Наименование объекта-представителя</t>
        </is>
      </c>
      <c r="D12" s="381" t="inlineStr">
        <is>
          <t>Строительство ПС 330 кВ Мурманская с заходами ВЛ 330 кВ. Корректировка -2</t>
        </is>
      </c>
    </row>
    <row r="13">
      <c r="B13" s="381" t="n">
        <v>2</v>
      </c>
      <c r="C13" s="386" t="inlineStr">
        <is>
          <t>Наименование субъекта Российской Федерации</t>
        </is>
      </c>
      <c r="D13" s="381" t="inlineStr">
        <is>
          <t>Мурманская область</t>
        </is>
      </c>
    </row>
    <row r="14">
      <c r="B14" s="381" t="n">
        <v>3</v>
      </c>
      <c r="C14" s="386" t="inlineStr">
        <is>
          <t>Климатический район и подрайон</t>
        </is>
      </c>
      <c r="D14" s="381" t="inlineStr">
        <is>
          <t>IIА</t>
        </is>
      </c>
    </row>
    <row r="15">
      <c r="B15" s="381" t="n">
        <v>4</v>
      </c>
      <c r="C15" s="386" t="inlineStr">
        <is>
          <t>Мощность объекта</t>
        </is>
      </c>
      <c r="D15" s="381" t="n">
        <v>1</v>
      </c>
    </row>
    <row r="16" ht="63" customHeight="1" s="319">
      <c r="B16" s="381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81" t="inlineStr">
        <is>
          <t>ВЧ заградитель 330 кВ</t>
        </is>
      </c>
    </row>
    <row r="17" ht="63" customHeight="1" s="319">
      <c r="B17" s="381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59">
        <f>D18+D19+D20+D21</f>
        <v/>
      </c>
      <c r="E17" s="235" t="n"/>
    </row>
    <row r="18">
      <c r="B18" s="350" t="inlineStr">
        <is>
          <t>6.1</t>
        </is>
      </c>
      <c r="C18" s="386" t="inlineStr">
        <is>
          <t>строительно-монтажные работы</t>
        </is>
      </c>
      <c r="D18" s="359" t="n">
        <v>10.93</v>
      </c>
    </row>
    <row r="19" ht="15.75" customHeight="1" s="319">
      <c r="B19" s="350" t="inlineStr">
        <is>
          <t>6.2</t>
        </is>
      </c>
      <c r="C19" s="386" t="inlineStr">
        <is>
          <t>оборудование и инвентарь</t>
        </is>
      </c>
      <c r="D19" s="359" t="n">
        <v>2602.37</v>
      </c>
    </row>
    <row r="20" ht="16.5" customHeight="1" s="319">
      <c r="B20" s="350" t="inlineStr">
        <is>
          <t>6.3</t>
        </is>
      </c>
      <c r="C20" s="386" t="inlineStr">
        <is>
          <t>пусконаладочные работы</t>
        </is>
      </c>
      <c r="D20" s="359" t="n"/>
    </row>
    <row r="21">
      <c r="B21" s="350" t="inlineStr">
        <is>
          <t>6.4</t>
        </is>
      </c>
      <c r="C21" s="215" t="inlineStr">
        <is>
          <t>прочие и лимитированные затраты</t>
        </is>
      </c>
      <c r="D21" s="359" t="n"/>
    </row>
    <row r="22">
      <c r="B22" s="381" t="n">
        <v>7</v>
      </c>
      <c r="C22" s="215" t="inlineStr">
        <is>
          <t>Сопоставимый уровень цен</t>
        </is>
      </c>
      <c r="D22" s="360" t="inlineStr">
        <is>
          <t>4 квартал 2019 года</t>
        </is>
      </c>
      <c r="E22" s="213" t="n"/>
    </row>
    <row r="23" ht="78.75" customHeight="1" s="319">
      <c r="B23" s="381" t="n">
        <v>8</v>
      </c>
      <c r="C23" s="21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59">
        <f>D17</f>
        <v/>
      </c>
      <c r="E23" s="235" t="n"/>
    </row>
    <row r="24" ht="31.5" customHeight="1" s="319">
      <c r="B24" s="381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59">
        <f>D23/D15</f>
        <v/>
      </c>
      <c r="E24" s="213" t="n"/>
    </row>
    <row r="25">
      <c r="B25" s="381" t="n">
        <v>10</v>
      </c>
      <c r="C25" s="386" t="inlineStr">
        <is>
          <t>Примечание</t>
        </is>
      </c>
      <c r="D25" s="386" t="n"/>
    </row>
    <row r="26">
      <c r="B26" s="387" t="n"/>
      <c r="C26" s="275" t="n"/>
      <c r="D26" s="275" t="n"/>
    </row>
    <row r="27" ht="37.5" customHeight="1" s="319">
      <c r="B27" s="209" t="n"/>
    </row>
    <row r="28">
      <c r="B28" s="321" t="inlineStr">
        <is>
          <t>Составил ______________________    А.Р. Маркова</t>
        </is>
      </c>
    </row>
    <row r="29">
      <c r="B29" s="209" t="inlineStr">
        <is>
          <t xml:space="preserve">                         (подпись, инициалы, фамилия)</t>
        </is>
      </c>
    </row>
    <row r="31">
      <c r="B31" s="321" t="inlineStr">
        <is>
          <t>Проверил ______________________        А.В. Костянецкая</t>
        </is>
      </c>
    </row>
    <row r="32">
      <c r="B32" s="20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3" zoomScale="115" zoomScaleNormal="70" zoomScaleSheetLayoutView="115" workbookViewId="0">
      <selection activeCell="E19" sqref="E19"/>
    </sheetView>
  </sheetViews>
  <sheetFormatPr baseColWidth="8" defaultColWidth="9.140625" defaultRowHeight="15.75"/>
  <cols>
    <col width="5.5703125" customWidth="1" style="321" min="1" max="1"/>
    <col width="9.140625" customWidth="1" style="321" min="2" max="2"/>
    <col width="35.28515625" customWidth="1" style="321" min="3" max="3"/>
    <col width="13.85546875" customWidth="1" style="321" min="4" max="4"/>
    <col width="24.85546875" customWidth="1" style="321" min="5" max="5"/>
    <col width="15.5703125" customWidth="1" style="321" min="6" max="6"/>
    <col width="14.85546875" customWidth="1" style="321" min="7" max="7"/>
    <col width="16.7109375" customWidth="1" style="321" min="8" max="8"/>
    <col width="13" customWidth="1" style="321" min="9" max="10"/>
    <col width="18" customWidth="1" style="321" min="11" max="11"/>
    <col width="9.140625" customWidth="1" style="321" min="12" max="12"/>
  </cols>
  <sheetData>
    <row r="3">
      <c r="B3" s="373" t="inlineStr">
        <is>
          <t>Приложение № 2</t>
        </is>
      </c>
      <c r="K3" s="209" t="n"/>
    </row>
    <row r="4">
      <c r="B4" s="374" t="inlineStr">
        <is>
          <t>Расчет стоимости основных видов работ для выбора объекта-представителя</t>
        </is>
      </c>
    </row>
    <row r="5">
      <c r="B5" s="218" t="n"/>
      <c r="C5" s="218" t="n"/>
      <c r="D5" s="218" t="n"/>
      <c r="E5" s="218" t="n"/>
      <c r="F5" s="218" t="n"/>
      <c r="G5" s="218" t="n"/>
      <c r="H5" s="218" t="n"/>
      <c r="I5" s="218" t="n"/>
      <c r="J5" s="218" t="n"/>
      <c r="K5" s="218" t="n"/>
    </row>
    <row r="6">
      <c r="B6" s="382">
        <f>'Прил.1 Сравнит табл'!B7:D7</f>
        <v/>
      </c>
      <c r="K6" s="275" t="n"/>
    </row>
    <row r="7">
      <c r="B7" s="375">
        <f>'Прил.1 Сравнит табл'!B9:D9</f>
        <v/>
      </c>
    </row>
    <row r="8" ht="18.75" customHeight="1" s="319">
      <c r="B8" s="237" t="n"/>
    </row>
    <row r="9" ht="15.75" customHeight="1" s="319">
      <c r="B9" s="381" t="inlineStr">
        <is>
          <t>№ п/п</t>
        </is>
      </c>
      <c r="C9" s="38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81" t="inlineStr">
        <is>
          <t>Объект-представитель 1</t>
        </is>
      </c>
      <c r="E9" s="468" t="n"/>
      <c r="F9" s="468" t="n"/>
      <c r="G9" s="468" t="n"/>
      <c r="H9" s="468" t="n"/>
      <c r="I9" s="468" t="n"/>
      <c r="J9" s="469" t="n"/>
    </row>
    <row r="10" ht="15.75" customHeight="1" s="319">
      <c r="B10" s="470" t="n"/>
      <c r="C10" s="470" t="n"/>
      <c r="D10" s="381" t="inlineStr">
        <is>
          <t>Номер сметы</t>
        </is>
      </c>
      <c r="E10" s="381" t="inlineStr">
        <is>
          <t>Наименование сметы</t>
        </is>
      </c>
      <c r="F10" s="381" t="inlineStr">
        <is>
          <t>Сметная стоимость в уровне цен 4 кв. 2019 г., тыс. руб.</t>
        </is>
      </c>
      <c r="G10" s="468" t="n"/>
      <c r="H10" s="468" t="n"/>
      <c r="I10" s="468" t="n"/>
      <c r="J10" s="469" t="n"/>
    </row>
    <row r="11" ht="31.5" customHeight="1" s="319">
      <c r="B11" s="471" t="n"/>
      <c r="C11" s="471" t="n"/>
      <c r="D11" s="471" t="n"/>
      <c r="E11" s="471" t="n"/>
      <c r="F11" s="221" t="inlineStr">
        <is>
          <t>Строительные работы</t>
        </is>
      </c>
      <c r="G11" s="381" t="inlineStr">
        <is>
          <t>Монтажные работы</t>
        </is>
      </c>
      <c r="H11" s="381" t="inlineStr">
        <is>
          <t>Оборудование</t>
        </is>
      </c>
      <c r="I11" s="381" t="inlineStr">
        <is>
          <t>Прочее</t>
        </is>
      </c>
      <c r="J11" s="381" t="inlineStr">
        <is>
          <t>Всего</t>
        </is>
      </c>
    </row>
    <row r="12" ht="94.5" customHeight="1" s="319">
      <c r="B12" s="381" t="n">
        <v>1</v>
      </c>
      <c r="C12" s="381" t="inlineStr">
        <is>
          <t>ВЧ заградитель 330 кВ</t>
        </is>
      </c>
      <c r="D12" s="350" t="inlineStr">
        <is>
          <t>02-02-03</t>
        </is>
      </c>
      <c r="E12" s="351" t="inlineStr">
        <is>
          <t>ПС 330 кВ Мурманская. ОРУ 330 кВ.Электротехнические решения. Монтаж основного оборудования.</t>
        </is>
      </c>
      <c r="F12" s="352" t="n"/>
      <c r="G12" s="353">
        <f>10927.19/1000</f>
        <v/>
      </c>
      <c r="H12" s="359">
        <f>2602367.27/1000</f>
        <v/>
      </c>
      <c r="I12" s="359" t="n"/>
      <c r="J12" s="359">
        <f>SUM(G12:I12)</f>
        <v/>
      </c>
    </row>
    <row r="13" ht="15" customHeight="1" s="319">
      <c r="B13" s="377" t="inlineStr">
        <is>
          <t>Всего по объекту:</t>
        </is>
      </c>
      <c r="C13" s="472" t="n"/>
      <c r="D13" s="472" t="n"/>
      <c r="E13" s="473" t="n"/>
      <c r="F13" s="352" t="n"/>
      <c r="G13" s="355">
        <f>SUM(G12)</f>
        <v/>
      </c>
      <c r="H13" s="356">
        <f>SUM(H12)</f>
        <v/>
      </c>
      <c r="I13" s="356" t="n"/>
      <c r="J13" s="356">
        <f>SUM(J12)</f>
        <v/>
      </c>
    </row>
    <row r="14">
      <c r="B14" s="379" t="inlineStr">
        <is>
          <t>Всего по объекту в сопоставимом уровне цен 4 кв. 2019 г:</t>
        </is>
      </c>
      <c r="C14" s="468" t="n"/>
      <c r="D14" s="468" t="n"/>
      <c r="E14" s="469" t="n"/>
      <c r="F14" s="352" t="n"/>
      <c r="G14" s="357">
        <f>G13</f>
        <v/>
      </c>
      <c r="H14" s="358">
        <f>H13</f>
        <v/>
      </c>
      <c r="I14" s="358" t="n"/>
      <c r="J14" s="358">
        <f>SUM(G14:I14)</f>
        <v/>
      </c>
    </row>
    <row r="15" ht="15" customHeight="1" s="319"/>
    <row r="16" ht="15" customHeight="1" s="319"/>
    <row r="17" ht="15" customHeight="1" s="319"/>
    <row r="18" ht="15" customHeight="1" s="319">
      <c r="C18" s="307" t="inlineStr">
        <is>
          <t>Составил ______________________     А.Р. Маркова</t>
        </is>
      </c>
      <c r="D18" s="317" t="n"/>
      <c r="E18" s="317" t="n"/>
    </row>
    <row r="19" ht="15" customHeight="1" s="319">
      <c r="C19" s="316" t="inlineStr">
        <is>
          <t xml:space="preserve">                         (подпись, инициалы, фамилия)</t>
        </is>
      </c>
      <c r="D19" s="317" t="n"/>
      <c r="E19" s="317" t="n"/>
    </row>
    <row r="20" ht="15" customHeight="1" s="319">
      <c r="C20" s="307" t="n"/>
      <c r="D20" s="317" t="n"/>
      <c r="E20" s="317" t="n"/>
    </row>
    <row r="21" ht="15" customHeight="1" s="319">
      <c r="C21" s="307" t="inlineStr">
        <is>
          <t>Проверил ______________________        А.В. Костянецкая</t>
        </is>
      </c>
      <c r="D21" s="317" t="n"/>
      <c r="E21" s="317" t="n"/>
    </row>
    <row r="22" ht="15" customHeight="1" s="319">
      <c r="C22" s="316" t="inlineStr">
        <is>
          <t xml:space="preserve">                        (подпись, инициалы, фамилия)</t>
        </is>
      </c>
      <c r="D22" s="317" t="n"/>
      <c r="E22" s="317" t="n"/>
    </row>
    <row r="23" ht="15" customHeight="1" s="319"/>
    <row r="24" ht="15" customHeight="1" s="319"/>
    <row r="25" ht="15" customHeight="1" s="319"/>
    <row r="26" ht="15" customHeight="1" s="319"/>
    <row r="27" ht="15" customHeight="1" s="319"/>
    <row r="28" ht="15" customHeight="1" s="31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2"/>
  <sheetViews>
    <sheetView view="pageBreakPreview" topLeftCell="A11" zoomScale="85" zoomScaleSheetLayoutView="85" workbookViewId="0">
      <selection activeCell="E41" sqref="E41"/>
    </sheetView>
  </sheetViews>
  <sheetFormatPr baseColWidth="8" defaultColWidth="9.140625" defaultRowHeight="15.75"/>
  <cols>
    <col width="9.140625" customWidth="1" style="321" min="1" max="1"/>
    <col width="12.5703125" customWidth="1" style="321" min="2" max="2"/>
    <col width="22.42578125" customWidth="1" style="259" min="3" max="3"/>
    <col width="49.7109375" customWidth="1" style="321" min="4" max="4"/>
    <col width="10.140625" customWidth="1" style="259" min="5" max="5"/>
    <col width="20.7109375" customWidth="1" style="259" min="6" max="6"/>
    <col width="20" customWidth="1" style="261" min="7" max="7"/>
    <col width="16" customWidth="1" style="209" min="8" max="8"/>
    <col width="9.140625" customWidth="1" style="321" min="9" max="10"/>
    <col width="15" customWidth="1" style="321" min="11" max="11"/>
    <col width="9.140625" customWidth="1" style="321" min="12" max="12"/>
  </cols>
  <sheetData>
    <row r="2">
      <c r="A2" s="373" t="inlineStr">
        <is>
          <t xml:space="preserve">Приложение № 3 </t>
        </is>
      </c>
    </row>
    <row r="3">
      <c r="A3" s="374" t="inlineStr">
        <is>
          <t>Объектная ресурсная ведомость</t>
        </is>
      </c>
    </row>
    <row r="4" s="319">
      <c r="A4" s="374" t="n"/>
      <c r="B4" s="374" t="n"/>
      <c r="C4" s="374" t="n"/>
      <c r="D4" s="374" t="n"/>
      <c r="E4" s="374" t="n"/>
      <c r="F4" s="374" t="n"/>
      <c r="G4" s="374" t="n"/>
      <c r="H4" s="374" t="n"/>
      <c r="I4" s="321" t="n"/>
      <c r="J4" s="321" t="n"/>
      <c r="K4" s="321" t="n"/>
      <c r="L4" s="321" t="n"/>
    </row>
    <row r="5" ht="18.75" customHeight="1" s="319">
      <c r="A5" s="242" t="n"/>
      <c r="B5" s="242" t="n"/>
      <c r="C5" s="388" t="n"/>
    </row>
    <row r="6">
      <c r="A6" s="375" t="n"/>
    </row>
    <row r="7">
      <c r="A7" s="387" t="inlineStr">
        <is>
          <t>Наименование разрабатываемого показателя УНЦ - ВЧ-заградитель (ВЧЗ) на ЛЭП 330 кВ</t>
        </is>
      </c>
    </row>
    <row r="8">
      <c r="A8" s="219" t="n"/>
      <c r="B8" s="219" t="n"/>
      <c r="D8" s="219" t="n"/>
      <c r="G8" s="262" t="n"/>
    </row>
    <row r="9" ht="38.25" customHeight="1" s="319">
      <c r="A9" s="381" t="inlineStr">
        <is>
          <t>п/п</t>
        </is>
      </c>
      <c r="B9" s="381" t="inlineStr">
        <is>
          <t>№ЛСР</t>
        </is>
      </c>
      <c r="C9" s="381" t="inlineStr">
        <is>
          <t>Код ресурса</t>
        </is>
      </c>
      <c r="D9" s="381" t="inlineStr">
        <is>
          <t>Наименование ресурса</t>
        </is>
      </c>
      <c r="E9" s="381" t="inlineStr">
        <is>
          <t>Ед. изм.</t>
        </is>
      </c>
      <c r="F9" s="381" t="inlineStr">
        <is>
          <t>Кол-во единиц по данным объекта-представителя</t>
        </is>
      </c>
      <c r="G9" s="381" t="inlineStr">
        <is>
          <t>Сметная стоимость в ценах на 01.01.2000 (руб.)</t>
        </is>
      </c>
      <c r="H9" s="469" t="n"/>
    </row>
    <row r="10" ht="40.5" customHeight="1" s="319">
      <c r="A10" s="471" t="n"/>
      <c r="B10" s="471" t="n"/>
      <c r="C10" s="471" t="n"/>
      <c r="D10" s="471" t="n"/>
      <c r="E10" s="471" t="n"/>
      <c r="F10" s="471" t="n"/>
      <c r="G10" s="381" t="inlineStr">
        <is>
          <t>на ед.изм.</t>
        </is>
      </c>
      <c r="H10" s="381" t="inlineStr">
        <is>
          <t>общая</t>
        </is>
      </c>
    </row>
    <row r="11">
      <c r="A11" s="221" t="n">
        <v>1</v>
      </c>
      <c r="B11" s="221" t="n"/>
      <c r="C11" s="260" t="n">
        <v>2</v>
      </c>
      <c r="D11" s="221" t="inlineStr">
        <is>
          <t>З</t>
        </is>
      </c>
      <c r="E11" s="260" t="n">
        <v>4</v>
      </c>
      <c r="F11" s="260" t="n">
        <v>5</v>
      </c>
      <c r="G11" s="260" t="n">
        <v>6</v>
      </c>
      <c r="H11" s="221" t="n">
        <v>7</v>
      </c>
    </row>
    <row r="12" customFormat="1" s="220">
      <c r="A12" s="384" t="inlineStr">
        <is>
          <t>Затраты труда рабочих</t>
        </is>
      </c>
      <c r="B12" s="468" t="n"/>
      <c r="C12" s="468" t="n"/>
      <c r="D12" s="468" t="n"/>
      <c r="E12" s="469" t="n"/>
      <c r="F12" s="474" t="n">
        <v>8.720000000000001</v>
      </c>
      <c r="G12" s="11" t="n"/>
      <c r="H12" s="475">
        <f>SUM(H13:H13)</f>
        <v/>
      </c>
    </row>
    <row r="13">
      <c r="A13" s="394" t="n">
        <v>1</v>
      </c>
      <c r="B13" s="342" t="n"/>
      <c r="C13" s="343" t="inlineStr">
        <is>
          <t>1-4-0</t>
        </is>
      </c>
      <c r="D13" s="279" t="inlineStr">
        <is>
          <t>Затраты труда рабочих (средний разряд работы 4,0)</t>
        </is>
      </c>
      <c r="E13" s="290" t="inlineStr">
        <is>
          <t>чел.-ч</t>
        </is>
      </c>
      <c r="F13" s="290" t="n">
        <v>8.720000000000001</v>
      </c>
      <c r="G13" s="279" t="n">
        <v>9.619999999999999</v>
      </c>
      <c r="H13" s="309">
        <f>ROUND(F13*G13,2)</f>
        <v/>
      </c>
      <c r="M13" s="476" t="n"/>
    </row>
    <row r="14">
      <c r="A14" s="383" t="inlineStr">
        <is>
          <t>Затраты труда машинистов</t>
        </is>
      </c>
      <c r="B14" s="468" t="n"/>
      <c r="C14" s="468" t="n"/>
      <c r="D14" s="468" t="n"/>
      <c r="E14" s="469" t="n"/>
      <c r="F14" s="344" t="n"/>
      <c r="G14" s="345" t="n"/>
      <c r="H14" s="475">
        <f>H15</f>
        <v/>
      </c>
    </row>
    <row r="15">
      <c r="A15" s="394" t="n">
        <v>2</v>
      </c>
      <c r="B15" s="385" t="n"/>
      <c r="C15" s="196" t="n">
        <v>2</v>
      </c>
      <c r="D15" s="404" t="inlineStr">
        <is>
          <t>Затраты труда машинистов(справочно)</t>
        </is>
      </c>
      <c r="E15" s="394" t="inlineStr">
        <is>
          <t>чел.-ч</t>
        </is>
      </c>
      <c r="F15" s="394" t="n">
        <v>2.21</v>
      </c>
      <c r="G15" s="193" t="n"/>
      <c r="H15" s="249" t="n">
        <v>22.64</v>
      </c>
    </row>
    <row r="16" customFormat="1" s="220">
      <c r="A16" s="384" t="inlineStr">
        <is>
          <t>Машины и механизмы</t>
        </is>
      </c>
      <c r="B16" s="468" t="n"/>
      <c r="C16" s="468" t="n"/>
      <c r="D16" s="468" t="n"/>
      <c r="E16" s="469" t="n"/>
      <c r="F16" s="344" t="n"/>
      <c r="G16" s="345" t="n"/>
      <c r="H16" s="475">
        <f>SUM(H17:H20)</f>
        <v/>
      </c>
    </row>
    <row r="17">
      <c r="A17" s="394" t="n">
        <v>3</v>
      </c>
      <c r="B17" s="385" t="n"/>
      <c r="C17" s="290" t="inlineStr">
        <is>
          <t>91.06.06-012</t>
        </is>
      </c>
      <c r="D17" s="279" t="inlineStr">
        <is>
          <t>Автогидроподъемники, высота подъема 18 м</t>
        </is>
      </c>
      <c r="E17" s="290" t="inlineStr">
        <is>
          <t>маш.-ч.</t>
        </is>
      </c>
      <c r="F17" s="290" t="n">
        <v>2.04</v>
      </c>
      <c r="G17" s="279" t="n">
        <v>113.14</v>
      </c>
      <c r="H17" s="309">
        <f>ROUND(F17*G17,2)</f>
        <v/>
      </c>
      <c r="I17" s="244" t="n"/>
      <c r="J17" s="244" t="n"/>
      <c r="L17" s="244" t="n"/>
    </row>
    <row r="18" ht="25.5" customFormat="1" customHeight="1" s="220">
      <c r="A18" s="394" t="n">
        <v>4</v>
      </c>
      <c r="B18" s="385" t="n"/>
      <c r="C18" s="290" t="inlineStr">
        <is>
          <t>91.05.05-015</t>
        </is>
      </c>
      <c r="D18" s="279" t="inlineStr">
        <is>
          <t>Краны на автомобильном ходу, грузоподъемность 16 т</t>
        </is>
      </c>
      <c r="E18" s="290" t="inlineStr">
        <is>
          <t>маш.-ч.</t>
        </is>
      </c>
      <c r="F18" s="290" t="n">
        <v>0.08</v>
      </c>
      <c r="G18" s="279" t="n">
        <v>115.38</v>
      </c>
      <c r="H18" s="309">
        <f>ROUND(F18*G18,2)</f>
        <v/>
      </c>
      <c r="I18" s="244" t="n"/>
      <c r="J18" s="244" t="n"/>
      <c r="L18" s="244" t="n"/>
    </row>
    <row r="19">
      <c r="A19" s="394" t="n">
        <v>5</v>
      </c>
      <c r="B19" s="385" t="n"/>
      <c r="C19" s="290" t="inlineStr">
        <is>
          <t>91.14.02-001</t>
        </is>
      </c>
      <c r="D19" s="279" t="inlineStr">
        <is>
          <t>Автомобили бортовые, грузоподъемность до 5 т</t>
        </is>
      </c>
      <c r="E19" s="290" t="inlineStr">
        <is>
          <t>маш.-ч.</t>
        </is>
      </c>
      <c r="F19" s="290" t="n">
        <v>0.09</v>
      </c>
      <c r="G19" s="279" t="n">
        <v>65.67</v>
      </c>
      <c r="H19" s="309">
        <f>ROUND(F19*G19,2)</f>
        <v/>
      </c>
      <c r="I19" s="244" t="n"/>
      <c r="J19" s="244" t="n"/>
      <c r="K19" s="244" t="n"/>
      <c r="L19" s="244" t="n"/>
    </row>
    <row r="20" ht="25.5" customHeight="1" s="319">
      <c r="A20" s="394" t="n">
        <v>6</v>
      </c>
      <c r="B20" s="385" t="n"/>
      <c r="C20" s="290" t="inlineStr">
        <is>
          <t>91.06.03-060</t>
        </is>
      </c>
      <c r="D20" s="279" t="inlineStr">
        <is>
          <t>Лебедки электрические тяговым усилием до 5,79 кН (0,59 т)</t>
        </is>
      </c>
      <c r="E20" s="290" t="inlineStr">
        <is>
          <t>маш.-ч.</t>
        </is>
      </c>
      <c r="F20" s="290" t="n">
        <v>2.04</v>
      </c>
      <c r="G20" s="279" t="n">
        <v>1.7</v>
      </c>
      <c r="H20" s="309">
        <f>ROUND(F20*G20,2)</f>
        <v/>
      </c>
      <c r="I20" s="244" t="n"/>
      <c r="J20" s="244" t="n"/>
      <c r="L20" s="244" t="n"/>
    </row>
    <row r="21" ht="15" customHeight="1" s="319">
      <c r="A21" s="383" t="inlineStr">
        <is>
          <t>Оборудование</t>
        </is>
      </c>
      <c r="B21" s="468" t="n"/>
      <c r="C21" s="468" t="n"/>
      <c r="D21" s="468" t="n"/>
      <c r="E21" s="469" t="n"/>
      <c r="F21" s="408" t="n"/>
      <c r="G21" s="11" t="n"/>
      <c r="H21" s="475">
        <f>SUM(H22:H22)</f>
        <v/>
      </c>
    </row>
    <row r="22" ht="19.9" customHeight="1" s="319">
      <c r="A22" s="347" t="n">
        <v>7</v>
      </c>
      <c r="B22" s="403" t="n"/>
      <c r="C22" s="290" t="inlineStr">
        <is>
          <t>Прайс из СД ОП</t>
        </is>
      </c>
      <c r="D22" s="289" t="inlineStr">
        <is>
          <t>ВЧ заградитель 2000А, 0,5 мГн</t>
        </is>
      </c>
      <c r="E22" s="290" t="inlineStr">
        <is>
          <t>шт</t>
        </is>
      </c>
      <c r="F22" s="290" t="n">
        <v>3</v>
      </c>
      <c r="G22" s="285" t="n">
        <v>181476.099</v>
      </c>
      <c r="H22" s="309">
        <f>ROUND(F22*G22,2)</f>
        <v/>
      </c>
      <c r="I22" s="239" t="n"/>
    </row>
    <row r="23">
      <c r="A23" s="384" t="inlineStr">
        <is>
          <t>Материалы</t>
        </is>
      </c>
      <c r="B23" s="468" t="n"/>
      <c r="C23" s="468" t="n"/>
      <c r="D23" s="468" t="n"/>
      <c r="E23" s="469" t="n"/>
      <c r="F23" s="344" t="n"/>
      <c r="G23" s="345" t="n"/>
      <c r="H23" s="475">
        <f>SUM(H24:H36)</f>
        <v/>
      </c>
    </row>
    <row r="24">
      <c r="A24" s="347" t="n">
        <v>8</v>
      </c>
      <c r="B24" s="385" t="n"/>
      <c r="C24" s="290" t="inlineStr">
        <is>
          <t>20.1.01.12-0016</t>
        </is>
      </c>
      <c r="D24" s="279" t="inlineStr">
        <is>
          <t>Зажим поддерживающий глухой ПГН-5-3</t>
        </is>
      </c>
      <c r="E24" s="290" t="inlineStr">
        <is>
          <t>шт</t>
        </is>
      </c>
      <c r="F24" s="290" t="n">
        <v>2</v>
      </c>
      <c r="G24" s="279" t="n">
        <v>266.27</v>
      </c>
      <c r="H24" s="309">
        <f>ROUND(F24*G24,2)</f>
        <v/>
      </c>
      <c r="I24" s="239" t="n"/>
      <c r="J24" s="244" t="n"/>
      <c r="K24" s="244" t="n"/>
    </row>
    <row r="25">
      <c r="A25" s="347" t="n">
        <v>9</v>
      </c>
      <c r="B25" s="385" t="n"/>
      <c r="C25" s="290" t="inlineStr">
        <is>
          <t>22.2.02.04-0036</t>
        </is>
      </c>
      <c r="D25" s="279" t="inlineStr">
        <is>
          <t>Звено промежуточное регулируемое ПРР-12-1</t>
        </is>
      </c>
      <c r="E25" s="290" t="inlineStr">
        <is>
          <t>шт</t>
        </is>
      </c>
      <c r="F25" s="290" t="n">
        <v>1</v>
      </c>
      <c r="G25" s="279" t="n">
        <v>193.24</v>
      </c>
      <c r="H25" s="309">
        <f>ROUND(F25*G25,2)</f>
        <v/>
      </c>
      <c r="I25" s="239" t="n"/>
      <c r="J25" s="244" t="n"/>
      <c r="K25" s="244" t="n"/>
      <c r="L25" s="244" t="n"/>
    </row>
    <row r="26">
      <c r="A26" s="347" t="n">
        <v>10</v>
      </c>
      <c r="B26" s="385" t="n"/>
      <c r="C26" s="290" t="inlineStr">
        <is>
          <t>20.1.02.22-0006</t>
        </is>
      </c>
      <c r="D26" s="279" t="inlineStr">
        <is>
          <t>Ушко однолапчатое У1-12-16</t>
        </is>
      </c>
      <c r="E26" s="290" t="inlineStr">
        <is>
          <t>шт</t>
        </is>
      </c>
      <c r="F26" s="290" t="n">
        <v>1</v>
      </c>
      <c r="G26" s="279" t="n">
        <v>137.86</v>
      </c>
      <c r="H26" s="309">
        <f>ROUND(F26*G26,2)</f>
        <v/>
      </c>
      <c r="I26" s="239" t="n"/>
      <c r="J26" s="244" t="n"/>
      <c r="K26" s="244" t="n"/>
    </row>
    <row r="27">
      <c r="A27" s="347" t="n">
        <v>11</v>
      </c>
      <c r="B27" s="385" t="n"/>
      <c r="C27" s="290" t="inlineStr">
        <is>
          <t>22.2.02.04-0009</t>
        </is>
      </c>
      <c r="D27" s="279" t="inlineStr">
        <is>
          <t>Звено промежуточное монтажное ПТМ-12-3</t>
        </is>
      </c>
      <c r="E27" s="290" t="inlineStr">
        <is>
          <t>шт</t>
        </is>
      </c>
      <c r="F27" s="290" t="n">
        <v>1</v>
      </c>
      <c r="G27" s="279" t="n">
        <v>103.63</v>
      </c>
      <c r="H27" s="309">
        <f>ROUND(F27*G27,2)</f>
        <v/>
      </c>
      <c r="I27" s="239" t="n"/>
      <c r="J27" s="244" t="n"/>
    </row>
    <row r="28">
      <c r="A28" s="347" t="n">
        <v>12</v>
      </c>
      <c r="B28" s="385" t="n"/>
      <c r="C28" s="290" t="inlineStr">
        <is>
          <t>22.2.02.04-0018</t>
        </is>
      </c>
      <c r="D28" s="279" t="inlineStr">
        <is>
          <t>Звено промежуточное прямое двойное 2ПР-12-1</t>
        </is>
      </c>
      <c r="E28" s="290" t="inlineStr">
        <is>
          <t>шт</t>
        </is>
      </c>
      <c r="F28" s="290" t="n">
        <v>1</v>
      </c>
      <c r="G28" s="279" t="n">
        <v>83.27</v>
      </c>
      <c r="H28" s="309">
        <f>ROUND(F28*G28,2)</f>
        <v/>
      </c>
      <c r="I28" s="239" t="n"/>
      <c r="J28" s="244" t="n"/>
    </row>
    <row r="29">
      <c r="A29" s="347" t="n">
        <v>13</v>
      </c>
      <c r="B29" s="385" t="n"/>
      <c r="C29" s="290" t="inlineStr">
        <is>
          <t>22.2.02.04-0017</t>
        </is>
      </c>
      <c r="D29" s="279" t="inlineStr">
        <is>
          <t>Звено промежуточное прямое двойное 2ПР-7-1</t>
        </is>
      </c>
      <c r="E29" s="290" t="inlineStr">
        <is>
          <t>шт</t>
        </is>
      </c>
      <c r="F29" s="290" t="n">
        <v>1</v>
      </c>
      <c r="G29" s="279" t="n">
        <v>41.1</v>
      </c>
      <c r="H29" s="309">
        <f>ROUND(F29*G29,2)</f>
        <v/>
      </c>
      <c r="I29" s="239" t="n"/>
      <c r="J29" s="244" t="n"/>
    </row>
    <row r="30" ht="25.5" customHeight="1" s="319">
      <c r="A30" s="347" t="n">
        <v>14</v>
      </c>
      <c r="B30" s="385" t="n"/>
      <c r="C30" s="290" t="inlineStr">
        <is>
          <t>20.2.03.17-0001</t>
        </is>
      </c>
      <c r="D30" s="279" t="inlineStr">
        <is>
          <t>Скоба для крепления кабельной трассы верхняя с основанием 50 мм, из оцинкованной стали</t>
        </is>
      </c>
      <c r="E30" s="290" t="inlineStr">
        <is>
          <t>шт</t>
        </is>
      </c>
      <c r="F30" s="290" t="n">
        <v>1</v>
      </c>
      <c r="G30" s="279" t="n">
        <v>29.54</v>
      </c>
      <c r="H30" s="309">
        <f>ROUND(F30*G30,2)</f>
        <v/>
      </c>
      <c r="I30" s="239" t="n"/>
      <c r="J30" s="244" t="n"/>
    </row>
    <row r="31">
      <c r="A31" s="347" t="n">
        <v>15</v>
      </c>
      <c r="B31" s="385" t="n"/>
      <c r="C31" s="290" t="inlineStr">
        <is>
          <t>20.1.02.14-1006</t>
        </is>
      </c>
      <c r="D31" s="279" t="inlineStr">
        <is>
          <t>Серьга СР-12-16</t>
        </is>
      </c>
      <c r="E31" s="290" t="inlineStr">
        <is>
          <t>шт</t>
        </is>
      </c>
      <c r="F31" s="290" t="n">
        <v>1</v>
      </c>
      <c r="G31" s="279" t="n">
        <v>13.29</v>
      </c>
      <c r="H31" s="309">
        <f>ROUND(F31*G31,2)</f>
        <v/>
      </c>
      <c r="I31" s="239" t="n"/>
      <c r="J31" s="244" t="n"/>
    </row>
    <row r="32">
      <c r="A32" s="347" t="n">
        <v>16</v>
      </c>
      <c r="B32" s="385" t="n"/>
      <c r="C32" s="290" t="inlineStr">
        <is>
          <t>20.1.02.14-1014</t>
        </is>
      </c>
      <c r="D32" s="279" t="inlineStr">
        <is>
          <t>Серьга СР-7-16</t>
        </is>
      </c>
      <c r="E32" s="290" t="inlineStr">
        <is>
          <t>шт</t>
        </is>
      </c>
      <c r="F32" s="290" t="n">
        <v>1</v>
      </c>
      <c r="G32" s="279" t="n">
        <v>9.359999999999999</v>
      </c>
      <c r="H32" s="309">
        <f>ROUND(F32*G32,2)</f>
        <v/>
      </c>
      <c r="I32" s="239" t="n"/>
      <c r="J32" s="244" t="n"/>
    </row>
    <row r="33">
      <c r="A33" s="347" t="n">
        <v>17</v>
      </c>
      <c r="B33" s="385" t="n"/>
      <c r="C33" s="290" t="inlineStr">
        <is>
          <t>01.7.15.03-0042</t>
        </is>
      </c>
      <c r="D33" s="279" t="inlineStr">
        <is>
          <t>Болты с гайками и шайбами строительные</t>
        </is>
      </c>
      <c r="E33" s="290" t="inlineStr">
        <is>
          <t>кг</t>
        </is>
      </c>
      <c r="F33" s="290" t="n">
        <v>0.62542</v>
      </c>
      <c r="G33" s="279" t="n">
        <v>9.029999999999999</v>
      </c>
      <c r="H33" s="309">
        <f>ROUND(F33*G33,2)</f>
        <v/>
      </c>
      <c r="I33" s="239" t="n"/>
      <c r="J33" s="244" t="n"/>
    </row>
    <row r="34">
      <c r="A34" s="347" t="n">
        <v>18</v>
      </c>
      <c r="B34" s="385" t="n"/>
      <c r="C34" s="290" t="inlineStr">
        <is>
          <t>08.3.08.02-0023</t>
        </is>
      </c>
      <c r="D34" s="279" t="inlineStr">
        <is>
          <t>Уголок горячекатаный, размер 60х60 мм</t>
        </is>
      </c>
      <c r="E34" s="290" t="inlineStr">
        <is>
          <t>т</t>
        </is>
      </c>
      <c r="F34" s="290" t="n">
        <v>0.00038</v>
      </c>
      <c r="G34" s="279" t="n">
        <v>5552.63</v>
      </c>
      <c r="H34" s="309">
        <f>ROUND(F34*G34,2)</f>
        <v/>
      </c>
      <c r="I34" s="239" t="n"/>
      <c r="J34" s="244" t="n"/>
    </row>
    <row r="35" ht="25.5" customHeight="1" s="319">
      <c r="A35" s="347" t="n">
        <v>19</v>
      </c>
      <c r="B35" s="385" t="n"/>
      <c r="C35" s="290" t="inlineStr">
        <is>
          <t>999-9950</t>
        </is>
      </c>
      <c r="D35" s="279" t="inlineStr">
        <is>
          <t>Вспомогательные ненормируемые материальные ресурсы</t>
        </is>
      </c>
      <c r="E35" s="290" t="inlineStr">
        <is>
          <t>руб</t>
        </is>
      </c>
      <c r="F35" s="290" t="n">
        <v>1.6778</v>
      </c>
      <c r="G35" s="279" t="n">
        <v>1</v>
      </c>
      <c r="H35" s="309">
        <f>ROUND(F35*G35,2)</f>
        <v/>
      </c>
      <c r="I35" s="239" t="n"/>
      <c r="J35" s="244" t="n"/>
    </row>
    <row r="36">
      <c r="A36" s="347" t="n">
        <v>20</v>
      </c>
      <c r="B36" s="385" t="n"/>
      <c r="C36" s="290" t="inlineStr">
        <is>
          <t>01.7.15.13-0001</t>
        </is>
      </c>
      <c r="D36" s="279" t="inlineStr">
        <is>
          <t>Шплинты</t>
        </is>
      </c>
      <c r="E36" s="290" t="inlineStr">
        <is>
          <t>кг</t>
        </is>
      </c>
      <c r="F36" s="290" t="n">
        <v>0.00449</v>
      </c>
      <c r="G36" s="279" t="n">
        <v>13.36</v>
      </c>
      <c r="H36" s="309">
        <f>ROUND(F36*G36,2)</f>
        <v/>
      </c>
      <c r="I36" s="239" t="n"/>
      <c r="J36" s="244" t="n"/>
    </row>
    <row r="37">
      <c r="A37" s="276" t="n"/>
      <c r="C37" s="278" t="n"/>
      <c r="D37" s="278" t="n"/>
      <c r="E37" s="278" t="n"/>
      <c r="F37" s="278" t="n"/>
      <c r="G37" s="278" t="n"/>
      <c r="H37" s="277" t="n"/>
    </row>
    <row r="38">
      <c r="B38" s="321" t="inlineStr">
        <is>
          <t>Составил ______________________     А.Р. Маркова</t>
        </is>
      </c>
      <c r="H38" s="477" t="n"/>
    </row>
    <row r="39">
      <c r="B39" s="209" t="inlineStr">
        <is>
          <t xml:space="preserve">                         (подпись, инициалы, фамилия)</t>
        </is>
      </c>
    </row>
    <row r="41">
      <c r="B41" s="321" t="inlineStr">
        <is>
          <t>Проверил ______________________        А.В. Костянецкая</t>
        </is>
      </c>
    </row>
    <row r="42">
      <c r="B42" s="209" t="inlineStr">
        <is>
          <t xml:space="preserve">                        (подпись, инициалы, фамилия)</t>
        </is>
      </c>
    </row>
  </sheetData>
  <mergeCells count="16">
    <mergeCell ref="A21:E21"/>
    <mergeCell ref="C9:C10"/>
    <mergeCell ref="B9:B10"/>
    <mergeCell ref="A3:H3"/>
    <mergeCell ref="A12:E12"/>
    <mergeCell ref="D9:D10"/>
    <mergeCell ref="E9:E10"/>
    <mergeCell ref="F9:F10"/>
    <mergeCell ref="A7:H7"/>
    <mergeCell ref="A9:A10"/>
    <mergeCell ref="A16:E16"/>
    <mergeCell ref="C5:H5"/>
    <mergeCell ref="A2:H2"/>
    <mergeCell ref="A23:E23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2" workbookViewId="0">
      <selection activeCell="E59" sqref="E59"/>
    </sheetView>
  </sheetViews>
  <sheetFormatPr baseColWidth="8" defaultColWidth="9.140625" defaultRowHeight="15"/>
  <cols>
    <col width="4.140625" customWidth="1" style="319" min="1" max="1"/>
    <col width="36.28515625" customWidth="1" style="319" min="2" max="2"/>
    <col width="18.85546875" customWidth="1" style="319" min="3" max="3"/>
    <col width="18.28515625" customWidth="1" style="319" min="4" max="4"/>
    <col width="18.85546875" customWidth="1" style="319" min="5" max="5"/>
    <col width="11.42578125" customWidth="1" style="319" min="6" max="6"/>
    <col width="14.42578125" customWidth="1" style="319" min="7" max="7"/>
    <col width="9.140625" customWidth="1" style="319" min="8" max="11"/>
    <col width="13.5703125" customWidth="1" style="319" min="12" max="12"/>
    <col width="9.140625" customWidth="1" style="319" min="13" max="13"/>
  </cols>
  <sheetData>
    <row r="1">
      <c r="B1" s="307" t="n"/>
      <c r="C1" s="307" t="n"/>
      <c r="D1" s="307" t="n"/>
      <c r="E1" s="307" t="n"/>
    </row>
    <row r="2">
      <c r="B2" s="307" t="n"/>
      <c r="C2" s="307" t="n"/>
      <c r="D2" s="307" t="n"/>
      <c r="E2" s="417" t="inlineStr">
        <is>
          <t>Приложение № 4</t>
        </is>
      </c>
    </row>
    <row r="3">
      <c r="B3" s="307" t="n"/>
      <c r="C3" s="307" t="n"/>
      <c r="D3" s="307" t="n"/>
      <c r="E3" s="307" t="n"/>
    </row>
    <row r="4">
      <c r="B4" s="307" t="n"/>
      <c r="C4" s="307" t="n"/>
      <c r="D4" s="307" t="n"/>
      <c r="E4" s="307" t="n"/>
    </row>
    <row r="5">
      <c r="B5" s="366" t="inlineStr">
        <is>
          <t>Ресурсная модель</t>
        </is>
      </c>
    </row>
    <row r="6">
      <c r="B6" s="232" t="n"/>
      <c r="C6" s="307" t="n"/>
      <c r="D6" s="307" t="n"/>
      <c r="E6" s="307" t="n"/>
    </row>
    <row r="7" ht="25.5" customHeight="1" s="319">
      <c r="B7" s="389" t="inlineStr">
        <is>
          <t>Наименование разрабатываемого показателя УНЦ —ВЧ-заградитель (ВЧЗ) на ЛЭП 330 кВ</t>
        </is>
      </c>
    </row>
    <row r="8">
      <c r="B8" s="390" t="inlineStr">
        <is>
          <t>Единица измерения  — 1 ед.</t>
        </is>
      </c>
    </row>
    <row r="9">
      <c r="B9" s="232" t="n"/>
      <c r="C9" s="307" t="n"/>
      <c r="D9" s="307" t="n"/>
      <c r="E9" s="307" t="n"/>
    </row>
    <row r="10" ht="51" customHeight="1" s="319">
      <c r="B10" s="394" t="inlineStr">
        <is>
          <t>Наименование</t>
        </is>
      </c>
      <c r="C10" s="394" t="inlineStr">
        <is>
          <t>Сметная стоимость в ценах на 01.01.2023
 (руб.)</t>
        </is>
      </c>
      <c r="D10" s="394" t="inlineStr">
        <is>
          <t>Удельный вес, 
(в СМР)</t>
        </is>
      </c>
      <c r="E10" s="394" t="inlineStr">
        <is>
          <t>Удельный вес, % 
(от всего по РМ)</t>
        </is>
      </c>
    </row>
    <row r="11">
      <c r="B11" s="224" t="inlineStr">
        <is>
          <t>Оплата труда рабочих</t>
        </is>
      </c>
      <c r="C11" s="309">
        <f>'Прил.5 Расчет СМР и ОБ'!J14</f>
        <v/>
      </c>
      <c r="D11" s="226">
        <f>C11/$C$24</f>
        <v/>
      </c>
      <c r="E11" s="226">
        <f>C11/$C$40</f>
        <v/>
      </c>
    </row>
    <row r="12">
      <c r="B12" s="224" t="inlineStr">
        <is>
          <t>Эксплуатация машин основных</t>
        </is>
      </c>
      <c r="C12" s="309">
        <f>'Прил.5 Расчет СМР и ОБ'!J20</f>
        <v/>
      </c>
      <c r="D12" s="226">
        <f>C12/$C$24</f>
        <v/>
      </c>
      <c r="E12" s="226">
        <f>C12/$C$40</f>
        <v/>
      </c>
    </row>
    <row r="13">
      <c r="B13" s="224" t="inlineStr">
        <is>
          <t>Эксплуатация машин прочих</t>
        </is>
      </c>
      <c r="C13" s="309">
        <f>'Прил.5 Расчет СМР и ОБ'!J24</f>
        <v/>
      </c>
      <c r="D13" s="226">
        <f>C13/$C$24</f>
        <v/>
      </c>
      <c r="E13" s="226">
        <f>C13/$C$40</f>
        <v/>
      </c>
    </row>
    <row r="14">
      <c r="B14" s="224" t="inlineStr">
        <is>
          <t>ЭКСПЛУАТАЦИЯ МАШИН, ВСЕГО:</t>
        </is>
      </c>
      <c r="C14" s="309">
        <f>C13+C12</f>
        <v/>
      </c>
      <c r="D14" s="226">
        <f>C14/$C$24</f>
        <v/>
      </c>
      <c r="E14" s="226">
        <f>C14/$C$40</f>
        <v/>
      </c>
    </row>
    <row r="15">
      <c r="B15" s="224" t="inlineStr">
        <is>
          <t>в том числе зарплата машинистов</t>
        </is>
      </c>
      <c r="C15" s="309">
        <f>'Прил.5 Расчет СМР и ОБ'!J16</f>
        <v/>
      </c>
      <c r="D15" s="226">
        <f>C15/$C$24</f>
        <v/>
      </c>
      <c r="E15" s="226">
        <f>C15/$C$40</f>
        <v/>
      </c>
    </row>
    <row r="16">
      <c r="B16" s="224" t="inlineStr">
        <is>
          <t>Материалы основные</t>
        </is>
      </c>
      <c r="C16" s="309">
        <f>'Прил.5 Расчет СМР и ОБ'!J40</f>
        <v/>
      </c>
      <c r="D16" s="226">
        <f>C16/$C$24</f>
        <v/>
      </c>
      <c r="E16" s="226">
        <f>C16/$C$40</f>
        <v/>
      </c>
    </row>
    <row r="17">
      <c r="B17" s="224" t="inlineStr">
        <is>
          <t>Материалы прочие</t>
        </is>
      </c>
      <c r="C17" s="309">
        <f>'Прил.5 Расчет СМР и ОБ'!J49</f>
        <v/>
      </c>
      <c r="D17" s="226">
        <f>C17/$C$24</f>
        <v/>
      </c>
      <c r="E17" s="226">
        <f>C17/$C$40</f>
        <v/>
      </c>
      <c r="G17" s="478" t="n"/>
    </row>
    <row r="18">
      <c r="B18" s="224" t="inlineStr">
        <is>
          <t>МАТЕРИАЛЫ, ВСЕГО:</t>
        </is>
      </c>
      <c r="C18" s="309">
        <f>C17+C16</f>
        <v/>
      </c>
      <c r="D18" s="226">
        <f>C18/$C$24</f>
        <v/>
      </c>
      <c r="E18" s="226">
        <f>C18/$C$40</f>
        <v/>
      </c>
    </row>
    <row r="19">
      <c r="B19" s="224" t="inlineStr">
        <is>
          <t>ИТОГО</t>
        </is>
      </c>
      <c r="C19" s="309">
        <f>C18+C14+C11</f>
        <v/>
      </c>
      <c r="D19" s="226" t="n"/>
      <c r="E19" s="224" t="n"/>
    </row>
    <row r="20">
      <c r="B20" s="224" t="inlineStr">
        <is>
          <t>Сметная прибыль, руб.</t>
        </is>
      </c>
      <c r="C20" s="309">
        <f>ROUND(C21*(C11+C15),2)</f>
        <v/>
      </c>
      <c r="D20" s="226">
        <f>C20/$C$24</f>
        <v/>
      </c>
      <c r="E20" s="226">
        <f>C20/$C$40</f>
        <v/>
      </c>
    </row>
    <row r="21">
      <c r="B21" s="224" t="inlineStr">
        <is>
          <t>Сметная прибыль, %</t>
        </is>
      </c>
      <c r="C21" s="229">
        <f>'Прил.5 Расчет СМР и ОБ'!D53</f>
        <v/>
      </c>
      <c r="D21" s="226" t="n"/>
      <c r="E21" s="224" t="n"/>
    </row>
    <row r="22">
      <c r="B22" s="224" t="inlineStr">
        <is>
          <t>Накладные расходы, руб.</t>
        </is>
      </c>
      <c r="C22" s="309">
        <f>ROUND(C23*(C11+C15),2)</f>
        <v/>
      </c>
      <c r="D22" s="226">
        <f>C22/$C$24</f>
        <v/>
      </c>
      <c r="E22" s="226">
        <f>C22/$C$40</f>
        <v/>
      </c>
    </row>
    <row r="23">
      <c r="B23" s="224" t="inlineStr">
        <is>
          <t>Накладные расходы, %</t>
        </is>
      </c>
      <c r="C23" s="229">
        <f>'Прил.5 Расчет СМР и ОБ'!D52</f>
        <v/>
      </c>
      <c r="D23" s="226" t="n"/>
      <c r="E23" s="224" t="n"/>
    </row>
    <row r="24">
      <c r="B24" s="224" t="inlineStr">
        <is>
          <t>ВСЕГО СМР с НР и СП</t>
        </is>
      </c>
      <c r="C24" s="309">
        <f>C19+C20+C22</f>
        <v/>
      </c>
      <c r="D24" s="226">
        <f>C24/$C$24</f>
        <v/>
      </c>
      <c r="E24" s="226">
        <f>C24/$C$40</f>
        <v/>
      </c>
    </row>
    <row r="25" ht="25.5" customHeight="1" s="319">
      <c r="B25" s="224" t="inlineStr">
        <is>
          <t>ВСЕГО стоимость оборудования, в том числе</t>
        </is>
      </c>
      <c r="C25" s="309">
        <f>'Прил.5 Расчет СМР и ОБ'!J31</f>
        <v/>
      </c>
      <c r="D25" s="226" t="n"/>
      <c r="E25" s="226">
        <f>C25/$C$40</f>
        <v/>
      </c>
    </row>
    <row r="26" ht="25.5" customHeight="1" s="319">
      <c r="B26" s="224" t="inlineStr">
        <is>
          <t>стоимость оборудования технологического</t>
        </is>
      </c>
      <c r="C26" s="309">
        <f>'Прил.5 Расчет СМР и ОБ'!J32</f>
        <v/>
      </c>
      <c r="D26" s="226" t="n"/>
      <c r="E26" s="226">
        <f>C26/$C$40</f>
        <v/>
      </c>
    </row>
    <row r="27">
      <c r="B27" s="224" t="inlineStr">
        <is>
          <t>ИТОГО (СМР + ОБОРУДОВАНИЕ)</t>
        </is>
      </c>
      <c r="C27" s="228">
        <f>C24+C25</f>
        <v/>
      </c>
      <c r="D27" s="226" t="n"/>
      <c r="E27" s="226">
        <f>C27/$C$40</f>
        <v/>
      </c>
    </row>
    <row r="28" ht="33" customHeight="1" s="319">
      <c r="B28" s="224" t="inlineStr">
        <is>
          <t>ПРОЧ. ЗАТР., УЧТЕННЫЕ ПОКАЗАТЕЛЕМ,  в том числе</t>
        </is>
      </c>
      <c r="C28" s="224" t="n"/>
      <c r="D28" s="224" t="n"/>
      <c r="E28" s="224" t="n"/>
      <c r="F28" s="227" t="n"/>
    </row>
    <row r="29" ht="25.5" customHeight="1" s="319">
      <c r="B29" s="224" t="inlineStr">
        <is>
          <t>Временные здания и сооружения - 3,3%</t>
        </is>
      </c>
      <c r="C29" s="228">
        <f>ROUND(C24*3.3%,2)</f>
        <v/>
      </c>
      <c r="D29" s="224" t="n"/>
      <c r="E29" s="226">
        <f>C29/$C$40</f>
        <v/>
      </c>
    </row>
    <row r="30" ht="38.25" customHeight="1" s="319">
      <c r="B30" s="279" t="inlineStr">
        <is>
          <t>Дополнительные затраты при производстве строительно-монтажных работ в зимнее время - 2,1%</t>
        </is>
      </c>
      <c r="C30" s="280">
        <f>ROUND((C24+C29)*2.1%,2)</f>
        <v/>
      </c>
      <c r="D30" s="279" t="n"/>
      <c r="E30" s="281">
        <f>C30/$C$40</f>
        <v/>
      </c>
      <c r="F30" s="227" t="n"/>
    </row>
    <row r="31">
      <c r="B31" s="279" t="inlineStr">
        <is>
          <t>Пусконаладочные работы</t>
        </is>
      </c>
      <c r="C31" s="280" t="n">
        <v>99530</v>
      </c>
      <c r="D31" s="279" t="n"/>
      <c r="E31" s="281">
        <f>C31/$C$40</f>
        <v/>
      </c>
    </row>
    <row r="32" ht="25.5" customHeight="1" s="319">
      <c r="B32" s="279" t="inlineStr">
        <is>
          <t>Затраты по перевозке работников к месту работы и обратно</t>
        </is>
      </c>
      <c r="C32" s="280">
        <f>ROUND(C27*0%,2)</f>
        <v/>
      </c>
      <c r="D32" s="279" t="n"/>
      <c r="E32" s="281">
        <f>C32/$C$40</f>
        <v/>
      </c>
    </row>
    <row r="33" ht="25.5" customHeight="1" s="319">
      <c r="B33" s="279" t="inlineStr">
        <is>
          <t>Затраты, связанные с осуществлением работ вахтовым методом</t>
        </is>
      </c>
      <c r="C33" s="280">
        <f>ROUND(C28*0%,2)</f>
        <v/>
      </c>
      <c r="D33" s="279" t="n"/>
      <c r="E33" s="281">
        <f>C33/$C$40</f>
        <v/>
      </c>
    </row>
    <row r="34" ht="51" customHeight="1" s="319">
      <c r="B34" s="2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8">
        <f>ROUND(C29*0%,2)</f>
        <v/>
      </c>
      <c r="D34" s="224" t="n"/>
      <c r="E34" s="226">
        <f>C34/$C$40</f>
        <v/>
      </c>
      <c r="H34" s="239" t="n"/>
    </row>
    <row r="35" ht="76.5" customHeight="1" s="319">
      <c r="B35" s="2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8">
        <f>ROUND(C30*0%,2)</f>
        <v/>
      </c>
      <c r="D35" s="224" t="n"/>
      <c r="E35" s="265">
        <f>C35/$C$40</f>
        <v/>
      </c>
    </row>
    <row r="36" ht="25.5" customHeight="1" s="319">
      <c r="B36" s="224" t="inlineStr">
        <is>
          <t>Строительный контроль и содержание службы заказчика - 2,14%</t>
        </is>
      </c>
      <c r="C36" s="228">
        <f>ROUND((C27+C32+C33+C34+C35+C29+C31+C30)*2.14%,2)</f>
        <v/>
      </c>
      <c r="D36" s="224" t="n"/>
      <c r="E36" s="265">
        <f>C36/$C$40</f>
        <v/>
      </c>
      <c r="G36" s="266" t="n"/>
      <c r="L36" s="227" t="n"/>
    </row>
    <row r="37">
      <c r="B37" s="224" t="inlineStr">
        <is>
          <t>Авторский надзор - 0,2%</t>
        </is>
      </c>
      <c r="C37" s="228">
        <f>ROUND((C27+C32+C33+C34+C35+C29+C31+C30)*0.2%,2)</f>
        <v/>
      </c>
      <c r="D37" s="224" t="n"/>
      <c r="E37" s="265">
        <f>C37/$C$40</f>
        <v/>
      </c>
      <c r="G37" s="267" t="n"/>
      <c r="L37" s="227" t="n"/>
    </row>
    <row r="38" ht="38.25" customHeight="1" s="319">
      <c r="B38" s="224" t="inlineStr">
        <is>
          <t>ИТОГО (СМР+ОБОРУДОВАНИЕ+ПРОЧ. ЗАТР., УЧТЕННЫЕ ПОКАЗАТЕЛЕМ)</t>
        </is>
      </c>
      <c r="C38" s="309">
        <f>C27+C32+C33+C34+C35+C29+C31+C30+C36+C37</f>
        <v/>
      </c>
      <c r="D38" s="224" t="n"/>
      <c r="E38" s="265">
        <f>C38/$C$40</f>
        <v/>
      </c>
    </row>
    <row r="39" ht="13.5" customHeight="1" s="319">
      <c r="B39" s="224" t="inlineStr">
        <is>
          <t>Непредвиденные расходы</t>
        </is>
      </c>
      <c r="C39" s="309">
        <f>ROUND(C38*3%,2)</f>
        <v/>
      </c>
      <c r="D39" s="224" t="n"/>
      <c r="E39" s="265">
        <f>C39/$C$38</f>
        <v/>
      </c>
    </row>
    <row r="40">
      <c r="B40" s="224" t="inlineStr">
        <is>
          <t>ВСЕГО:</t>
        </is>
      </c>
      <c r="C40" s="309">
        <f>C39+C38</f>
        <v/>
      </c>
      <c r="D40" s="224" t="n"/>
      <c r="E40" s="226">
        <f>C40/$C$40</f>
        <v/>
      </c>
    </row>
    <row r="41">
      <c r="B41" s="224" t="inlineStr">
        <is>
          <t>ИТОГО ПОКАЗАТЕЛЬ НА ЕД. ИЗМ.</t>
        </is>
      </c>
      <c r="C41" s="309">
        <f>C40/'Прил.5 Расчет СМР и ОБ'!E56</f>
        <v/>
      </c>
      <c r="D41" s="224" t="n"/>
      <c r="E41" s="224" t="n"/>
    </row>
    <row r="42">
      <c r="B42" s="311" t="n"/>
      <c r="C42" s="307" t="n"/>
      <c r="D42" s="307" t="n"/>
      <c r="E42" s="307" t="n"/>
    </row>
    <row r="43">
      <c r="B43" s="311" t="inlineStr">
        <is>
          <t>Составил ____________________________ А.Р. Маркова</t>
        </is>
      </c>
      <c r="C43" s="307" t="n"/>
      <c r="D43" s="307" t="n"/>
      <c r="E43" s="307" t="n"/>
    </row>
    <row r="44">
      <c r="B44" s="311" t="inlineStr">
        <is>
          <t xml:space="preserve">(должность, подпись, инициалы, фамилия) </t>
        </is>
      </c>
      <c r="C44" s="307" t="n"/>
      <c r="D44" s="307" t="n"/>
      <c r="E44" s="307" t="n"/>
    </row>
    <row r="45">
      <c r="B45" s="311" t="n"/>
      <c r="C45" s="307" t="n"/>
      <c r="D45" s="307" t="n"/>
      <c r="E45" s="307" t="n"/>
    </row>
    <row r="46">
      <c r="B46" s="311" t="inlineStr">
        <is>
          <t>Проверил ____________________________ А.В. Костянецкая</t>
        </is>
      </c>
      <c r="C46" s="307" t="n"/>
      <c r="D46" s="307" t="n"/>
      <c r="E46" s="307" t="n"/>
    </row>
    <row r="47">
      <c r="B47" s="390" t="inlineStr">
        <is>
          <t>(должность, подпись, инициалы, фамилия)</t>
        </is>
      </c>
      <c r="D47" s="307" t="n"/>
      <c r="E47" s="307" t="n"/>
    </row>
    <row r="49">
      <c r="B49" s="307" t="n"/>
      <c r="C49" s="307" t="n"/>
      <c r="D49" s="307" t="n"/>
      <c r="E49" s="307" t="n"/>
    </row>
    <row r="50">
      <c r="B50" s="307" t="n"/>
      <c r="C50" s="307" t="n"/>
      <c r="D50" s="307" t="n"/>
      <c r="E50" s="30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2"/>
  <sheetViews>
    <sheetView view="pageBreakPreview" topLeftCell="A31" zoomScale="85" workbookViewId="0">
      <selection activeCell="D61" sqref="D61"/>
    </sheetView>
  </sheetViews>
  <sheetFormatPr baseColWidth="8" defaultColWidth="9.140625" defaultRowHeight="15" outlineLevelRow="1"/>
  <cols>
    <col width="5.7109375" customWidth="1" style="317" min="1" max="1"/>
    <col width="22.5703125" customWidth="1" style="269" min="2" max="2"/>
    <col width="39.140625" customWidth="1" style="317" min="3" max="3"/>
    <col width="10.7109375" customWidth="1" style="273" min="4" max="4"/>
    <col width="12.7109375" customWidth="1" style="273" min="5" max="5"/>
    <col width="15" customWidth="1" style="273" min="6" max="6"/>
    <col width="13.42578125" customWidth="1" style="317" min="7" max="7"/>
    <col width="12.7109375" customWidth="1" style="317" min="8" max="8"/>
    <col width="13.85546875" customWidth="1" style="317" min="9" max="9"/>
    <col width="17.5703125" customWidth="1" style="317" min="10" max="10"/>
    <col width="10.85546875" customWidth="1" style="317" min="11" max="11"/>
    <col width="9.140625" customWidth="1" style="317" min="12" max="12"/>
    <col width="9.140625" customWidth="1" style="319" min="13" max="13"/>
  </cols>
  <sheetData>
    <row r="1" ht="15.75" customHeight="1" s="319">
      <c r="A1" s="317" t="n"/>
      <c r="B1" s="269" t="n"/>
      <c r="C1" s="317" t="n"/>
      <c r="D1" s="273" t="n"/>
      <c r="E1" s="273" t="n"/>
      <c r="F1" s="273" t="n"/>
      <c r="G1" s="317" t="n"/>
      <c r="H1" s="391" t="inlineStr">
        <is>
          <t>Приложение №5</t>
        </is>
      </c>
      <c r="K1" s="317" t="n"/>
      <c r="L1" s="317" t="n"/>
      <c r="M1" s="317" t="n"/>
      <c r="N1" s="317" t="n"/>
    </row>
    <row r="2" s="319">
      <c r="A2" s="317" t="n"/>
      <c r="B2" s="269" t="n"/>
      <c r="C2" s="317" t="n"/>
      <c r="D2" s="273" t="n"/>
      <c r="E2" s="273" t="n"/>
      <c r="F2" s="273" t="n"/>
      <c r="G2" s="317" t="n"/>
      <c r="H2" s="317" t="n"/>
      <c r="I2" s="317" t="n"/>
      <c r="J2" s="317" t="n"/>
      <c r="K2" s="317" t="n"/>
      <c r="L2" s="317" t="n"/>
      <c r="M2" s="317" t="n"/>
      <c r="N2" s="317" t="n"/>
    </row>
    <row r="3" ht="12.75" customFormat="1" customHeight="1" s="307">
      <c r="A3" s="366" t="inlineStr">
        <is>
          <t>Расчет стоимости СМР и оборудования</t>
        </is>
      </c>
    </row>
    <row r="4" ht="12.75" customFormat="1" customHeight="1" s="307">
      <c r="A4" s="366" t="n"/>
      <c r="B4" s="366" t="n"/>
      <c r="C4" s="424" t="n"/>
      <c r="D4" s="366" t="n"/>
      <c r="E4" s="366" t="n"/>
      <c r="F4" s="366" t="n"/>
      <c r="G4" s="366" t="n"/>
      <c r="H4" s="366" t="n"/>
      <c r="I4" s="366" t="n"/>
      <c r="J4" s="366" t="n"/>
    </row>
    <row r="5" ht="25.9" customFormat="1" customHeight="1" s="307">
      <c r="A5" s="199" t="inlineStr">
        <is>
          <t>Наименование разрабатываемого показателя УНЦ</t>
        </is>
      </c>
      <c r="B5" s="397" t="n"/>
      <c r="C5" s="198" t="n"/>
      <c r="D5" s="397" t="inlineStr">
        <is>
          <t>ВЧ-заградитель (ВЧЗ) на ЛЭП 330 кВ</t>
        </is>
      </c>
    </row>
    <row r="6" ht="12.75" customFormat="1" customHeight="1" s="307">
      <c r="A6" s="369" t="inlineStr">
        <is>
          <t>Единица измерения  — 1 ед.</t>
        </is>
      </c>
      <c r="I6" s="389" t="n"/>
      <c r="J6" s="389" t="n"/>
    </row>
    <row r="7" ht="12.75" customFormat="1" customHeight="1" s="307">
      <c r="A7" s="369" t="n"/>
      <c r="B7" s="389" t="n"/>
      <c r="C7" s="389" t="n"/>
      <c r="D7" s="389" t="n"/>
      <c r="E7" s="389" t="n"/>
      <c r="F7" s="389" t="n"/>
      <c r="G7" s="389" t="n"/>
      <c r="H7" s="389" t="n"/>
      <c r="I7" s="389" t="n"/>
      <c r="J7" s="389" t="n"/>
    </row>
    <row r="8" ht="12.75" customFormat="1" customHeight="1" s="307">
      <c r="B8" s="1" t="n"/>
      <c r="D8" s="311" t="n"/>
      <c r="E8" s="311" t="n"/>
      <c r="F8" s="311" t="n"/>
    </row>
    <row r="9" ht="27" customHeight="1" s="319">
      <c r="A9" s="394" t="inlineStr">
        <is>
          <t>№ пп.</t>
        </is>
      </c>
      <c r="B9" s="394" t="inlineStr">
        <is>
          <t>Код ресурса</t>
        </is>
      </c>
      <c r="C9" s="394" t="inlineStr">
        <is>
          <t>Наименование</t>
        </is>
      </c>
      <c r="D9" s="394" t="inlineStr">
        <is>
          <t>Ед. изм.</t>
        </is>
      </c>
      <c r="E9" s="394" t="inlineStr">
        <is>
          <t>Кол-во единиц по проектным данным</t>
        </is>
      </c>
      <c r="F9" s="394" t="inlineStr">
        <is>
          <t>Сметная стоимость в ценах на 01.01.2000 (руб.)</t>
        </is>
      </c>
      <c r="G9" s="469" t="n"/>
      <c r="H9" s="394" t="inlineStr">
        <is>
          <t>Удельный вес, %</t>
        </is>
      </c>
      <c r="I9" s="394" t="inlineStr">
        <is>
          <t>Сметная стоимость в ценах на 01.01.2023 (руб.)</t>
        </is>
      </c>
      <c r="J9" s="469" t="n"/>
      <c r="K9" s="317" t="n"/>
      <c r="L9" s="317" t="n"/>
      <c r="M9" s="317" t="n"/>
      <c r="N9" s="317" t="n"/>
    </row>
    <row r="10" ht="28.5" customHeight="1" s="319">
      <c r="A10" s="471" t="n"/>
      <c r="B10" s="471" t="n"/>
      <c r="C10" s="471" t="n"/>
      <c r="D10" s="471" t="n"/>
      <c r="E10" s="471" t="n"/>
      <c r="F10" s="394" t="inlineStr">
        <is>
          <t>на ед. изм.</t>
        </is>
      </c>
      <c r="G10" s="394" t="inlineStr">
        <is>
          <t>общая</t>
        </is>
      </c>
      <c r="H10" s="471" t="n"/>
      <c r="I10" s="394" t="inlineStr">
        <is>
          <t>на ед. изм.</t>
        </is>
      </c>
      <c r="J10" s="394" t="inlineStr">
        <is>
          <t>общая</t>
        </is>
      </c>
      <c r="K10" s="317" t="n"/>
      <c r="L10" s="317" t="n"/>
      <c r="M10" s="317" t="n"/>
      <c r="N10" s="317" t="n"/>
    </row>
    <row r="11" s="319">
      <c r="A11" s="394" t="n">
        <v>1</v>
      </c>
      <c r="B11" s="394" t="n">
        <v>2</v>
      </c>
      <c r="C11" s="394" t="n">
        <v>3</v>
      </c>
      <c r="D11" s="394" t="n">
        <v>4</v>
      </c>
      <c r="E11" s="394" t="n">
        <v>5</v>
      </c>
      <c r="F11" s="394" t="n">
        <v>6</v>
      </c>
      <c r="G11" s="394" t="n">
        <v>7</v>
      </c>
      <c r="H11" s="394" t="n">
        <v>8</v>
      </c>
      <c r="I11" s="395" t="n">
        <v>9</v>
      </c>
      <c r="J11" s="395" t="n">
        <v>10</v>
      </c>
      <c r="K11" s="317" t="n"/>
      <c r="L11" s="317" t="n"/>
      <c r="M11" s="317" t="n"/>
      <c r="N11" s="317" t="n"/>
    </row>
    <row r="12">
      <c r="A12" s="394" t="n"/>
      <c r="B12" s="403" t="inlineStr">
        <is>
          <t>Затраты труда рабочих-строителей</t>
        </is>
      </c>
      <c r="C12" s="468" t="n"/>
      <c r="D12" s="468" t="n"/>
      <c r="E12" s="468" t="n"/>
      <c r="F12" s="468" t="n"/>
      <c r="G12" s="468" t="n"/>
      <c r="H12" s="469" t="n"/>
      <c r="I12" s="190" t="n"/>
      <c r="J12" s="190" t="n"/>
    </row>
    <row r="13" ht="25.5" customHeight="1" s="319">
      <c r="A13" s="394" t="n">
        <v>1</v>
      </c>
      <c r="B13" s="196" t="inlineStr">
        <is>
          <t>1-4-0</t>
        </is>
      </c>
      <c r="C13" s="404" t="inlineStr">
        <is>
          <t>Затраты труда рабочих-строителей среднего разряда (4,0)</t>
        </is>
      </c>
      <c r="D13" s="394" t="inlineStr">
        <is>
          <t>чел.-ч.</t>
        </is>
      </c>
      <c r="E13" s="479">
        <f>G13/F13</f>
        <v/>
      </c>
      <c r="F13" s="193" t="n">
        <v>9.619999999999999</v>
      </c>
      <c r="G13" s="193">
        <f>Прил.3!H12</f>
        <v/>
      </c>
      <c r="H13" s="195">
        <f>G13/G14</f>
        <v/>
      </c>
      <c r="I13" s="193">
        <f>ФОТр.тек.!E13</f>
        <v/>
      </c>
      <c r="J13" s="193">
        <f>ROUND(I13*E13,2)</f>
        <v/>
      </c>
    </row>
    <row r="14" ht="25.5" customFormat="1" customHeight="1" s="317">
      <c r="A14" s="394" t="n"/>
      <c r="B14" s="394" t="n"/>
      <c r="C14" s="403" t="inlineStr">
        <is>
          <t>Итого по разделу "Затраты труда рабочих-строителей"</t>
        </is>
      </c>
      <c r="D14" s="394" t="inlineStr">
        <is>
          <t>чел.-ч.</t>
        </is>
      </c>
      <c r="E14" s="479">
        <f>SUM(E13:E13)</f>
        <v/>
      </c>
      <c r="F14" s="193" t="n"/>
      <c r="G14" s="193">
        <f>SUM(G13:G13)</f>
        <v/>
      </c>
      <c r="H14" s="407" t="n">
        <v>1</v>
      </c>
      <c r="I14" s="190" t="n"/>
      <c r="J14" s="193">
        <f>SUM(J13:J13)</f>
        <v/>
      </c>
    </row>
    <row r="15" ht="14.25" customFormat="1" customHeight="1" s="317">
      <c r="A15" s="394" t="n"/>
      <c r="B15" s="404" t="inlineStr">
        <is>
          <t>Затраты труда машинистов</t>
        </is>
      </c>
      <c r="C15" s="468" t="n"/>
      <c r="D15" s="468" t="n"/>
      <c r="E15" s="468" t="n"/>
      <c r="F15" s="468" t="n"/>
      <c r="G15" s="468" t="n"/>
      <c r="H15" s="469" t="n"/>
      <c r="I15" s="190" t="n"/>
      <c r="J15" s="190" t="n"/>
    </row>
    <row r="16" ht="14.25" customFormat="1" customHeight="1" s="317">
      <c r="A16" s="394" t="n">
        <v>2</v>
      </c>
      <c r="B16" s="394" t="n">
        <v>2</v>
      </c>
      <c r="C16" s="404" t="inlineStr">
        <is>
          <t>Затраты труда машинистов</t>
        </is>
      </c>
      <c r="D16" s="394" t="inlineStr">
        <is>
          <t>чел.-ч.</t>
        </is>
      </c>
      <c r="E16" s="480" t="n">
        <v>2.21</v>
      </c>
      <c r="F16" s="193">
        <f>G16/E16</f>
        <v/>
      </c>
      <c r="G16" s="193">
        <f>Прил.3!H14</f>
        <v/>
      </c>
      <c r="H16" s="407" t="n">
        <v>1</v>
      </c>
      <c r="I16" s="193">
        <f>ROUND(F16*Прил.10!D11,2)</f>
        <v/>
      </c>
      <c r="J16" s="193">
        <f>ROUND(I16*E16,2)</f>
        <v/>
      </c>
    </row>
    <row r="17" ht="14.25" customFormat="1" customHeight="1" s="317">
      <c r="A17" s="394" t="n"/>
      <c r="B17" s="403" t="inlineStr">
        <is>
          <t>Машины и механизмы</t>
        </is>
      </c>
      <c r="C17" s="468" t="n"/>
      <c r="D17" s="468" t="n"/>
      <c r="E17" s="468" t="n"/>
      <c r="F17" s="468" t="n"/>
      <c r="G17" s="468" t="n"/>
      <c r="H17" s="469" t="n"/>
      <c r="I17" s="190" t="n"/>
      <c r="J17" s="190" t="n"/>
    </row>
    <row r="18" ht="14.25" customFormat="1" customHeight="1" s="317">
      <c r="A18" s="394" t="n"/>
      <c r="B18" s="404" t="inlineStr">
        <is>
          <t>Основные машины и механизмы</t>
        </is>
      </c>
      <c r="C18" s="468" t="n"/>
      <c r="D18" s="468" t="n"/>
      <c r="E18" s="468" t="n"/>
      <c r="F18" s="468" t="n"/>
      <c r="G18" s="468" t="n"/>
      <c r="H18" s="469" t="n"/>
      <c r="I18" s="190" t="n"/>
      <c r="J18" s="190" t="n"/>
    </row>
    <row r="19" ht="25.5" customFormat="1" customHeight="1" s="317">
      <c r="A19" s="394" t="n">
        <v>3</v>
      </c>
      <c r="B19" s="290" t="inlineStr">
        <is>
          <t>91.06.06-012</t>
        </is>
      </c>
      <c r="C19" s="279" t="inlineStr">
        <is>
          <t>Автогидроподъемники, высота подъема 18 м</t>
        </is>
      </c>
      <c r="D19" s="290" t="inlineStr">
        <is>
          <t>маш.-ч.</t>
        </is>
      </c>
      <c r="E19" s="481" t="n">
        <v>2.04</v>
      </c>
      <c r="F19" s="279" t="n">
        <v>113.14</v>
      </c>
      <c r="G19" s="193">
        <f>ROUND(E19*F19,2)</f>
        <v/>
      </c>
      <c r="H19" s="195">
        <f>G19/$G$25</f>
        <v/>
      </c>
      <c r="I19" s="193">
        <f>ROUND(F19*Прил.10!$D$12,2)</f>
        <v/>
      </c>
      <c r="J19" s="193">
        <f>ROUND(I19*E19,2)</f>
        <v/>
      </c>
    </row>
    <row r="20" ht="14.25" customFormat="1" customHeight="1" s="317">
      <c r="A20" s="394" t="n"/>
      <c r="B20" s="394" t="n"/>
      <c r="C20" s="404" t="inlineStr">
        <is>
          <t>Итого основные машины и механизмы</t>
        </is>
      </c>
      <c r="D20" s="394" t="n"/>
      <c r="E20" s="480" t="n"/>
      <c r="F20" s="193" t="n"/>
      <c r="G20" s="193">
        <f>SUM(G19:G19)</f>
        <v/>
      </c>
      <c r="H20" s="407">
        <f>G20/G25</f>
        <v/>
      </c>
      <c r="I20" s="183" t="n"/>
      <c r="J20" s="193">
        <f>SUM(J19:J19)</f>
        <v/>
      </c>
    </row>
    <row r="21" outlineLevel="1" ht="25.5" customFormat="1" customHeight="1" s="317">
      <c r="A21" s="394" t="n">
        <v>4</v>
      </c>
      <c r="B21" s="290" t="inlineStr">
        <is>
          <t>91.05.05-015</t>
        </is>
      </c>
      <c r="C21" s="279" t="inlineStr">
        <is>
          <t>Краны на автомобильном ходу, грузоподъемность 16 т</t>
        </is>
      </c>
      <c r="D21" s="290" t="inlineStr">
        <is>
          <t>маш.-ч.</t>
        </is>
      </c>
      <c r="E21" s="481" t="n">
        <v>0.08</v>
      </c>
      <c r="F21" s="279" t="n">
        <v>115.38</v>
      </c>
      <c r="G21" s="193">
        <f>ROUND(E21*F21,2)</f>
        <v/>
      </c>
      <c r="H21" s="195">
        <f>G21/$G$25</f>
        <v/>
      </c>
      <c r="I21" s="193">
        <f>ROUND(F21*Прил.10!$D$12,2)</f>
        <v/>
      </c>
      <c r="J21" s="193">
        <f>ROUND(I21*E21,2)</f>
        <v/>
      </c>
    </row>
    <row r="22" outlineLevel="1" ht="25.5" customFormat="1" customHeight="1" s="317">
      <c r="A22" s="394" t="n">
        <v>5</v>
      </c>
      <c r="B22" s="290" t="inlineStr">
        <is>
          <t>91.14.02-001</t>
        </is>
      </c>
      <c r="C22" s="279" t="inlineStr">
        <is>
          <t>Автомобили бортовые, грузоподъемность до 5 т</t>
        </is>
      </c>
      <c r="D22" s="290" t="inlineStr">
        <is>
          <t>маш.-ч.</t>
        </is>
      </c>
      <c r="E22" s="481" t="n">
        <v>0.09</v>
      </c>
      <c r="F22" s="279" t="n">
        <v>65.67</v>
      </c>
      <c r="G22" s="193">
        <f>ROUND(E22*F22,2)</f>
        <v/>
      </c>
      <c r="H22" s="195">
        <f>G22/$G$25</f>
        <v/>
      </c>
      <c r="I22" s="193">
        <f>ROUND(F22*Прил.10!$D$12,2)</f>
        <v/>
      </c>
      <c r="J22" s="193">
        <f>ROUND(I22*E22,2)</f>
        <v/>
      </c>
    </row>
    <row r="23" outlineLevel="1" ht="25.5" customFormat="1" customHeight="1" s="317">
      <c r="A23" s="394" t="n">
        <v>6</v>
      </c>
      <c r="B23" s="290" t="inlineStr">
        <is>
          <t>91.06.03-060</t>
        </is>
      </c>
      <c r="C23" s="279" t="inlineStr">
        <is>
          <t>Лебедки электрические тяговым усилием до 5,79 кН (0,59 т)</t>
        </is>
      </c>
      <c r="D23" s="290" t="inlineStr">
        <is>
          <t>маш.-ч.</t>
        </is>
      </c>
      <c r="E23" s="481" t="n">
        <v>2.04</v>
      </c>
      <c r="F23" s="279" t="n">
        <v>1.7</v>
      </c>
      <c r="G23" s="193">
        <f>ROUND(E23*F23,2)</f>
        <v/>
      </c>
      <c r="H23" s="195">
        <f>G23/$G$25</f>
        <v/>
      </c>
      <c r="I23" s="193">
        <f>ROUND(F23*Прил.10!$D$12,2)</f>
        <v/>
      </c>
      <c r="J23" s="193">
        <f>ROUND(I23*E23,2)</f>
        <v/>
      </c>
    </row>
    <row r="24" ht="14.25" customFormat="1" customHeight="1" s="317">
      <c r="A24" s="394" t="n"/>
      <c r="B24" s="394" t="n"/>
      <c r="C24" s="404" t="inlineStr">
        <is>
          <t>Итого прочие машины и механизмы</t>
        </is>
      </c>
      <c r="D24" s="394" t="n"/>
      <c r="E24" s="405" t="n"/>
      <c r="F24" s="193" t="n"/>
      <c r="G24" s="183">
        <f>SUM(G21:G23)</f>
        <v/>
      </c>
      <c r="H24" s="195">
        <f>G24/G25</f>
        <v/>
      </c>
      <c r="I24" s="193" t="n"/>
      <c r="J24" s="193">
        <f>SUM(J21:J23)</f>
        <v/>
      </c>
    </row>
    <row r="25" ht="25.5" customFormat="1" customHeight="1" s="317">
      <c r="A25" s="394" t="n"/>
      <c r="B25" s="394" t="n"/>
      <c r="C25" s="403" t="inlineStr">
        <is>
          <t>Итого по разделу «Машины и механизмы»</t>
        </is>
      </c>
      <c r="D25" s="394" t="n"/>
      <c r="E25" s="405" t="n"/>
      <c r="F25" s="193" t="n"/>
      <c r="G25" s="193">
        <f>G24+G20</f>
        <v/>
      </c>
      <c r="H25" s="186" t="n">
        <v>1</v>
      </c>
      <c r="I25" s="187" t="n"/>
      <c r="J25" s="205">
        <f>J24+J20</f>
        <v/>
      </c>
    </row>
    <row r="26" ht="14.25" customFormat="1" customHeight="1" s="317">
      <c r="A26" s="394" t="n"/>
      <c r="B26" s="403" t="inlineStr">
        <is>
          <t>Оборудование</t>
        </is>
      </c>
      <c r="C26" s="468" t="n"/>
      <c r="D26" s="468" t="n"/>
      <c r="E26" s="468" t="n"/>
      <c r="F26" s="468" t="n"/>
      <c r="G26" s="468" t="n"/>
      <c r="H26" s="469" t="n"/>
      <c r="I26" s="190" t="n"/>
      <c r="J26" s="190" t="n"/>
    </row>
    <row r="27">
      <c r="A27" s="394" t="n"/>
      <c r="B27" s="404" t="inlineStr">
        <is>
          <t>Основное оборудование</t>
        </is>
      </c>
      <c r="C27" s="468" t="n"/>
      <c r="D27" s="468" t="n"/>
      <c r="E27" s="468" t="n"/>
      <c r="F27" s="468" t="n"/>
      <c r="G27" s="468" t="n"/>
      <c r="H27" s="469" t="n"/>
      <c r="I27" s="190" t="n"/>
      <c r="J27" s="190" t="n"/>
      <c r="K27" s="317" t="n"/>
      <c r="L27" s="317" t="n"/>
    </row>
    <row r="28" ht="24.6" customFormat="1" customHeight="1" s="317">
      <c r="A28" s="394" t="n">
        <v>7</v>
      </c>
      <c r="B28" s="290" t="inlineStr">
        <is>
          <t>БЦ.42.104</t>
        </is>
      </c>
      <c r="C28" s="289" t="inlineStr">
        <is>
          <t>ВЧ заградитель 2000А, 0,5 мГн</t>
        </is>
      </c>
      <c r="D28" s="290" t="inlineStr">
        <is>
          <t>шт</t>
        </is>
      </c>
      <c r="E28" s="481" t="n">
        <v>3</v>
      </c>
      <c r="F28" s="285">
        <f>ROUND(I28/Прил.10!$D$14,2)</f>
        <v/>
      </c>
      <c r="G28" s="293">
        <f>ROUND(E28*F28,2)</f>
        <v/>
      </c>
      <c r="H28" s="287">
        <f>G28/$G$31</f>
        <v/>
      </c>
      <c r="I28" s="293" t="n">
        <v>1262267.11</v>
      </c>
      <c r="J28" s="293">
        <f>ROUND(I28*E28,2)</f>
        <v/>
      </c>
    </row>
    <row r="29">
      <c r="A29" s="394" t="n"/>
      <c r="B29" s="290" t="n"/>
      <c r="C29" s="289" t="inlineStr">
        <is>
          <t>Итого основное оборудование</t>
        </is>
      </c>
      <c r="D29" s="290" t="n"/>
      <c r="E29" s="481" t="n"/>
      <c r="F29" s="292" t="n"/>
      <c r="G29" s="293">
        <f>G28</f>
        <v/>
      </c>
      <c r="H29" s="287">
        <f>G29/$G$31</f>
        <v/>
      </c>
      <c r="I29" s="294" t="n"/>
      <c r="J29" s="293">
        <f>J28</f>
        <v/>
      </c>
      <c r="K29" s="317" t="n"/>
      <c r="L29" s="317" t="n"/>
    </row>
    <row r="30">
      <c r="A30" s="394" t="n"/>
      <c r="B30" s="290" t="n"/>
      <c r="C30" s="289" t="inlineStr">
        <is>
          <t>Итого прочее оборудование</t>
        </is>
      </c>
      <c r="D30" s="295" t="n"/>
      <c r="E30" s="481" t="n"/>
      <c r="F30" s="292" t="n"/>
      <c r="G30" s="293" t="n">
        <v>0</v>
      </c>
      <c r="H30" s="287">
        <f>G30/$G$31</f>
        <v/>
      </c>
      <c r="I30" s="294" t="n"/>
      <c r="J30" s="293" t="n">
        <v>0</v>
      </c>
      <c r="K30" s="317" t="n"/>
      <c r="L30" s="317" t="n"/>
    </row>
    <row r="31">
      <c r="A31" s="394" t="n"/>
      <c r="B31" s="290" t="n"/>
      <c r="C31" s="412" t="inlineStr">
        <is>
          <t>Итого по разделу «Оборудование»</t>
        </is>
      </c>
      <c r="D31" s="290" t="n"/>
      <c r="E31" s="297" t="n"/>
      <c r="F31" s="292" t="n"/>
      <c r="G31" s="293">
        <f>G29+G30</f>
        <v/>
      </c>
      <c r="H31" s="287">
        <f>G31/$G$31</f>
        <v/>
      </c>
      <c r="I31" s="294" t="n"/>
      <c r="J31" s="293">
        <f>J29+J30</f>
        <v/>
      </c>
      <c r="K31" s="317" t="n"/>
      <c r="L31" s="317" t="n"/>
    </row>
    <row r="32" ht="25.5" customHeight="1" s="319">
      <c r="A32" s="394" t="n"/>
      <c r="B32" s="290" t="n"/>
      <c r="C32" s="289" t="inlineStr">
        <is>
          <t>в том числе технологическое оборудование</t>
        </is>
      </c>
      <c r="D32" s="290" t="n"/>
      <c r="E32" s="481" t="n"/>
      <c r="F32" s="292" t="n"/>
      <c r="G32" s="293">
        <f>'Прил.6 Расчет ОБ'!G13</f>
        <v/>
      </c>
      <c r="H32" s="299" t="n"/>
      <c r="I32" s="294" t="n"/>
      <c r="J32" s="293">
        <f>J31</f>
        <v/>
      </c>
      <c r="K32" s="317" t="n"/>
      <c r="L32" s="317" t="n"/>
    </row>
    <row r="33" ht="14.25" customFormat="1" customHeight="1" s="317">
      <c r="A33" s="394" t="n"/>
      <c r="B33" s="412" t="inlineStr">
        <is>
          <t>Материалы</t>
        </is>
      </c>
      <c r="C33" s="468" t="n"/>
      <c r="D33" s="468" t="n"/>
      <c r="E33" s="468" t="n"/>
      <c r="F33" s="468" t="n"/>
      <c r="G33" s="468" t="n"/>
      <c r="H33" s="469" t="n"/>
      <c r="I33" s="300" t="n"/>
      <c r="J33" s="300" t="n"/>
    </row>
    <row r="34" ht="14.25" customFormat="1" customHeight="1" s="317">
      <c r="A34" s="395" t="n"/>
      <c r="B34" s="398" t="inlineStr">
        <is>
          <t>Основные материалы</t>
        </is>
      </c>
      <c r="C34" s="482" t="n"/>
      <c r="D34" s="482" t="n"/>
      <c r="E34" s="482" t="n"/>
      <c r="F34" s="482" t="n"/>
      <c r="G34" s="482" t="n"/>
      <c r="H34" s="483" t="n"/>
      <c r="I34" s="301" t="n"/>
      <c r="J34" s="301" t="n"/>
    </row>
    <row r="35" ht="18.6" customFormat="1" customHeight="1" s="317">
      <c r="A35" s="394" t="n">
        <v>9</v>
      </c>
      <c r="B35" s="290" t="inlineStr">
        <is>
          <t>20.1.01.12-0016</t>
        </is>
      </c>
      <c r="C35" s="279" t="inlineStr">
        <is>
          <t>Зажим поддерживающий глухой ПГН-5-3</t>
        </is>
      </c>
      <c r="D35" s="290" t="inlineStr">
        <is>
          <t>шт</t>
        </is>
      </c>
      <c r="E35" s="481" t="n">
        <v>2</v>
      </c>
      <c r="F35" s="279" t="n">
        <v>266.27</v>
      </c>
      <c r="G35" s="193">
        <f>ROUND(E35*F35,2)</f>
        <v/>
      </c>
      <c r="H35" s="195">
        <f>G35/$G$50</f>
        <v/>
      </c>
      <c r="I35" s="193">
        <f>ROUND(F35*Прил.10!$D$13,2)</f>
        <v/>
      </c>
      <c r="J35" s="193">
        <f>ROUND(I35*E35,2)</f>
        <v/>
      </c>
    </row>
    <row r="36" ht="25.5" customFormat="1" customHeight="1" s="317">
      <c r="A36" s="394" t="n">
        <v>10</v>
      </c>
      <c r="B36" s="290" t="inlineStr">
        <is>
          <t>22.2.02.04-0036</t>
        </is>
      </c>
      <c r="C36" s="279" t="inlineStr">
        <is>
          <t>Звено промежуточное регулируемое ПРР-12-1</t>
        </is>
      </c>
      <c r="D36" s="290" t="inlineStr">
        <is>
          <t>шт</t>
        </is>
      </c>
      <c r="E36" s="481" t="n">
        <v>1</v>
      </c>
      <c r="F36" s="279" t="n">
        <v>193.24</v>
      </c>
      <c r="G36" s="193">
        <f>ROUND(E36*F36,2)</f>
        <v/>
      </c>
      <c r="H36" s="195">
        <f>G36/$G$50</f>
        <v/>
      </c>
      <c r="I36" s="193">
        <f>ROUND(F36*Прил.10!$D$13,2)</f>
        <v/>
      </c>
      <c r="J36" s="193">
        <f>ROUND(I36*E36,2)</f>
        <v/>
      </c>
    </row>
    <row r="37" ht="14.25" customFormat="1" customHeight="1" s="317">
      <c r="A37" s="394" t="n">
        <v>11</v>
      </c>
      <c r="B37" s="290" t="inlineStr">
        <is>
          <t>20.1.02.22-0006</t>
        </is>
      </c>
      <c r="C37" s="279" t="inlineStr">
        <is>
          <t>Ушко однолапчатое У1-12-16</t>
        </is>
      </c>
      <c r="D37" s="290" t="inlineStr">
        <is>
          <t>шт</t>
        </is>
      </c>
      <c r="E37" s="481" t="n">
        <v>1</v>
      </c>
      <c r="F37" s="279" t="n">
        <v>137.86</v>
      </c>
      <c r="G37" s="193">
        <f>ROUND(E37*F37,2)</f>
        <v/>
      </c>
      <c r="H37" s="195">
        <f>G37/$G$50</f>
        <v/>
      </c>
      <c r="I37" s="193">
        <f>ROUND(F37*Прил.10!$D$13,2)</f>
        <v/>
      </c>
      <c r="J37" s="193">
        <f>ROUND(I37*E37,2)</f>
        <v/>
      </c>
    </row>
    <row r="38" ht="25.5" customFormat="1" customHeight="1" s="317">
      <c r="A38" s="394" t="n">
        <v>12</v>
      </c>
      <c r="B38" s="290" t="inlineStr">
        <is>
          <t>22.2.02.04-0009</t>
        </is>
      </c>
      <c r="C38" s="279" t="inlineStr">
        <is>
          <t>Звено промежуточное монтажное ПТМ-12-3</t>
        </is>
      </c>
      <c r="D38" s="290" t="inlineStr">
        <is>
          <t>шт</t>
        </is>
      </c>
      <c r="E38" s="481" t="n">
        <v>1</v>
      </c>
      <c r="F38" s="279" t="n">
        <v>103.63</v>
      </c>
      <c r="G38" s="193">
        <f>ROUND(E38*F38,2)</f>
        <v/>
      </c>
      <c r="H38" s="195">
        <f>G38/$G$50</f>
        <v/>
      </c>
      <c r="I38" s="193">
        <f>ROUND(F38*Прил.10!$D$13,2)</f>
        <v/>
      </c>
      <c r="J38" s="193">
        <f>ROUND(I38*E38,2)</f>
        <v/>
      </c>
    </row>
    <row r="39" ht="25.5" customFormat="1" customHeight="1" s="317">
      <c r="A39" s="394" t="n">
        <v>13</v>
      </c>
      <c r="B39" s="290" t="inlineStr">
        <is>
          <t>22.2.02.04-0018</t>
        </is>
      </c>
      <c r="C39" s="279" t="inlineStr">
        <is>
          <t>Звено промежуточное прямое двойное 2ПР-12-1</t>
        </is>
      </c>
      <c r="D39" s="290" t="inlineStr">
        <is>
          <t>шт</t>
        </is>
      </c>
      <c r="E39" s="481" t="n">
        <v>1</v>
      </c>
      <c r="F39" s="279" t="n">
        <v>83.27</v>
      </c>
      <c r="G39" s="193">
        <f>ROUND(E39*F39,2)</f>
        <v/>
      </c>
      <c r="H39" s="195">
        <f>G39/$G$50</f>
        <v/>
      </c>
      <c r="I39" s="193">
        <f>ROUND(F39*Прил.10!$D$13,2)</f>
        <v/>
      </c>
      <c r="J39" s="193">
        <f>ROUND(I39*E39,2)</f>
        <v/>
      </c>
    </row>
    <row r="40" ht="14.25" customFormat="1" customHeight="1" s="317">
      <c r="A40" s="394" t="n"/>
      <c r="B40" s="201" t="n"/>
      <c r="C40" s="202" t="inlineStr">
        <is>
          <t>Итого основные материалы</t>
        </is>
      </c>
      <c r="D40" s="396" t="n"/>
      <c r="E40" s="484" t="n"/>
      <c r="F40" s="205" t="n"/>
      <c r="G40" s="205">
        <f>SUM(G35:G39)</f>
        <v/>
      </c>
      <c r="H40" s="195">
        <f>G40/$G$50</f>
        <v/>
      </c>
      <c r="I40" s="193" t="n"/>
      <c r="J40" s="205">
        <f>SUM(J35:J39)</f>
        <v/>
      </c>
    </row>
    <row r="41" outlineLevel="1" ht="25.5" customFormat="1" customHeight="1" s="317">
      <c r="A41" s="394" t="n">
        <v>14</v>
      </c>
      <c r="B41" s="290" t="inlineStr">
        <is>
          <t>22.2.02.04-0017</t>
        </is>
      </c>
      <c r="C41" s="279" t="inlineStr">
        <is>
          <t>Звено промежуточное прямое двойное 2ПР-7-1</t>
        </is>
      </c>
      <c r="D41" s="290" t="inlineStr">
        <is>
          <t>шт</t>
        </is>
      </c>
      <c r="E41" s="481" t="n">
        <v>1</v>
      </c>
      <c r="F41" s="279" t="n">
        <v>41.1</v>
      </c>
      <c r="G41" s="193">
        <f>ROUND(E41*F41,2)</f>
        <v/>
      </c>
      <c r="H41" s="195">
        <f>G41/$G$50</f>
        <v/>
      </c>
      <c r="I41" s="193">
        <f>ROUND(F41*Прил.10!$D$13,2)</f>
        <v/>
      </c>
      <c r="J41" s="193">
        <f>ROUND(I41*E41,2)</f>
        <v/>
      </c>
    </row>
    <row r="42" outlineLevel="1" ht="38.25" customFormat="1" customHeight="1" s="317">
      <c r="A42" s="394" t="n">
        <v>15</v>
      </c>
      <c r="B42" s="290" t="inlineStr">
        <is>
          <t>20.2.03.17-0001</t>
        </is>
      </c>
      <c r="C42" s="279" t="inlineStr">
        <is>
          <t>Скоба для крепления кабельной трассы верхняя с основанием 50 мм, из оцинкованной стали</t>
        </is>
      </c>
      <c r="D42" s="290" t="inlineStr">
        <is>
          <t>шт</t>
        </is>
      </c>
      <c r="E42" s="481" t="n">
        <v>1</v>
      </c>
      <c r="F42" s="279" t="n">
        <v>29.54</v>
      </c>
      <c r="G42" s="193">
        <f>ROUND(E42*F42,2)</f>
        <v/>
      </c>
      <c r="H42" s="195">
        <f>G42/$G$50</f>
        <v/>
      </c>
      <c r="I42" s="193">
        <f>ROUND(F42*Прил.10!$D$13,2)</f>
        <v/>
      </c>
      <c r="J42" s="193">
        <f>ROUND(I42*E42,2)</f>
        <v/>
      </c>
    </row>
    <row r="43" outlineLevel="1" ht="14.25" customFormat="1" customHeight="1" s="317">
      <c r="A43" s="394" t="n">
        <v>16</v>
      </c>
      <c r="B43" s="290" t="inlineStr">
        <is>
          <t>20.1.02.14-1006</t>
        </is>
      </c>
      <c r="C43" s="279" t="inlineStr">
        <is>
          <t>Серьга СР-12-16</t>
        </is>
      </c>
      <c r="D43" s="290" t="inlineStr">
        <is>
          <t>шт</t>
        </is>
      </c>
      <c r="E43" s="481" t="n">
        <v>1</v>
      </c>
      <c r="F43" s="279" t="n">
        <v>13.29</v>
      </c>
      <c r="G43" s="193">
        <f>ROUND(E43*F43,2)</f>
        <v/>
      </c>
      <c r="H43" s="195">
        <f>G43/$G$50</f>
        <v/>
      </c>
      <c r="I43" s="193">
        <f>ROUND(F43*Прил.10!$D$13,2)</f>
        <v/>
      </c>
      <c r="J43" s="193">
        <f>ROUND(I43*E43,2)</f>
        <v/>
      </c>
    </row>
    <row r="44" outlineLevel="1" ht="14.25" customFormat="1" customHeight="1" s="317">
      <c r="A44" s="394" t="n">
        <v>17</v>
      </c>
      <c r="B44" s="290" t="inlineStr">
        <is>
          <t>20.1.02.14-1014</t>
        </is>
      </c>
      <c r="C44" s="279" t="inlineStr">
        <is>
          <t>Серьга СР-7-16</t>
        </is>
      </c>
      <c r="D44" s="290" t="inlineStr">
        <is>
          <t>шт</t>
        </is>
      </c>
      <c r="E44" s="481" t="n">
        <v>1</v>
      </c>
      <c r="F44" s="279" t="n">
        <v>9.359999999999999</v>
      </c>
      <c r="G44" s="193">
        <f>ROUND(E44*F44,2)</f>
        <v/>
      </c>
      <c r="H44" s="195">
        <f>G44/$G$50</f>
        <v/>
      </c>
      <c r="I44" s="193">
        <f>ROUND(F44*Прил.10!$D$13,2)</f>
        <v/>
      </c>
      <c r="J44" s="193">
        <f>ROUND(I44*E44,2)</f>
        <v/>
      </c>
    </row>
    <row r="45" outlineLevel="1" ht="14.25" customFormat="1" customHeight="1" s="317">
      <c r="A45" s="394" t="n">
        <v>18</v>
      </c>
      <c r="B45" s="290" t="inlineStr">
        <is>
          <t>01.7.15.03-0042</t>
        </is>
      </c>
      <c r="C45" s="279" t="inlineStr">
        <is>
          <t>Болты с гайками и шайбами строительные</t>
        </is>
      </c>
      <c r="D45" s="290" t="inlineStr">
        <is>
          <t>кг</t>
        </is>
      </c>
      <c r="E45" s="481" t="n">
        <v>0.62542</v>
      </c>
      <c r="F45" s="279" t="n">
        <v>9.029999999999999</v>
      </c>
      <c r="G45" s="193">
        <f>ROUND(E45*F45,2)</f>
        <v/>
      </c>
      <c r="H45" s="195">
        <f>G45/$G$50</f>
        <v/>
      </c>
      <c r="I45" s="193">
        <f>ROUND(F45*Прил.10!$D$13,2)</f>
        <v/>
      </c>
      <c r="J45" s="193">
        <f>ROUND(I45*E45,2)</f>
        <v/>
      </c>
    </row>
    <row r="46" outlineLevel="1" ht="14.25" customFormat="1" customHeight="1" s="317">
      <c r="A46" s="394" t="n">
        <v>19</v>
      </c>
      <c r="B46" s="290" t="inlineStr">
        <is>
          <t>08.3.08.02-0023</t>
        </is>
      </c>
      <c r="C46" s="279" t="inlineStr">
        <is>
          <t>Уголок горячекатаный, размер 60х60 мм</t>
        </is>
      </c>
      <c r="D46" s="290" t="inlineStr">
        <is>
          <t>т</t>
        </is>
      </c>
      <c r="E46" s="481" t="n">
        <v>0.00038</v>
      </c>
      <c r="F46" s="279" t="n">
        <v>5552.63</v>
      </c>
      <c r="G46" s="193">
        <f>ROUND(E46*F46,2)</f>
        <v/>
      </c>
      <c r="H46" s="195">
        <f>G46/$G$50</f>
        <v/>
      </c>
      <c r="I46" s="193">
        <f>ROUND(F46*Прил.10!$D$13,2)</f>
        <v/>
      </c>
      <c r="J46" s="193">
        <f>ROUND(I46*E46,2)</f>
        <v/>
      </c>
    </row>
    <row r="47" outlineLevel="1" ht="25.5" customFormat="1" customHeight="1" s="317">
      <c r="A47" s="394" t="n">
        <v>20</v>
      </c>
      <c r="B47" s="290" t="inlineStr">
        <is>
          <t>999-9950</t>
        </is>
      </c>
      <c r="C47" s="279" t="inlineStr">
        <is>
          <t>Вспомогательные ненормируемые материальные ресурсы</t>
        </is>
      </c>
      <c r="D47" s="290" t="inlineStr">
        <is>
          <t>руб</t>
        </is>
      </c>
      <c r="E47" s="481" t="n">
        <v>1.6778</v>
      </c>
      <c r="F47" s="279" t="n">
        <v>1</v>
      </c>
      <c r="G47" s="193">
        <f>ROUND(E47*F47,2)</f>
        <v/>
      </c>
      <c r="H47" s="195">
        <f>G47/$G$50</f>
        <v/>
      </c>
      <c r="I47" s="193">
        <f>ROUND(F47*Прил.10!$D$13,2)</f>
        <v/>
      </c>
      <c r="J47" s="193">
        <f>ROUND(I47*E47,2)</f>
        <v/>
      </c>
    </row>
    <row r="48" outlineLevel="1" ht="14.25" customFormat="1" customHeight="1" s="317">
      <c r="A48" s="394" t="n">
        <v>21</v>
      </c>
      <c r="B48" s="290" t="inlineStr">
        <is>
          <t>01.7.15.13-0001</t>
        </is>
      </c>
      <c r="C48" s="279" t="inlineStr">
        <is>
          <t>Шплинты</t>
        </is>
      </c>
      <c r="D48" s="290" t="inlineStr">
        <is>
          <t>кг</t>
        </is>
      </c>
      <c r="E48" s="481" t="n">
        <v>0.00449</v>
      </c>
      <c r="F48" s="279" t="n">
        <v>13.36</v>
      </c>
      <c r="G48" s="193">
        <f>ROUND(E48*F48,2)</f>
        <v/>
      </c>
      <c r="H48" s="195">
        <f>G48/$G$50</f>
        <v/>
      </c>
      <c r="I48" s="193">
        <f>ROUND(F48*Прил.10!$D$13,2)</f>
        <v/>
      </c>
      <c r="J48" s="193">
        <f>ROUND(I48*E48,2)</f>
        <v/>
      </c>
    </row>
    <row r="49" ht="14.25" customFormat="1" customHeight="1" s="317">
      <c r="A49" s="394" t="n"/>
      <c r="B49" s="394" t="n"/>
      <c r="C49" s="404" t="inlineStr">
        <is>
          <t>Итого прочие материалы</t>
        </is>
      </c>
      <c r="D49" s="394" t="n"/>
      <c r="E49" s="480" t="n"/>
      <c r="F49" s="406" t="n"/>
      <c r="G49" s="193">
        <f>SUM(G41:G48)</f>
        <v/>
      </c>
      <c r="H49" s="195">
        <f>G49/$G$50</f>
        <v/>
      </c>
      <c r="I49" s="193" t="n"/>
      <c r="J49" s="193">
        <f>SUM(J41:J48)</f>
        <v/>
      </c>
    </row>
    <row r="50" ht="14.25" customFormat="1" customHeight="1" s="317">
      <c r="A50" s="394" t="n"/>
      <c r="B50" s="394" t="n"/>
      <c r="C50" s="403" t="inlineStr">
        <is>
          <t>Итого по разделу «Материалы»</t>
        </is>
      </c>
      <c r="D50" s="394" t="n"/>
      <c r="E50" s="405" t="n"/>
      <c r="F50" s="406" t="n"/>
      <c r="G50" s="193">
        <f>G40+G49</f>
        <v/>
      </c>
      <c r="H50" s="407">
        <f>G50/$G$50</f>
        <v/>
      </c>
      <c r="I50" s="193" t="n"/>
      <c r="J50" s="193">
        <f>J40+J49</f>
        <v/>
      </c>
    </row>
    <row r="51" ht="14.25" customFormat="1" customHeight="1" s="317">
      <c r="A51" s="394" t="n"/>
      <c r="B51" s="394" t="n"/>
      <c r="C51" s="404" t="inlineStr">
        <is>
          <t>ИТОГО ПО РМ</t>
        </is>
      </c>
      <c r="D51" s="394" t="n"/>
      <c r="E51" s="405" t="n"/>
      <c r="F51" s="406" t="n"/>
      <c r="G51" s="193">
        <f>G14+G25+G50</f>
        <v/>
      </c>
      <c r="H51" s="407" t="n"/>
      <c r="I51" s="193" t="n"/>
      <c r="J51" s="193">
        <f>J14+J25+J50</f>
        <v/>
      </c>
    </row>
    <row r="52" ht="14.25" customFormat="1" customHeight="1" s="317">
      <c r="A52" s="394" t="n"/>
      <c r="B52" s="394" t="n"/>
      <c r="C52" s="404" t="inlineStr">
        <is>
          <t>Накладные расходы</t>
        </is>
      </c>
      <c r="D52" s="272">
        <f>ROUND(G52/(G$16+$G$14),2)</f>
        <v/>
      </c>
      <c r="E52" s="405" t="n"/>
      <c r="F52" s="406" t="n"/>
      <c r="G52" s="193" t="n">
        <v>103.33</v>
      </c>
      <c r="H52" s="407" t="n"/>
      <c r="I52" s="193" t="n"/>
      <c r="J52" s="193">
        <f>ROUND(D52*(J14+J16),2)</f>
        <v/>
      </c>
    </row>
    <row r="53" ht="14.25" customFormat="1" customHeight="1" s="317">
      <c r="A53" s="394" t="n"/>
      <c r="B53" s="394" t="n"/>
      <c r="C53" s="404" t="inlineStr">
        <is>
          <t>Сметная прибыль</t>
        </is>
      </c>
      <c r="D53" s="272">
        <f>ROUND(G53/(G$14+G$16),2)</f>
        <v/>
      </c>
      <c r="E53" s="405" t="n"/>
      <c r="F53" s="406" t="n"/>
      <c r="G53" s="193" t="n">
        <v>54.33</v>
      </c>
      <c r="H53" s="407" t="n"/>
      <c r="I53" s="193" t="n"/>
      <c r="J53" s="193">
        <f>ROUND(D53*(J14+J16),2)</f>
        <v/>
      </c>
    </row>
    <row r="54" ht="14.25" customFormat="1" customHeight="1" s="317">
      <c r="A54" s="394" t="n"/>
      <c r="B54" s="394" t="n"/>
      <c r="C54" s="404" t="inlineStr">
        <is>
          <t>Итого СМР (с НР и СП)</t>
        </is>
      </c>
      <c r="D54" s="394" t="n"/>
      <c r="E54" s="405" t="n"/>
      <c r="F54" s="406" t="n"/>
      <c r="G54" s="193">
        <f>G14+G25+G50+G52+G53</f>
        <v/>
      </c>
      <c r="H54" s="407" t="n"/>
      <c r="I54" s="193" t="n"/>
      <c r="J54" s="193">
        <f>J14+J25+J50+J52+J53</f>
        <v/>
      </c>
    </row>
    <row r="55" ht="14.25" customFormat="1" customHeight="1" s="317">
      <c r="A55" s="394" t="n"/>
      <c r="B55" s="394" t="n"/>
      <c r="C55" s="404" t="inlineStr">
        <is>
          <t>ВСЕГО СМР + ОБОРУДОВАНИЕ</t>
        </is>
      </c>
      <c r="D55" s="394" t="n"/>
      <c r="E55" s="405" t="n"/>
      <c r="F55" s="406" t="n"/>
      <c r="G55" s="193">
        <f>G54+G31</f>
        <v/>
      </c>
      <c r="H55" s="407" t="n"/>
      <c r="I55" s="193" t="n"/>
      <c r="J55" s="193">
        <f>J54+J31</f>
        <v/>
      </c>
    </row>
    <row r="56" ht="34.5" customFormat="1" customHeight="1" s="317">
      <c r="A56" s="394" t="n"/>
      <c r="B56" s="394" t="n"/>
      <c r="C56" s="404" t="inlineStr">
        <is>
          <t>ИТОГО ПОКАЗАТЕЛЬ НА ЕД. ИЗМ.</t>
        </is>
      </c>
      <c r="D56" s="394" t="inlineStr">
        <is>
          <t>1 ед.</t>
        </is>
      </c>
      <c r="E56" s="485" t="n">
        <v>1</v>
      </c>
      <c r="F56" s="406" t="n"/>
      <c r="G56" s="193">
        <f>G55/E56</f>
        <v/>
      </c>
      <c r="H56" s="407" t="n"/>
      <c r="I56" s="193" t="n"/>
      <c r="J56" s="193">
        <f>J55/E56</f>
        <v/>
      </c>
    </row>
    <row r="58" ht="14.25" customFormat="1" customHeight="1" s="317">
      <c r="A58" s="307" t="inlineStr">
        <is>
          <t>Составил ______________________    А.Р. Маркова</t>
        </is>
      </c>
      <c r="B58" s="269" t="n"/>
      <c r="D58" s="273" t="n"/>
      <c r="E58" s="273" t="n"/>
      <c r="F58" s="273" t="n"/>
    </row>
    <row r="59" ht="14.25" customFormat="1" customHeight="1" s="317">
      <c r="A59" s="316" t="inlineStr">
        <is>
          <t xml:space="preserve">                         (подпись, инициалы, фамилия)</t>
        </is>
      </c>
      <c r="B59" s="269" t="n"/>
      <c r="D59" s="273" t="n"/>
      <c r="E59" s="273" t="n"/>
      <c r="F59" s="273" t="n"/>
    </row>
    <row r="60" ht="14.25" customFormat="1" customHeight="1" s="317">
      <c r="A60" s="307" t="n"/>
      <c r="B60" s="269" t="n"/>
      <c r="D60" s="273" t="n"/>
      <c r="E60" s="273" t="n"/>
      <c r="F60" s="273" t="n"/>
    </row>
    <row r="61" ht="14.25" customFormat="1" customHeight="1" s="317">
      <c r="A61" s="307" t="inlineStr">
        <is>
          <t>Проверил ______________________        А.В. Костянецкая</t>
        </is>
      </c>
      <c r="B61" s="269" t="n"/>
      <c r="D61" s="273" t="n"/>
      <c r="E61" s="273" t="n"/>
      <c r="F61" s="273" t="n"/>
    </row>
    <row r="62" ht="14.25" customFormat="1" customHeight="1" s="317">
      <c r="A62" s="316" t="inlineStr">
        <is>
          <t xml:space="preserve">                        (подпись, инициалы, фамилия)</t>
        </is>
      </c>
      <c r="B62" s="269" t="n"/>
      <c r="D62" s="273" t="n"/>
      <c r="E62" s="273" t="n"/>
      <c r="F62" s="273" t="n"/>
    </row>
  </sheetData>
  <mergeCells count="20">
    <mergeCell ref="H9:H10"/>
    <mergeCell ref="B15:H15"/>
    <mergeCell ref="B33:H33"/>
    <mergeCell ref="A6:H6"/>
    <mergeCell ref="D5:J5"/>
    <mergeCell ref="C9:C10"/>
    <mergeCell ref="E9:E10"/>
    <mergeCell ref="B26:H26"/>
    <mergeCell ref="B9:B10"/>
    <mergeCell ref="D9:D10"/>
    <mergeCell ref="B18:H18"/>
    <mergeCell ref="B27:H27"/>
    <mergeCell ref="B12:H12"/>
    <mergeCell ref="F9:G9"/>
    <mergeCell ref="H1:J1"/>
    <mergeCell ref="B17:H17"/>
    <mergeCell ref="A9:A10"/>
    <mergeCell ref="A3:J3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7" workbookViewId="0">
      <selection activeCell="D23" sqref="D23"/>
    </sheetView>
  </sheetViews>
  <sheetFormatPr baseColWidth="8" defaultRowHeight="15"/>
  <cols>
    <col width="5.7109375" customWidth="1" style="319" min="1" max="1"/>
    <col width="17.5703125" customWidth="1" style="319" min="2" max="2"/>
    <col width="39.140625" customWidth="1" style="319" min="3" max="3"/>
    <col width="10.7109375" customWidth="1" style="319" min="4" max="4"/>
    <col width="13.85546875" customWidth="1" style="319" min="5" max="5"/>
    <col width="13.28515625" customWidth="1" style="319" min="6" max="6"/>
    <col width="14.140625" customWidth="1" style="319" min="7" max="7"/>
  </cols>
  <sheetData>
    <row r="1">
      <c r="A1" s="417" t="inlineStr">
        <is>
          <t>Приложение №6</t>
        </is>
      </c>
    </row>
    <row r="2" ht="21.75" customHeight="1" s="319">
      <c r="A2" s="417" t="n"/>
      <c r="B2" s="417" t="n"/>
      <c r="C2" s="417" t="n"/>
      <c r="D2" s="417" t="n"/>
      <c r="E2" s="417" t="n"/>
      <c r="F2" s="417" t="n"/>
      <c r="G2" s="417" t="n"/>
    </row>
    <row r="3">
      <c r="A3" s="366" t="inlineStr">
        <is>
          <t>Расчет стоимости оборудования</t>
        </is>
      </c>
    </row>
    <row r="4" ht="25.5" customHeight="1" s="319">
      <c r="A4" s="369" t="inlineStr">
        <is>
          <t>Наименование разрабатываемого показателя УНЦ — ВЧ-заградитель (ВЧЗ) на ЛЭП 330 кВ</t>
        </is>
      </c>
    </row>
    <row r="5">
      <c r="A5" s="307" t="n"/>
      <c r="B5" s="307" t="n"/>
      <c r="C5" s="307" t="n"/>
      <c r="D5" s="307" t="n"/>
      <c r="E5" s="307" t="n"/>
      <c r="F5" s="307" t="n"/>
      <c r="G5" s="307" t="n"/>
    </row>
    <row r="6" ht="30" customHeight="1" s="319">
      <c r="A6" s="422" t="inlineStr">
        <is>
          <t>№ пп.</t>
        </is>
      </c>
      <c r="B6" s="422" t="inlineStr">
        <is>
          <t>Код ресурса</t>
        </is>
      </c>
      <c r="C6" s="422" t="inlineStr">
        <is>
          <t>Наименование</t>
        </is>
      </c>
      <c r="D6" s="422" t="inlineStr">
        <is>
          <t>Ед. изм.</t>
        </is>
      </c>
      <c r="E6" s="394" t="inlineStr">
        <is>
          <t>Кол-во единиц по проектным данным</t>
        </is>
      </c>
      <c r="F6" s="422" t="inlineStr">
        <is>
          <t>Сметная стоимость в ценах на 01.01.2000 (руб.)</t>
        </is>
      </c>
      <c r="G6" s="469" t="n"/>
    </row>
    <row r="7">
      <c r="A7" s="471" t="n"/>
      <c r="B7" s="471" t="n"/>
      <c r="C7" s="471" t="n"/>
      <c r="D7" s="471" t="n"/>
      <c r="E7" s="471" t="n"/>
      <c r="F7" s="394" t="inlineStr">
        <is>
          <t>на ед. изм.</t>
        </is>
      </c>
      <c r="G7" s="394" t="inlineStr">
        <is>
          <t>общая</t>
        </is>
      </c>
    </row>
    <row r="8">
      <c r="A8" s="394" t="n">
        <v>1</v>
      </c>
      <c r="B8" s="394" t="n">
        <v>2</v>
      </c>
      <c r="C8" s="394" t="n">
        <v>3</v>
      </c>
      <c r="D8" s="394" t="n">
        <v>4</v>
      </c>
      <c r="E8" s="394" t="n">
        <v>5</v>
      </c>
      <c r="F8" s="394" t="n">
        <v>6</v>
      </c>
      <c r="G8" s="394" t="n">
        <v>7</v>
      </c>
    </row>
    <row r="9" ht="15" customHeight="1" s="319">
      <c r="A9" s="224" t="n"/>
      <c r="B9" s="404" t="inlineStr">
        <is>
          <t>ИНЖЕНЕРНОЕ ОБОРУДОВАНИЕ</t>
        </is>
      </c>
      <c r="C9" s="468" t="n"/>
      <c r="D9" s="468" t="n"/>
      <c r="E9" s="468" t="n"/>
      <c r="F9" s="468" t="n"/>
      <c r="G9" s="469" t="n"/>
    </row>
    <row r="10" ht="27" customHeight="1" s="319">
      <c r="A10" s="394" t="n"/>
      <c r="B10" s="403" t="n"/>
      <c r="C10" s="404" t="inlineStr">
        <is>
          <t>ИТОГО ИНЖЕНЕРНОЕ ОБОРУДОВАНИЕ</t>
        </is>
      </c>
      <c r="D10" s="403" t="n"/>
      <c r="E10" s="142" t="n"/>
      <c r="F10" s="406" t="n"/>
      <c r="G10" s="406" t="n">
        <v>0</v>
      </c>
    </row>
    <row r="11">
      <c r="A11" s="394" t="n"/>
      <c r="B11" s="404" t="inlineStr">
        <is>
          <t>ТЕХНОЛОГИЧЕСКОЕ ОБОРУДОВАНИЕ</t>
        </is>
      </c>
      <c r="C11" s="468" t="n"/>
      <c r="D11" s="468" t="n"/>
      <c r="E11" s="468" t="n"/>
      <c r="F11" s="468" t="n"/>
      <c r="G11" s="469" t="n"/>
    </row>
    <row r="12" ht="35.45" customHeight="1" s="319">
      <c r="A12" s="394" t="n">
        <v>1</v>
      </c>
      <c r="B12" s="289">
        <f>'Прил.5 Расчет СМР и ОБ'!B28</f>
        <v/>
      </c>
      <c r="C12" s="404">
        <f>'Прил.5 Расчет СМР и ОБ'!C28</f>
        <v/>
      </c>
      <c r="D12" s="394">
        <f>'Прил.5 Расчет СМР и ОБ'!D28</f>
        <v/>
      </c>
      <c r="E12" s="480">
        <f>'Прил.5 Расчет СМР и ОБ'!E28</f>
        <v/>
      </c>
      <c r="F12" s="421">
        <f>'Прил.5 Расчет СМР и ОБ'!F28</f>
        <v/>
      </c>
      <c r="G12" s="193">
        <f>ROUND(E12*F12,2)</f>
        <v/>
      </c>
    </row>
    <row r="13" ht="25.5" customHeight="1" s="319">
      <c r="A13" s="394" t="n"/>
      <c r="B13" s="404" t="n"/>
      <c r="C13" s="404" t="inlineStr">
        <is>
          <t>ИТОГО ТЕХНОЛОГИЧЕСКОЕ ОБОРУДОВАНИЕ</t>
        </is>
      </c>
      <c r="D13" s="404" t="n"/>
      <c r="E13" s="421" t="n"/>
      <c r="F13" s="406" t="n"/>
      <c r="G13" s="193">
        <f>SUM(G12:G12)</f>
        <v/>
      </c>
    </row>
    <row r="14" ht="19.5" customHeight="1" s="319">
      <c r="A14" s="394" t="n"/>
      <c r="B14" s="404" t="n"/>
      <c r="C14" s="404" t="inlineStr">
        <is>
          <t>Всего по разделу «Оборудование»</t>
        </is>
      </c>
      <c r="D14" s="404" t="n"/>
      <c r="E14" s="421" t="n"/>
      <c r="F14" s="406" t="n"/>
      <c r="G14" s="193">
        <f>G10+G13</f>
        <v/>
      </c>
    </row>
    <row r="15">
      <c r="A15" s="318" t="n"/>
      <c r="B15" s="313" t="n"/>
      <c r="C15" s="318" t="n"/>
      <c r="D15" s="318" t="n"/>
      <c r="E15" s="318" t="n"/>
      <c r="F15" s="318" t="n"/>
      <c r="G15" s="318" t="n"/>
    </row>
    <row r="16">
      <c r="A16" s="307" t="inlineStr">
        <is>
          <t>Составил ______________________    А.Р. Маркова</t>
        </is>
      </c>
      <c r="B16" s="317" t="n"/>
      <c r="C16" s="317" t="n"/>
      <c r="D16" s="318" t="n"/>
      <c r="E16" s="318" t="n"/>
      <c r="F16" s="318" t="n"/>
      <c r="G16" s="318" t="n"/>
    </row>
    <row r="17">
      <c r="A17" s="316" t="inlineStr">
        <is>
          <t xml:space="preserve">                         (подпись, инициалы, фамилия)</t>
        </is>
      </c>
      <c r="B17" s="317" t="n"/>
      <c r="C17" s="317" t="n"/>
      <c r="D17" s="318" t="n"/>
      <c r="E17" s="318" t="n"/>
      <c r="F17" s="318" t="n"/>
      <c r="G17" s="318" t="n"/>
    </row>
    <row r="18">
      <c r="A18" s="307" t="n"/>
      <c r="B18" s="317" t="n"/>
      <c r="C18" s="317" t="n"/>
      <c r="D18" s="318" t="n"/>
      <c r="E18" s="318" t="n"/>
      <c r="F18" s="318" t="n"/>
      <c r="G18" s="318" t="n"/>
    </row>
    <row r="19">
      <c r="A19" s="307" t="inlineStr">
        <is>
          <t>Проверил ______________________        А.В. Костянецкая</t>
        </is>
      </c>
      <c r="B19" s="317" t="n"/>
      <c r="C19" s="317" t="n"/>
      <c r="D19" s="318" t="n"/>
      <c r="E19" s="318" t="n"/>
      <c r="F19" s="318" t="n"/>
      <c r="G19" s="318" t="n"/>
    </row>
    <row r="20">
      <c r="A20" s="316" t="inlineStr">
        <is>
          <t xml:space="preserve">                        (подпись, инициалы, фамилия)</t>
        </is>
      </c>
      <c r="B20" s="317" t="n"/>
      <c r="C20" s="317" t="n"/>
      <c r="D20" s="318" t="n"/>
      <c r="E20" s="318" t="n"/>
      <c r="F20" s="318" t="n"/>
      <c r="G20" s="31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4.42578125" customWidth="1" style="319" min="1" max="1"/>
    <col width="29.7109375" customWidth="1" style="319" min="2" max="2"/>
    <col width="39.140625" customWidth="1" style="319" min="3" max="3"/>
    <col width="24.5703125" customWidth="1" style="319" min="4" max="4"/>
    <col width="8.85546875" customWidth="1" style="319" min="5" max="5"/>
  </cols>
  <sheetData>
    <row r="1">
      <c r="B1" s="307" t="n"/>
      <c r="C1" s="307" t="n"/>
      <c r="D1" s="417" t="inlineStr">
        <is>
          <t>Приложение №7</t>
        </is>
      </c>
    </row>
    <row r="2">
      <c r="A2" s="417" t="n"/>
      <c r="B2" s="417" t="n"/>
      <c r="C2" s="417" t="n"/>
      <c r="D2" s="417" t="n"/>
    </row>
    <row r="3" ht="24.75" customHeight="1" s="319">
      <c r="A3" s="366" t="inlineStr">
        <is>
          <t>Расчет показателя УНЦ</t>
        </is>
      </c>
    </row>
    <row r="4" ht="24.75" customHeight="1" s="319">
      <c r="A4" s="366" t="n"/>
      <c r="B4" s="366" t="n"/>
      <c r="C4" s="366" t="n"/>
      <c r="D4" s="366" t="n"/>
    </row>
    <row r="5" ht="24.6" customHeight="1" s="319">
      <c r="A5" s="369" t="inlineStr">
        <is>
          <t xml:space="preserve">Наименование разрабатываемого показателя УНЦ - </t>
        </is>
      </c>
      <c r="D5" s="369">
        <f>'Прил.5 Расчет СМР и ОБ'!D5:J5</f>
        <v/>
      </c>
    </row>
    <row r="6" ht="19.9" customHeight="1" s="319">
      <c r="A6" s="369" t="inlineStr">
        <is>
          <t>Единица измерения  — 1 ед</t>
        </is>
      </c>
      <c r="D6" s="369" t="n"/>
    </row>
    <row r="7">
      <c r="A7" s="307" t="n"/>
      <c r="B7" s="307" t="n"/>
      <c r="C7" s="307" t="n"/>
      <c r="D7" s="307" t="n"/>
    </row>
    <row r="8" ht="14.45" customHeight="1" s="319">
      <c r="A8" s="381" t="inlineStr">
        <is>
          <t>Код показателя</t>
        </is>
      </c>
      <c r="B8" s="381" t="inlineStr">
        <is>
          <t>Наименование показателя</t>
        </is>
      </c>
      <c r="C8" s="381" t="inlineStr">
        <is>
          <t>Наименование РМ, входящих в состав показателя</t>
        </is>
      </c>
      <c r="D8" s="381" t="inlineStr">
        <is>
          <t>Норматив цены на 01.01.2023, тыс.руб.</t>
        </is>
      </c>
    </row>
    <row r="9" ht="15" customHeight="1" s="319">
      <c r="A9" s="471" t="n"/>
      <c r="B9" s="471" t="n"/>
      <c r="C9" s="471" t="n"/>
      <c r="D9" s="471" t="n"/>
    </row>
    <row r="10">
      <c r="A10" s="394" t="n">
        <v>1</v>
      </c>
      <c r="B10" s="394" t="n">
        <v>2</v>
      </c>
      <c r="C10" s="394" t="n">
        <v>3</v>
      </c>
      <c r="D10" s="394" t="n">
        <v>4</v>
      </c>
    </row>
    <row r="11" ht="41.45" customHeight="1" s="319">
      <c r="A11" s="394" t="inlineStr">
        <is>
          <t>А6-04-2</t>
        </is>
      </c>
      <c r="B11" s="394" t="inlineStr">
        <is>
          <t xml:space="preserve">УНЦ системы ВЧ связи 35-750 кВ </t>
        </is>
      </c>
      <c r="C11" s="309">
        <f>D5</f>
        <v/>
      </c>
      <c r="D11" s="310">
        <f>'Прил.4 РМ'!C41/1000</f>
        <v/>
      </c>
      <c r="E11" s="311" t="n"/>
    </row>
    <row r="12">
      <c r="A12" s="318" t="n"/>
      <c r="B12" s="313" t="n"/>
      <c r="C12" s="318" t="n"/>
      <c r="D12" s="318" t="n"/>
    </row>
    <row r="13">
      <c r="A13" s="307" t="inlineStr">
        <is>
          <t>Составил ______________________      А.Р. Маркова</t>
        </is>
      </c>
      <c r="B13" s="317" t="n"/>
      <c r="C13" s="317" t="n"/>
      <c r="D13" s="318" t="n"/>
    </row>
    <row r="14">
      <c r="A14" s="316" t="inlineStr">
        <is>
          <t xml:space="preserve">                         (подпись, инициалы, фамилия)</t>
        </is>
      </c>
      <c r="B14" s="317" t="n"/>
      <c r="C14" s="317" t="n"/>
      <c r="D14" s="318" t="n"/>
    </row>
    <row r="15">
      <c r="A15" s="307" t="n"/>
      <c r="B15" s="317" t="n"/>
      <c r="C15" s="317" t="n"/>
      <c r="D15" s="318" t="n"/>
    </row>
    <row r="16">
      <c r="A16" s="307" t="inlineStr">
        <is>
          <t>Проверил ______________________        А.В. Костянецкая</t>
        </is>
      </c>
      <c r="B16" s="317" t="n"/>
      <c r="C16" s="317" t="n"/>
      <c r="D16" s="318" t="n"/>
    </row>
    <row r="17">
      <c r="A17" s="316" t="inlineStr">
        <is>
          <t xml:space="preserve">                        (подпись, инициалы, фамилия)</t>
        </is>
      </c>
      <c r="B17" s="317" t="n"/>
      <c r="C17" s="317" t="n"/>
      <c r="D17" s="31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view="pageBreakPreview" topLeftCell="A13" zoomScaleNormal="85" zoomScaleSheetLayoutView="100" workbookViewId="0">
      <selection activeCell="D23" sqref="D23"/>
    </sheetView>
  </sheetViews>
  <sheetFormatPr baseColWidth="8" defaultColWidth="9.140625" defaultRowHeight="15"/>
  <cols>
    <col width="9.140625" customWidth="1" style="319" min="1" max="1"/>
    <col width="40.7109375" customWidth="1" style="319" min="2" max="2"/>
    <col width="37" customWidth="1" style="319" min="3" max="3"/>
    <col width="32" customWidth="1" style="319" min="4" max="4"/>
    <col width="9.140625" customWidth="1" style="319" min="5" max="5"/>
  </cols>
  <sheetData>
    <row r="4" ht="15.75" customHeight="1" s="319">
      <c r="B4" s="373" t="inlineStr">
        <is>
          <t>Приложение № 10</t>
        </is>
      </c>
    </row>
    <row r="5" ht="18.75" customHeight="1" s="319">
      <c r="B5" s="166" t="n"/>
    </row>
    <row r="6" ht="15.75" customHeight="1" s="319">
      <c r="B6" s="374" t="inlineStr">
        <is>
          <t>Используемые индексы изменений сметной стоимости и нормы сопутствующих затрат</t>
        </is>
      </c>
    </row>
    <row r="7">
      <c r="B7" s="423" t="n"/>
    </row>
    <row r="8">
      <c r="B8" s="423" t="n"/>
      <c r="C8" s="423" t="n"/>
      <c r="D8" s="423" t="n"/>
      <c r="E8" s="423" t="n"/>
    </row>
    <row r="9" ht="47.25" customHeight="1" s="319">
      <c r="B9" s="381" t="inlineStr">
        <is>
          <t>Наименование индекса / норм сопутствующих затрат</t>
        </is>
      </c>
      <c r="C9" s="381" t="inlineStr">
        <is>
          <t>Дата применения и обоснование индекса / норм сопутствующих затрат</t>
        </is>
      </c>
      <c r="D9" s="381" t="inlineStr">
        <is>
          <t>Размер индекса / норма сопутствующих затрат</t>
        </is>
      </c>
    </row>
    <row r="10" ht="15.75" customHeight="1" s="319">
      <c r="B10" s="381" t="n">
        <v>1</v>
      </c>
      <c r="C10" s="381" t="n">
        <v>2</v>
      </c>
      <c r="D10" s="381" t="n">
        <v>3</v>
      </c>
    </row>
    <row r="11" ht="45" customHeight="1" s="319">
      <c r="B11" s="381" t="inlineStr">
        <is>
          <t xml:space="preserve">Индекс изменения сметной стоимости на 1 квартал 2023 года. ОЗП </t>
        </is>
      </c>
      <c r="C11" s="381" t="inlineStr">
        <is>
          <t>Письмо Минстроя России от 01.04.2023г. №17772-ИФ/09 прил.9</t>
        </is>
      </c>
      <c r="D11" s="381" t="n">
        <v>46.83</v>
      </c>
    </row>
    <row r="12" ht="29.25" customHeight="1" s="319">
      <c r="B12" s="381" t="inlineStr">
        <is>
          <t>Индекс изменения сметной стоимости на 1 квартал 2023 года. ЭМ</t>
        </is>
      </c>
      <c r="C12" s="381" t="inlineStr">
        <is>
          <t>Письмо Минстроя России от 01.04.2023г. №17772-ИФ/09 прил.9</t>
        </is>
      </c>
      <c r="D12" s="381" t="n">
        <v>11.96</v>
      </c>
    </row>
    <row r="13" ht="29.25" customHeight="1" s="319">
      <c r="B13" s="381" t="inlineStr">
        <is>
          <t>Индекс изменения сметной стоимости на 1 квартал 2023 года. МАТ</t>
        </is>
      </c>
      <c r="C13" s="381" t="inlineStr">
        <is>
          <t>Письмо Минстроя России от 01.04.2023г. №17772-ИФ/09 прил.9</t>
        </is>
      </c>
      <c r="D13" s="381" t="n">
        <v>9.140000000000001</v>
      </c>
    </row>
    <row r="14" ht="30.75" customHeight="1" s="319">
      <c r="B14" s="381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81" t="n">
        <v>6.26</v>
      </c>
    </row>
    <row r="15" ht="89.25" customHeight="1" s="319">
      <c r="B15" s="381" t="inlineStr">
        <is>
          <t>Временные здания и сооружения</t>
        </is>
      </c>
      <c r="C15" s="38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0.033</v>
      </c>
    </row>
    <row r="16" ht="78.75" customHeight="1" s="319">
      <c r="B16" s="381" t="inlineStr">
        <is>
          <t>Дополнительные затраты при производстве строительно-монтажных работ в зимнее время</t>
        </is>
      </c>
      <c r="C16" s="381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0.6" customHeight="1" s="319">
      <c r="B17" s="381" t="n"/>
      <c r="C17" s="381" t="n"/>
      <c r="D17" s="169" t="n"/>
    </row>
    <row r="18" ht="31.5" customHeight="1" s="319">
      <c r="B18" s="381" t="inlineStr">
        <is>
          <t>Строительный контроль</t>
        </is>
      </c>
      <c r="C18" s="381" t="inlineStr">
        <is>
          <t>Постановление Правительства РФ от 21.06.10 г. № 468</t>
        </is>
      </c>
      <c r="D18" s="169" t="n">
        <v>0.0214</v>
      </c>
    </row>
    <row r="19" ht="31.5" customHeight="1" s="319">
      <c r="B19" s="381" t="inlineStr">
        <is>
          <t>Авторский надзор - 0,2%</t>
        </is>
      </c>
      <c r="C19" s="381" t="inlineStr">
        <is>
          <t>Приказ от 4.08.2020 № 421/пр п.173</t>
        </is>
      </c>
      <c r="D19" s="169" t="n">
        <v>0.002</v>
      </c>
    </row>
    <row r="20" ht="24" customHeight="1" s="319">
      <c r="B20" s="381" t="inlineStr">
        <is>
          <t>Непредвиденные расходы</t>
        </is>
      </c>
      <c r="C20" s="381" t="inlineStr">
        <is>
          <t>Приказ от 4.08.2020 № 421/пр п.179</t>
        </is>
      </c>
      <c r="D20" s="169" t="n">
        <v>0.03</v>
      </c>
    </row>
    <row r="21" ht="18.75" customHeight="1" s="319">
      <c r="B21" s="237" t="n"/>
    </row>
    <row r="23">
      <c r="B23" s="307" t="inlineStr">
        <is>
          <t>Составил ______________________        А.Р. Маркова</t>
        </is>
      </c>
      <c r="C23" s="317" t="n"/>
    </row>
    <row r="24">
      <c r="B24" s="316" t="inlineStr">
        <is>
          <t xml:space="preserve">                         (подпись, инициалы, фамилия)</t>
        </is>
      </c>
      <c r="C24" s="317" t="n"/>
    </row>
    <row r="25">
      <c r="B25" s="307" t="n"/>
      <c r="C25" s="317" t="n"/>
    </row>
    <row r="26">
      <c r="B26" s="307" t="inlineStr">
        <is>
          <t>Проверил ______________________        А.В. Костянецкая</t>
        </is>
      </c>
      <c r="C26" s="317" t="n"/>
    </row>
    <row r="27">
      <c r="B27" s="316" t="inlineStr">
        <is>
          <t xml:space="preserve">                        (подпись, инициалы, фамилия)</t>
        </is>
      </c>
      <c r="C27" s="31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A21" sqref="D21"/>
    </sheetView>
  </sheetViews>
  <sheetFormatPr baseColWidth="8" defaultColWidth="9.140625" defaultRowHeight="15"/>
  <cols>
    <col width="44.85546875" customWidth="1" style="319" min="2" max="2"/>
    <col width="13" customWidth="1" style="319" min="3" max="3"/>
    <col width="22.85546875" customWidth="1" style="319" min="4" max="4"/>
    <col width="21.5703125" customWidth="1" style="319" min="5" max="5"/>
    <col width="43.85546875" customWidth="1" style="319" min="6" max="6"/>
  </cols>
  <sheetData>
    <row r="1" s="319"/>
    <row r="2" ht="17.25" customHeight="1" s="319">
      <c r="A2" s="374" t="inlineStr">
        <is>
          <t>Расчет размера средств на оплату труда рабочих-строителей в текущем уровне цен (ФОТр.тек.)</t>
        </is>
      </c>
    </row>
    <row r="3" s="319"/>
    <row r="4" ht="18" customHeight="1" s="319">
      <c r="A4" s="320" t="inlineStr">
        <is>
          <t>Составлен в уровне цен на 01.01.2023 г.</t>
        </is>
      </c>
      <c r="B4" s="321" t="n"/>
      <c r="C4" s="321" t="n"/>
      <c r="D4" s="321" t="n"/>
      <c r="E4" s="321" t="n"/>
      <c r="F4" s="321" t="n"/>
      <c r="G4" s="321" t="n"/>
    </row>
    <row r="5" ht="15.75" customHeight="1" s="319">
      <c r="A5" s="322" t="inlineStr">
        <is>
          <t>№ пп.</t>
        </is>
      </c>
      <c r="B5" s="322" t="inlineStr">
        <is>
          <t>Наименование элемента</t>
        </is>
      </c>
      <c r="C5" s="322" t="inlineStr">
        <is>
          <t>Обозначение</t>
        </is>
      </c>
      <c r="D5" s="322" t="inlineStr">
        <is>
          <t>Формула</t>
        </is>
      </c>
      <c r="E5" s="322" t="inlineStr">
        <is>
          <t>Величина элемента</t>
        </is>
      </c>
      <c r="F5" s="322" t="inlineStr">
        <is>
          <t>Наименования обосновывающих документов</t>
        </is>
      </c>
      <c r="G5" s="321" t="n"/>
    </row>
    <row r="6" ht="15.75" customHeight="1" s="319">
      <c r="A6" s="322" t="n">
        <v>1</v>
      </c>
      <c r="B6" s="322" t="n">
        <v>2</v>
      </c>
      <c r="C6" s="322" t="n">
        <v>3</v>
      </c>
      <c r="D6" s="322" t="n">
        <v>4</v>
      </c>
      <c r="E6" s="322" t="n">
        <v>5</v>
      </c>
      <c r="F6" s="322" t="n">
        <v>6</v>
      </c>
      <c r="G6" s="321" t="n"/>
    </row>
    <row r="7" ht="110.25" customHeight="1" s="319">
      <c r="A7" s="323" t="inlineStr">
        <is>
          <t>1.1</t>
        </is>
      </c>
      <c r="B7" s="3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81" t="inlineStr">
        <is>
          <t>С1ср</t>
        </is>
      </c>
      <c r="D7" s="381" t="inlineStr">
        <is>
          <t>-</t>
        </is>
      </c>
      <c r="E7" s="326" t="n">
        <v>47872.94</v>
      </c>
      <c r="F7" s="3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1" t="n"/>
    </row>
    <row r="8" ht="31.5" customHeight="1" s="319">
      <c r="A8" s="323" t="inlineStr">
        <is>
          <t>1.2</t>
        </is>
      </c>
      <c r="B8" s="328" t="inlineStr">
        <is>
          <t>Среднегодовое нормативное число часов работы одного рабочего в месяц, часы (ч.)</t>
        </is>
      </c>
      <c r="C8" s="381" t="inlineStr">
        <is>
          <t>tср</t>
        </is>
      </c>
      <c r="D8" s="381" t="inlineStr">
        <is>
          <t>1973ч/12мес.</t>
        </is>
      </c>
      <c r="E8" s="327">
        <f>1973/12</f>
        <v/>
      </c>
      <c r="F8" s="328" t="inlineStr">
        <is>
          <t>Производственный календарь 2023 год
(40-часов.неделя)</t>
        </is>
      </c>
      <c r="G8" s="330" t="n"/>
    </row>
    <row r="9" ht="15.75" customHeight="1" s="319">
      <c r="A9" s="323" t="inlineStr">
        <is>
          <t>1.3</t>
        </is>
      </c>
      <c r="B9" s="328" t="inlineStr">
        <is>
          <t>Коэффициент увеличения</t>
        </is>
      </c>
      <c r="C9" s="381" t="inlineStr">
        <is>
          <t>Кув</t>
        </is>
      </c>
      <c r="D9" s="381" t="inlineStr">
        <is>
          <t>-</t>
        </is>
      </c>
      <c r="E9" s="327" t="n">
        <v>1</v>
      </c>
      <c r="F9" s="328" t="n"/>
      <c r="G9" s="330" t="n"/>
    </row>
    <row r="10" ht="15.75" customHeight="1" s="319">
      <c r="A10" s="323" t="inlineStr">
        <is>
          <t>1.4</t>
        </is>
      </c>
      <c r="B10" s="328" t="inlineStr">
        <is>
          <t>Средний разряд работ</t>
        </is>
      </c>
      <c r="C10" s="381" t="n"/>
      <c r="D10" s="381" t="n"/>
      <c r="E10" s="486" t="n">
        <v>4</v>
      </c>
      <c r="F10" s="328" t="inlineStr">
        <is>
          <t>РТМ</t>
        </is>
      </c>
      <c r="G10" s="330" t="n"/>
    </row>
    <row r="11" ht="78.75" customHeight="1" s="319">
      <c r="A11" s="323" t="inlineStr">
        <is>
          <t>1.5</t>
        </is>
      </c>
      <c r="B11" s="328" t="inlineStr">
        <is>
          <t>Тарифный коэффициент среднего разряда работ</t>
        </is>
      </c>
      <c r="C11" s="381" t="inlineStr">
        <is>
          <t>КТ</t>
        </is>
      </c>
      <c r="D11" s="381" t="inlineStr">
        <is>
          <t>-</t>
        </is>
      </c>
      <c r="E11" s="487" t="n">
        <v>1.34</v>
      </c>
      <c r="F11" s="3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1" t="n"/>
    </row>
    <row r="12" ht="78.75" customHeight="1" s="319">
      <c r="A12" s="323" t="inlineStr">
        <is>
          <t>1.6</t>
        </is>
      </c>
      <c r="B12" s="386" t="inlineStr">
        <is>
          <t>Коэффициент инфляции, определяемый поквартально</t>
        </is>
      </c>
      <c r="C12" s="381" t="inlineStr">
        <is>
          <t>Кинф</t>
        </is>
      </c>
      <c r="D12" s="381" t="inlineStr">
        <is>
          <t>-</t>
        </is>
      </c>
      <c r="E12" s="488" t="n">
        <v>1.139</v>
      </c>
      <c r="F12" s="3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9">
      <c r="A13" s="323" t="inlineStr">
        <is>
          <t>1.7</t>
        </is>
      </c>
      <c r="B13" s="361" t="inlineStr">
        <is>
          <t>Размер средств на оплату труда рабочих-строителей в текущем уровне цен (ФОТр.тек.), руб/чел.-ч</t>
        </is>
      </c>
      <c r="C13" s="381" t="inlineStr">
        <is>
          <t>ФОТр.тек.</t>
        </is>
      </c>
      <c r="D13" s="381" t="inlineStr">
        <is>
          <t>(С1ср/tср*КТ*Т*Кув)*Кинф</t>
        </is>
      </c>
      <c r="E13" s="362">
        <f>((E7*E9/E8)*E11)*E12</f>
        <v/>
      </c>
      <c r="F13" s="32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2025-01-24T11:52:48Z</dcterms:modified>
  <cp:lastModifiedBy>Виктор Плотников</cp:lastModifiedBy>
</cp:coreProperties>
</file>