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Plan">#REF!</definedName>
    <definedName name="l">#REF!</definedName>
    <definedName name="language">#REF!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5">{"","однаz","двеz","триz","четыреz","пятьz","шестьz","семьz","восемьz","девятьz"}</definedName>
    <definedName name="n0">"000000000000,00"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ПФ_АУП">#REF!</definedName>
    <definedName name="НПФ_ПЭЭ">#REF!</definedName>
    <definedName name="НПФ_ТП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нование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_xlnm.Print_Area" localSheetId="0">'Прил.1 Сравнит табл'!$A$1:$D$32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стоим'!$A$1:$J$21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'Прил.3'!$A$1:$H$114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ОБ'!$A$1:$J$124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0.0"/>
    <numFmt numFmtId="169" formatCode="#,##0.0"/>
    <numFmt numFmtId="170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b val="1"/>
      <color rgb="FF000000"/>
      <sz val="12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8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1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9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10" fontId="20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6" fillId="0" borderId="5" applyAlignment="1" pivotButton="0" quotePrefix="0" xfId="0">
      <alignment horizontal="center" vertical="top" wrapText="1"/>
    </xf>
    <xf numFmtId="4" fontId="1" fillId="0" borderId="1" applyAlignment="1" pivotButton="0" quotePrefix="0" xfId="0">
      <alignment vertical="center"/>
    </xf>
    <xf numFmtId="49" fontId="1" fillId="4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/>
    </xf>
    <xf numFmtId="10" fontId="16" fillId="0" borderId="0" pivotButton="0" quotePrefix="0" xfId="0"/>
    <xf numFmtId="0" fontId="16" fillId="0" borderId="0" applyAlignment="1" pivotButton="0" quotePrefix="0" xfId="0">
      <alignment wrapText="1"/>
    </xf>
    <xf numFmtId="0" fontId="1" fillId="0" borderId="0" applyAlignment="1" pivotButton="0" quotePrefix="0" xfId="0">
      <alignment horizontal="center" vertical="top"/>
    </xf>
    <xf numFmtId="0" fontId="8" fillId="0" borderId="0" applyAlignment="1" pivotButton="0" quotePrefix="0" xfId="0">
      <alignment wrapText="1"/>
    </xf>
    <xf numFmtId="4" fontId="1" fillId="0" borderId="0" applyAlignment="1" pivotButton="0" quotePrefix="0" xfId="0">
      <alignment vertical="top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168" fontId="16" fillId="0" borderId="0" pivotButton="0" quotePrefix="0" xfId="0"/>
    <xf numFmtId="10" fontId="19" fillId="0" borderId="0" pivotButton="0" quotePrefix="0" xfId="0"/>
    <xf numFmtId="10" fontId="16" fillId="0" borderId="0" pivotButton="0" quotePrefix="0" xfId="0"/>
    <xf numFmtId="10" fontId="1" fillId="0" borderId="2" applyAlignment="1" pivotButton="0" quotePrefix="0" xfId="0">
      <alignment vertical="center"/>
    </xf>
    <xf numFmtId="0" fontId="1" fillId="0" borderId="2" applyAlignment="1" pivotButton="0" quotePrefix="0" xfId="0">
      <alignment vertical="center" wrapText="1"/>
    </xf>
    <xf numFmtId="4" fontId="1" fillId="0" borderId="0" applyAlignment="1" pivotButton="0" quotePrefix="0" xfId="0">
      <alignment horizontal="right" vertical="center"/>
    </xf>
    <xf numFmtId="169" fontId="16" fillId="0" borderId="0" pivotButton="0" quotePrefix="0" xfId="0"/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2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6" fontId="1" fillId="4" borderId="7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2" fontId="1" fillId="4" borderId="2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vertical="center"/>
    </xf>
    <xf numFmtId="0" fontId="4" fillId="4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left" vertical="center" wrapText="1"/>
    </xf>
    <xf numFmtId="2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4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166" fontId="1" fillId="4" borderId="1" applyAlignment="1" pivotButton="0" quotePrefix="0" xfId="0">
      <alignment horizontal="center" vertical="center" wrapText="1"/>
    </xf>
    <xf numFmtId="10" fontId="1" fillId="4" borderId="2" applyAlignment="1" pivotButton="0" quotePrefix="0" xfId="0">
      <alignment horizontal="right" vertical="center" wrapText="1"/>
    </xf>
    <xf numFmtId="0" fontId="4" fillId="4" borderId="1" applyAlignment="1" pivotButton="0" quotePrefix="0" xfId="0">
      <alignment vertical="center"/>
    </xf>
    <xf numFmtId="0" fontId="4" fillId="4" borderId="0" pivotButton="0" quotePrefix="0" xfId="0"/>
    <xf numFmtId="0" fontId="4" fillId="4" borderId="5" applyAlignment="1" pivotButton="0" quotePrefix="0" xfId="0">
      <alignment vertical="center"/>
    </xf>
    <xf numFmtId="4" fontId="1" fillId="4" borderId="1" applyAlignment="1" pivotButton="0" quotePrefix="0" xfId="0">
      <alignment vertical="center"/>
    </xf>
    <xf numFmtId="10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2" fillId="4" borderId="0" applyAlignment="1" pivotButton="0" quotePrefix="0" xfId="0">
      <alignment wrapText="1"/>
    </xf>
    <xf numFmtId="4" fontId="2" fillId="0" borderId="1" applyAlignment="1" pivotButton="0" quotePrefix="0" xfId="0">
      <alignment vertical="center"/>
    </xf>
    <xf numFmtId="4" fontId="2" fillId="0" borderId="2" applyAlignment="1" pivotButton="0" quotePrefix="0" xfId="0">
      <alignment vertical="center"/>
    </xf>
    <xf numFmtId="14" fontId="1" fillId="0" borderId="1" applyAlignment="1" pivotButton="0" quotePrefix="0" xfId="0">
      <alignment vertical="center"/>
    </xf>
    <xf numFmtId="4" fontId="1" fillId="0" borderId="2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4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4" fontId="16" fillId="0" borderId="7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8" applyAlignment="1" pivotButton="0" quotePrefix="0" xfId="0">
      <alignment vertical="center" wrapText="1"/>
    </xf>
    <xf numFmtId="4" fontId="22" fillId="0" borderId="4" applyAlignment="1" pivotButton="0" quotePrefix="0" xfId="0">
      <alignment vertical="center" wrapText="1"/>
    </xf>
    <xf numFmtId="4" fontId="22" fillId="0" borderId="7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4" fontId="1" fillId="4" borderId="1" applyAlignment="1" pivotButton="0" quotePrefix="0" xfId="0">
      <alignment vertical="center" wrapText="1"/>
    </xf>
    <xf numFmtId="4" fontId="1" fillId="4" borderId="1" applyAlignment="1" pivotButton="0" quotePrefix="0" xfId="0">
      <alignment vertical="center" wrapText="1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16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4" applyAlignment="1" pivotButton="0" quotePrefix="0" xfId="0">
      <alignment horizontal="right" vertical="center" wrapText="1"/>
    </xf>
    <xf numFmtId="0" fontId="19" fillId="0" borderId="3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2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4" borderId="5" applyAlignment="1" pivotButton="0" quotePrefix="0" xfId="0">
      <alignment horizontal="left" vertical="center" wrapText="1"/>
    </xf>
    <xf numFmtId="0" fontId="1" fillId="4" borderId="5" applyAlignment="1" pivotButton="0" quotePrefix="0" xfId="0">
      <alignment horizontal="center" vertical="center" wrapText="1"/>
    </xf>
    <xf numFmtId="2" fontId="1" fillId="4" borderId="5" applyAlignment="1" pivotButton="0" quotePrefix="0" xfId="0">
      <alignment horizontal="center" vertical="center" wrapText="1"/>
    </xf>
    <xf numFmtId="2" fontId="1" fillId="4" borderId="5" applyAlignment="1" pivotButton="0" quotePrefix="0" xfId="0">
      <alignment horizontal="right" vertical="center" wrapText="1"/>
    </xf>
    <xf numFmtId="10" fontId="1" fillId="4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right" vertical="center" wrapText="1"/>
    </xf>
    <xf numFmtId="10" fontId="2" fillId="4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8" pivotButton="0" quotePrefix="0" xfId="0"/>
    <xf numFmtId="169" fontId="16" fillId="0" borderId="0" pivotButton="0" quotePrefix="0" xfId="0"/>
    <xf numFmtId="168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4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166" fontId="1" fillId="4" borderId="7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2"/>
  <sheetViews>
    <sheetView tabSelected="1" view="pageBreakPreview" topLeftCell="A9" zoomScale="90" zoomScaleNormal="55" workbookViewId="0">
      <selection activeCell="C30" sqref="C30"/>
    </sheetView>
  </sheetViews>
  <sheetFormatPr baseColWidth="8" defaultColWidth="9.140625" defaultRowHeight="15.75"/>
  <cols>
    <col width="9.140625" customWidth="1" style="321" min="1" max="2"/>
    <col width="52.7109375" customWidth="1" style="321" min="3" max="3"/>
    <col width="52.140625" customWidth="1" style="321" min="4" max="4"/>
    <col width="10.140625" customWidth="1" style="321" min="5" max="5"/>
    <col width="9.140625" customWidth="1" style="321" min="6" max="6"/>
    <col width="23.5703125" customWidth="1" style="321" min="7" max="7"/>
    <col width="9.140625" customWidth="1" style="321" min="8" max="8"/>
  </cols>
  <sheetData>
    <row r="3">
      <c r="B3" s="369" t="inlineStr">
        <is>
          <t>Приложение № 1</t>
        </is>
      </c>
    </row>
    <row r="4">
      <c r="B4" s="370" t="inlineStr">
        <is>
          <t>Сравнительная таблица отбора объекта-представителя</t>
        </is>
      </c>
    </row>
    <row r="5">
      <c r="B5" s="211" t="n"/>
      <c r="C5" s="211" t="n"/>
      <c r="D5" s="211" t="n"/>
    </row>
    <row r="6">
      <c r="B6" s="211" t="n"/>
      <c r="C6" s="211" t="n"/>
      <c r="D6" s="211" t="n"/>
    </row>
    <row r="7">
      <c r="B7" s="371" t="inlineStr">
        <is>
          <t>Наименование разрабатываемого показателя УНЦ — ВЧ-обработка и присоединение (ВЧЗ+КС+ФП+РК) на ЛЭП 500 кВ</t>
        </is>
      </c>
      <c r="E7" s="210" t="n"/>
    </row>
    <row r="8" ht="15.75" customHeight="1" s="319">
      <c r="B8" s="371" t="inlineStr">
        <is>
          <t>Сопоставимый уровень цен:  - 4 квартал 2016 года</t>
        </is>
      </c>
    </row>
    <row r="9">
      <c r="B9" s="371" t="inlineStr">
        <is>
          <t>Единица измерения  — 1 ед</t>
        </is>
      </c>
      <c r="E9" s="210" t="n"/>
    </row>
    <row r="10">
      <c r="B10" s="371" t="n"/>
    </row>
    <row r="11">
      <c r="B11" s="377" t="inlineStr">
        <is>
          <t>№ п/п</t>
        </is>
      </c>
      <c r="C11" s="377" t="inlineStr">
        <is>
          <t>Параметр</t>
        </is>
      </c>
      <c r="D11" s="377" t="inlineStr">
        <is>
          <t>Объект-представитель 1</t>
        </is>
      </c>
      <c r="E11" s="210" t="n"/>
    </row>
    <row r="12" ht="47.25" customHeight="1" s="319">
      <c r="B12" s="377" t="n">
        <v>1</v>
      </c>
      <c r="C12" s="380" t="inlineStr">
        <is>
          <t>Наименование объекта-представителя</t>
        </is>
      </c>
      <c r="D12" s="377" t="inlineStr">
        <is>
          <t>ПС 500 кВ Преображенская с заходами ВЛ 500 кВ Красноармейская - Газовая и ВЛ 220 кВ Бузулукская - Сорочинская (501 МВА, 5,69 км)</t>
        </is>
      </c>
    </row>
    <row r="13">
      <c r="B13" s="377" t="n">
        <v>2</v>
      </c>
      <c r="C13" s="380" t="inlineStr">
        <is>
          <t>Наименование субъекта Российской Федерации</t>
        </is>
      </c>
      <c r="D13" s="377" t="inlineStr">
        <is>
          <t>Оренбургская область</t>
        </is>
      </c>
    </row>
    <row r="14">
      <c r="B14" s="377" t="n">
        <v>3</v>
      </c>
      <c r="C14" s="380" t="inlineStr">
        <is>
          <t>Климатический район и подрайон</t>
        </is>
      </c>
      <c r="D14" s="377" t="inlineStr">
        <is>
          <t>IIIa</t>
        </is>
      </c>
    </row>
    <row r="15">
      <c r="B15" s="377" t="n">
        <v>4</v>
      </c>
      <c r="C15" s="380" t="inlineStr">
        <is>
          <t>Мощность объекта</t>
        </is>
      </c>
      <c r="D15" s="377" t="n">
        <v>1</v>
      </c>
    </row>
    <row r="16" ht="63" customHeight="1" s="319">
      <c r="B16" s="377" t="n">
        <v>5</v>
      </c>
      <c r="C16" s="16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77" t="inlineStr">
        <is>
          <t>ВЧ-обработка и присоединение 500 кВ - 1 комплект</t>
        </is>
      </c>
    </row>
    <row r="17" ht="63" customHeight="1" s="319">
      <c r="B17" s="377" t="n">
        <v>6</v>
      </c>
      <c r="C17" s="16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51">
        <f>D18+D19+D20+D21</f>
        <v/>
      </c>
      <c r="E17" s="206" t="n"/>
    </row>
    <row r="18">
      <c r="B18" s="209" t="inlineStr">
        <is>
          <t>6.1</t>
        </is>
      </c>
      <c r="C18" s="380" t="inlineStr">
        <is>
          <t>строительно-монтажные работы</t>
        </is>
      </c>
      <c r="D18" s="351" t="n">
        <v>106.39</v>
      </c>
    </row>
    <row r="19" ht="15.75" customHeight="1" s="319">
      <c r="B19" s="209" t="inlineStr">
        <is>
          <t>6.2</t>
        </is>
      </c>
      <c r="C19" s="380" t="inlineStr">
        <is>
          <t>оборудование и инвентарь</t>
        </is>
      </c>
      <c r="D19" s="351" t="n">
        <v>6830.33</v>
      </c>
    </row>
    <row r="20" ht="16.5" customHeight="1" s="319">
      <c r="B20" s="209" t="inlineStr">
        <is>
          <t>6.3</t>
        </is>
      </c>
      <c r="C20" s="380" t="inlineStr">
        <is>
          <t>пусконаладочные работы</t>
        </is>
      </c>
      <c r="D20" s="351" t="n"/>
    </row>
    <row r="21">
      <c r="B21" s="209" t="inlineStr">
        <is>
          <t>6.4</t>
        </is>
      </c>
      <c r="C21" s="208" t="inlineStr">
        <is>
          <t>прочие и лимитированные затраты</t>
        </is>
      </c>
      <c r="D21" s="351" t="n"/>
    </row>
    <row r="22">
      <c r="B22" s="377" t="n">
        <v>7</v>
      </c>
      <c r="C22" s="208" t="inlineStr">
        <is>
          <t>Сопоставимый уровень цен</t>
        </is>
      </c>
      <c r="D22" s="347" t="inlineStr">
        <is>
          <t>4 квартал 2016 года</t>
        </is>
      </c>
      <c r="E22" s="206" t="n"/>
    </row>
    <row r="23" ht="78.75" customHeight="1" s="319">
      <c r="B23" s="377" t="n">
        <v>8</v>
      </c>
      <c r="C23" s="20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51">
        <f>D17</f>
        <v/>
      </c>
      <c r="G23" s="262" t="n"/>
    </row>
    <row r="24" ht="31.5" customHeight="1" s="319">
      <c r="B24" s="377" t="n">
        <v>9</v>
      </c>
      <c r="C24" s="166" t="inlineStr">
        <is>
          <t>Приведенная сметная стоимость на единицу мощности, тыс. руб. (строка 8/строку 4)</t>
        </is>
      </c>
      <c r="D24" s="351">
        <f>D23/D15</f>
        <v/>
      </c>
      <c r="E24" s="206" t="n"/>
    </row>
    <row r="25">
      <c r="B25" s="377" t="n">
        <v>10</v>
      </c>
      <c r="C25" s="380" t="inlineStr">
        <is>
          <t>Примечание</t>
        </is>
      </c>
      <c r="D25" s="380" t="n"/>
    </row>
    <row r="26">
      <c r="B26" s="381" t="n"/>
      <c r="C26" s="203" t="n"/>
      <c r="D26" s="203" t="n"/>
    </row>
    <row r="27" ht="37.5" customHeight="1" s="319">
      <c r="B27" s="202" t="n"/>
    </row>
    <row r="28">
      <c r="B28" s="321" t="inlineStr">
        <is>
          <t>Составил ______________________        А.Р. Маркова</t>
        </is>
      </c>
    </row>
    <row r="29">
      <c r="B29" s="202" t="inlineStr">
        <is>
          <t xml:space="preserve">                         (подпись, инициалы, фамилия)</t>
        </is>
      </c>
    </row>
    <row r="31">
      <c r="B31" s="321" t="inlineStr">
        <is>
          <t>Проверил ______________________        А.В. Костянецкая</t>
        </is>
      </c>
    </row>
    <row r="32">
      <c r="B32" s="202" t="inlineStr">
        <is>
          <t xml:space="preserve">                        (подпись, инициалы, фамилия)</t>
        </is>
      </c>
    </row>
  </sheetData>
  <mergeCells count="5">
    <mergeCell ref="B3:D3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M21"/>
  <sheetViews>
    <sheetView view="pageBreakPreview" zoomScale="70" zoomScaleNormal="70" workbookViewId="0">
      <selection activeCell="E17" sqref="E17"/>
    </sheetView>
  </sheetViews>
  <sheetFormatPr baseColWidth="8" defaultColWidth="9.140625" defaultRowHeight="15.75"/>
  <cols>
    <col width="5.5703125" customWidth="1" style="321" min="1" max="1"/>
    <col width="9.140625" customWidth="1" style="321" min="2" max="2"/>
    <col width="35.28515625" customWidth="1" style="321" min="3" max="3"/>
    <col width="13.85546875" customWidth="1" style="321" min="4" max="4"/>
    <col width="24.85546875" customWidth="1" style="321" min="5" max="5"/>
    <col width="15.5703125" customWidth="1" style="321" min="6" max="6"/>
    <col width="14.85546875" customWidth="1" style="321" min="7" max="7"/>
    <col width="16.7109375" customWidth="1" style="321" min="8" max="8"/>
    <col width="13" customWidth="1" style="321" min="9" max="10"/>
    <col width="18" customWidth="1" style="321" min="11" max="11"/>
    <col width="9.140625" customWidth="1" style="321" min="12" max="12"/>
    <col width="16.140625" customWidth="1" style="321" min="13" max="13"/>
    <col width="9.140625" customWidth="1" style="321" min="14" max="14"/>
  </cols>
  <sheetData>
    <row r="3">
      <c r="B3" s="369" t="inlineStr">
        <is>
          <t>Приложение № 2</t>
        </is>
      </c>
      <c r="K3" s="202" t="n"/>
    </row>
    <row r="4">
      <c r="B4" s="370" t="inlineStr">
        <is>
          <t>Расчет стоимости основных видов работ для выбора объекта-представителя</t>
        </is>
      </c>
    </row>
    <row r="5">
      <c r="B5" s="211" t="n"/>
      <c r="C5" s="211" t="n"/>
      <c r="D5" s="211" t="n"/>
      <c r="E5" s="211" t="n"/>
      <c r="F5" s="211" t="n"/>
      <c r="G5" s="211" t="n"/>
      <c r="H5" s="211" t="n"/>
      <c r="I5" s="211" t="n"/>
      <c r="J5" s="211" t="n"/>
      <c r="K5" s="211" t="n"/>
    </row>
    <row r="6">
      <c r="B6" s="376" t="inlineStr">
        <is>
          <t>Наименование разрабатываемого показателя УНЦ — ВЧ-обработка и присоединение (ВЧЗ+КС+ФП+РК) на ЛЭП 500 кВ</t>
        </is>
      </c>
      <c r="K6" s="202" t="n"/>
      <c r="L6" s="210" t="n"/>
    </row>
    <row r="7">
      <c r="B7" s="371" t="inlineStr">
        <is>
          <t>Единица измерения  —  1 ед</t>
        </is>
      </c>
      <c r="L7" s="210" t="n"/>
    </row>
    <row r="8">
      <c r="B8" s="371" t="n"/>
    </row>
    <row r="9" ht="15.75" customHeight="1" s="319">
      <c r="B9" s="377" t="inlineStr">
        <is>
          <t>№ п/п</t>
        </is>
      </c>
      <c r="C9" s="37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7" t="inlineStr">
        <is>
          <t>Объект-представитель 1</t>
        </is>
      </c>
      <c r="E9" s="467" t="n"/>
      <c r="F9" s="467" t="n"/>
      <c r="G9" s="467" t="n"/>
      <c r="H9" s="467" t="n"/>
      <c r="I9" s="467" t="n"/>
      <c r="J9" s="468" t="n"/>
    </row>
    <row r="10" ht="15.75" customHeight="1" s="319">
      <c r="B10" s="469" t="n"/>
      <c r="C10" s="469" t="n"/>
      <c r="D10" s="377" t="inlineStr">
        <is>
          <t>Номер сметы</t>
        </is>
      </c>
      <c r="E10" s="377" t="inlineStr">
        <is>
          <t>Наименование сметы</t>
        </is>
      </c>
      <c r="F10" s="377" t="inlineStr">
        <is>
          <t>Сметная стоимость в уровне цен 4 кв. 2016 г., тыс. руб.</t>
        </is>
      </c>
      <c r="G10" s="467" t="n"/>
      <c r="H10" s="467" t="n"/>
      <c r="I10" s="467" t="n"/>
      <c r="J10" s="468" t="n"/>
    </row>
    <row r="11" ht="31.5" customHeight="1" s="319">
      <c r="B11" s="470" t="n"/>
      <c r="C11" s="470" t="n"/>
      <c r="D11" s="470" t="n"/>
      <c r="E11" s="470" t="n"/>
      <c r="F11" s="214" t="inlineStr">
        <is>
          <t>Строительные работы</t>
        </is>
      </c>
      <c r="G11" s="377" t="inlineStr">
        <is>
          <t>Монтажные работы</t>
        </is>
      </c>
      <c r="H11" s="377" t="inlineStr">
        <is>
          <t>Оборудование</t>
        </is>
      </c>
      <c r="I11" s="377" t="inlineStr">
        <is>
          <t>Прочее</t>
        </is>
      </c>
      <c r="J11" s="377" t="inlineStr">
        <is>
          <t>Всего</t>
        </is>
      </c>
    </row>
    <row r="12" ht="47.25" customHeight="1" s="319">
      <c r="B12" s="377" t="n">
        <v>1</v>
      </c>
      <c r="C12" s="377" t="inlineStr">
        <is>
          <t>ВЧ-обработка и присоединение 330 кВ - 1 комплект</t>
        </is>
      </c>
      <c r="D12" s="360" t="inlineStr">
        <is>
          <t>02-10-03-2</t>
        </is>
      </c>
      <c r="E12" s="380" t="inlineStr">
        <is>
          <t xml:space="preserve">ОРУ 220 кВ. Устройства автоматики. 2 этап. 																		</t>
        </is>
      </c>
      <c r="F12" s="349" t="n"/>
      <c r="G12" s="350">
        <f>106391.1/1000</f>
        <v/>
      </c>
      <c r="H12" s="351">
        <f>6830330.66/1000</f>
        <v/>
      </c>
      <c r="I12" s="351" t="n"/>
      <c r="J12" s="351">
        <f>SUM(G12:I12)</f>
        <v/>
      </c>
      <c r="K12" s="262" t="n"/>
      <c r="L12" s="262" t="n"/>
      <c r="M12" s="262" t="n"/>
    </row>
    <row r="13" ht="15.75" customHeight="1" s="319">
      <c r="B13" s="372" t="inlineStr">
        <is>
          <t>Всего по объекту:</t>
        </is>
      </c>
      <c r="C13" s="471" t="n"/>
      <c r="D13" s="471" t="n"/>
      <c r="E13" s="472" t="n"/>
      <c r="F13" s="349" t="n"/>
      <c r="G13" s="352">
        <f>SUM(G12)</f>
        <v/>
      </c>
      <c r="H13" s="353">
        <f>SUM(H12)</f>
        <v/>
      </c>
      <c r="I13" s="353" t="n"/>
      <c r="J13" s="353">
        <f>SUM(J12)</f>
        <v/>
      </c>
    </row>
    <row r="14" ht="21.6" customHeight="1" s="319">
      <c r="B14" s="374" t="inlineStr">
        <is>
          <t>Всего по объекту в сопоставимом уровне цен 4 кв. 2016 г:</t>
        </is>
      </c>
      <c r="C14" s="467" t="n"/>
      <c r="D14" s="467" t="n"/>
      <c r="E14" s="468" t="n"/>
      <c r="F14" s="349" t="n"/>
      <c r="G14" s="354">
        <f>G13</f>
        <v/>
      </c>
      <c r="H14" s="355">
        <f>H13</f>
        <v/>
      </c>
      <c r="I14" s="355" t="n"/>
      <c r="J14" s="355">
        <f>SUM(G14:I14)</f>
        <v/>
      </c>
    </row>
    <row r="15">
      <c r="B15" s="371" t="n"/>
    </row>
    <row r="17">
      <c r="B17" s="321" t="inlineStr">
        <is>
          <t>Составил ______________________        А.Р. Маркова</t>
        </is>
      </c>
    </row>
    <row r="18">
      <c r="B18" s="202" t="inlineStr">
        <is>
          <t xml:space="preserve">                         (подпись, инициалы, фамилия)</t>
        </is>
      </c>
    </row>
    <row r="20">
      <c r="B20" s="321" t="inlineStr">
        <is>
          <t>Проверил ______________________        А.В. Костянецкая</t>
        </is>
      </c>
    </row>
    <row r="21">
      <c r="B21" s="202" t="inlineStr">
        <is>
          <t xml:space="preserve">                        (подпись, инициалы, фамилия)</t>
        </is>
      </c>
    </row>
  </sheetData>
  <mergeCells count="12">
    <mergeCell ref="B3:J3"/>
    <mergeCell ref="D10:D11"/>
    <mergeCell ref="B4:K4"/>
    <mergeCell ref="D9:J9"/>
    <mergeCell ref="B13:E13"/>
    <mergeCell ref="F10:J10"/>
    <mergeCell ref="B6:J6"/>
    <mergeCell ref="B7:K7"/>
    <mergeCell ref="B9:B11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114"/>
  <sheetViews>
    <sheetView view="pageBreakPreview" topLeftCell="A98" zoomScaleSheetLayoutView="100" workbookViewId="0">
      <selection activeCell="D112" sqref="D112"/>
    </sheetView>
  </sheetViews>
  <sheetFormatPr baseColWidth="8" defaultColWidth="9.140625" defaultRowHeight="15.75"/>
  <cols>
    <col width="9.140625" customWidth="1" style="260" min="1" max="1"/>
    <col width="12.5703125" customWidth="1" style="321" min="2" max="2"/>
    <col width="22.42578125" customWidth="1" style="211" min="3" max="3"/>
    <col width="49.7109375" customWidth="1" style="255" min="4" max="4"/>
    <col width="10.140625" customWidth="1" style="256" min="5" max="5"/>
    <col width="20.7109375" customWidth="1" style="255" min="6" max="6"/>
    <col width="16.140625" customWidth="1" style="255" min="7" max="7"/>
    <col width="16.7109375" customWidth="1" style="321" min="8" max="8"/>
    <col width="9.140625" customWidth="1" style="321" min="9" max="9"/>
  </cols>
  <sheetData>
    <row r="2">
      <c r="A2" s="369" t="inlineStr">
        <is>
          <t xml:space="preserve">Приложение № 3 </t>
        </is>
      </c>
    </row>
    <row r="3">
      <c r="A3" s="370" t="inlineStr">
        <is>
          <t>Объектная ресурсная ведомость</t>
        </is>
      </c>
    </row>
    <row r="4">
      <c r="A4" s="211" t="n"/>
    </row>
    <row r="5">
      <c r="A5" s="381" t="inlineStr">
        <is>
          <t>Наименование разрабатываемого показателя УНЦ -ВЧ-обработка и присоединение (ВЧЗ+КС+ФП+РК) на ЛЭП 500 кВ</t>
        </is>
      </c>
    </row>
    <row r="6">
      <c r="A6" s="211" t="n"/>
      <c r="B6" s="212" t="n"/>
      <c r="D6" s="256" t="n"/>
      <c r="F6" s="256" t="n"/>
      <c r="G6" s="256" t="n"/>
      <c r="H6" s="212" t="n"/>
    </row>
    <row r="7" ht="38.25" customHeight="1" s="319">
      <c r="A7" s="377" t="inlineStr">
        <is>
          <t>п/п</t>
        </is>
      </c>
      <c r="B7" s="377" t="inlineStr">
        <is>
          <t>№ЛСР</t>
        </is>
      </c>
      <c r="C7" s="377" t="inlineStr">
        <is>
          <t>Код ресурса</t>
        </is>
      </c>
      <c r="D7" s="377" t="inlineStr">
        <is>
          <t>Наименование ресурса</t>
        </is>
      </c>
      <c r="E7" s="382" t="inlineStr">
        <is>
          <t>Ед. изм.</t>
        </is>
      </c>
      <c r="F7" s="377" t="inlineStr">
        <is>
          <t>Кол-во единиц по данным объекта-представителя</t>
        </is>
      </c>
      <c r="G7" s="377" t="inlineStr">
        <is>
          <t>Сметная стоимость в ценах на 01.01.2000 (руб.)</t>
        </is>
      </c>
      <c r="H7" s="468" t="n"/>
    </row>
    <row r="8" ht="40.5" customHeight="1" s="319">
      <c r="A8" s="470" t="n"/>
      <c r="B8" s="470" t="n"/>
      <c r="C8" s="470" t="n"/>
      <c r="D8" s="470" t="n"/>
      <c r="E8" s="470" t="n"/>
      <c r="F8" s="470" t="n"/>
      <c r="G8" s="377" t="inlineStr">
        <is>
          <t>на ед.изм.</t>
        </is>
      </c>
      <c r="H8" s="383" t="inlineStr">
        <is>
          <t>общая</t>
        </is>
      </c>
    </row>
    <row r="9">
      <c r="A9" s="214" t="n">
        <v>1</v>
      </c>
      <c r="B9" s="214" t="n"/>
      <c r="C9" s="214" t="n">
        <v>2</v>
      </c>
      <c r="D9" s="257" t="n">
        <v>3</v>
      </c>
      <c r="E9" s="257" t="n">
        <v>4</v>
      </c>
      <c r="F9" s="257" t="n">
        <v>5</v>
      </c>
      <c r="G9" s="257" t="n">
        <v>6</v>
      </c>
      <c r="H9" s="267" t="n">
        <v>7</v>
      </c>
    </row>
    <row r="10" customFormat="1" s="213">
      <c r="A10" s="378" t="inlineStr">
        <is>
          <t>Затраты труда рабочих</t>
        </is>
      </c>
      <c r="B10" s="467" t="n"/>
      <c r="C10" s="467" t="n"/>
      <c r="D10" s="467" t="n"/>
      <c r="E10" s="468" t="n"/>
      <c r="F10" s="339" t="n">
        <v>162.730672</v>
      </c>
      <c r="G10" s="339" t="n"/>
      <c r="H10" s="340">
        <f>SUM(H11:H21)</f>
        <v/>
      </c>
    </row>
    <row r="11">
      <c r="A11" s="151" t="n">
        <v>1</v>
      </c>
      <c r="B11" s="341" t="n"/>
      <c r="C11" s="259" t="inlineStr">
        <is>
          <t>1-4-0</t>
        </is>
      </c>
      <c r="D11" s="217" t="inlineStr">
        <is>
          <t>Затраты труда рабочих (средний разряд работы 4,0)</t>
        </is>
      </c>
      <c r="E11" s="288" t="inlineStr">
        <is>
          <t>чел.-ч</t>
        </is>
      </c>
      <c r="F11" s="288" t="n">
        <v>64.80800000000001</v>
      </c>
      <c r="G11" s="357" t="n">
        <v>9.619999999999999</v>
      </c>
      <c r="H11" s="342">
        <f>ROUND(F11*G11,2)</f>
        <v/>
      </c>
    </row>
    <row r="12">
      <c r="A12" s="151" t="n">
        <v>2</v>
      </c>
      <c r="B12" s="341" t="n"/>
      <c r="C12" s="259" t="inlineStr">
        <is>
          <t>1-3-8</t>
        </is>
      </c>
      <c r="D12" s="217" t="inlineStr">
        <is>
          <t>Затраты труда рабочих (средний разряд работы 3,8)</t>
        </is>
      </c>
      <c r="E12" s="288" t="inlineStr">
        <is>
          <t>чел.-ч</t>
        </is>
      </c>
      <c r="F12" s="288" t="n">
        <v>32.72</v>
      </c>
      <c r="G12" s="357" t="n">
        <v>9.4</v>
      </c>
      <c r="H12" s="342">
        <f>ROUND(F12*G12,2)</f>
        <v/>
      </c>
      <c r="L12" s="473" t="n"/>
    </row>
    <row r="13">
      <c r="A13" s="151" t="n">
        <v>3</v>
      </c>
      <c r="B13" s="341" t="n"/>
      <c r="C13" s="259" t="inlineStr">
        <is>
          <t>1-2-9</t>
        </is>
      </c>
      <c r="D13" s="217" t="inlineStr">
        <is>
          <t>Затраты труда рабочих (средний разряд работы 2,9)</t>
        </is>
      </c>
      <c r="E13" s="288" t="inlineStr">
        <is>
          <t>чел.-ч</t>
        </is>
      </c>
      <c r="F13" s="288" t="n">
        <v>21.708</v>
      </c>
      <c r="G13" s="357" t="n">
        <v>8.460000000000001</v>
      </c>
      <c r="H13" s="342">
        <f>ROUND(F13*G13,2)</f>
        <v/>
      </c>
    </row>
    <row r="14">
      <c r="A14" s="151" t="n">
        <v>4</v>
      </c>
      <c r="B14" s="341" t="n"/>
      <c r="C14" s="259" t="inlineStr">
        <is>
          <t>1-3-5</t>
        </is>
      </c>
      <c r="D14" s="217" t="inlineStr">
        <is>
          <t>Затраты труда рабочих (средний разряд работы 3,5)</t>
        </is>
      </c>
      <c r="E14" s="288" t="inlineStr">
        <is>
          <t>чел.-ч</t>
        </is>
      </c>
      <c r="F14" s="288" t="n">
        <v>12.276</v>
      </c>
      <c r="G14" s="357" t="n">
        <v>9.07</v>
      </c>
      <c r="H14" s="342">
        <f>ROUND(F14*G14,2)</f>
        <v/>
      </c>
    </row>
    <row r="15">
      <c r="A15" s="151" t="n">
        <v>5</v>
      </c>
      <c r="B15" s="341" t="n"/>
      <c r="C15" s="259" t="inlineStr">
        <is>
          <t>1-3-9</t>
        </is>
      </c>
      <c r="D15" s="217" t="inlineStr">
        <is>
          <t>Затраты труда рабочих (средний разряд работы 3,9)</t>
        </is>
      </c>
      <c r="E15" s="288" t="inlineStr">
        <is>
          <t>чел.-ч</t>
        </is>
      </c>
      <c r="F15" s="288" t="n">
        <v>6.22432</v>
      </c>
      <c r="G15" s="357" t="n">
        <v>9.51</v>
      </c>
      <c r="H15" s="342">
        <f>ROUND(F15*G15,2)</f>
        <v/>
      </c>
    </row>
    <row r="16">
      <c r="A16" s="151" t="n">
        <v>6</v>
      </c>
      <c r="B16" s="341" t="n"/>
      <c r="C16" s="259" t="inlineStr">
        <is>
          <t>1-2-0</t>
        </is>
      </c>
      <c r="D16" s="217" t="inlineStr">
        <is>
          <t>Затраты труда рабочих (средний разряд работы 2,0)</t>
        </is>
      </c>
      <c r="E16" s="288" t="inlineStr">
        <is>
          <t>чел.-ч</t>
        </is>
      </c>
      <c r="F16" s="288" t="n">
        <v>7.572</v>
      </c>
      <c r="G16" s="357" t="n">
        <v>7.8</v>
      </c>
      <c r="H16" s="342">
        <f>ROUND(F16*G16,2)</f>
        <v/>
      </c>
    </row>
    <row r="17">
      <c r="A17" s="151" t="n">
        <v>7</v>
      </c>
      <c r="B17" s="341" t="n"/>
      <c r="C17" s="259" t="inlineStr">
        <is>
          <t>1-3-0</t>
        </is>
      </c>
      <c r="D17" s="217" t="inlineStr">
        <is>
          <t>Затраты труда рабочих (средний разряд работы 3,0)</t>
        </is>
      </c>
      <c r="E17" s="288" t="inlineStr">
        <is>
          <t>чел.-ч</t>
        </is>
      </c>
      <c r="F17" s="288" t="n">
        <v>6.495552</v>
      </c>
      <c r="G17" s="357" t="n">
        <v>8.529999999999999</v>
      </c>
      <c r="H17" s="342">
        <f>ROUND(F17*G17,2)</f>
        <v/>
      </c>
    </row>
    <row r="18">
      <c r="A18" s="151" t="n">
        <v>8</v>
      </c>
      <c r="B18" s="341" t="n"/>
      <c r="C18" s="259" t="inlineStr">
        <is>
          <t>1-1-5</t>
        </is>
      </c>
      <c r="D18" s="217" t="inlineStr">
        <is>
          <t>Затраты труда рабочих (средний разряд работы 1,5)</t>
        </is>
      </c>
      <c r="E18" s="288" t="inlineStr">
        <is>
          <t>чел.-ч</t>
        </is>
      </c>
      <c r="F18" s="288" t="n">
        <v>5.59872</v>
      </c>
      <c r="G18" s="357" t="n">
        <v>7.5</v>
      </c>
      <c r="H18" s="342">
        <f>ROUND(F18*G18,2)</f>
        <v/>
      </c>
    </row>
    <row r="19">
      <c r="A19" s="151" t="n">
        <v>9</v>
      </c>
      <c r="B19" s="341" t="n"/>
      <c r="C19" s="259" t="inlineStr">
        <is>
          <t>1-2-2</t>
        </is>
      </c>
      <c r="D19" s="217" t="inlineStr">
        <is>
          <t>Затраты труда рабочих (средний разряд работы 2,2)</t>
        </is>
      </c>
      <c r="E19" s="288" t="inlineStr">
        <is>
          <t>чел.-ч</t>
        </is>
      </c>
      <c r="F19" s="288" t="n">
        <v>4.25</v>
      </c>
      <c r="G19" s="357" t="n">
        <v>7.94</v>
      </c>
      <c r="H19" s="342">
        <f>ROUND(F19*G19,2)</f>
        <v/>
      </c>
    </row>
    <row r="20">
      <c r="A20" s="151" t="n">
        <v>10</v>
      </c>
      <c r="B20" s="341" t="n"/>
      <c r="C20" s="259" t="inlineStr">
        <is>
          <t>1-3-4</t>
        </is>
      </c>
      <c r="D20" s="217" t="inlineStr">
        <is>
          <t>Затраты труда рабочих (средний разряд работы 3,4)</t>
        </is>
      </c>
      <c r="E20" s="288" t="inlineStr">
        <is>
          <t>чел.-ч</t>
        </is>
      </c>
      <c r="F20" s="288" t="n">
        <v>1.0584</v>
      </c>
      <c r="G20" s="357" t="n">
        <v>8.960000000000001</v>
      </c>
      <c r="H20" s="342">
        <f>ROUND(F20*G20,2)</f>
        <v/>
      </c>
    </row>
    <row r="21">
      <c r="A21" s="151" t="n">
        <v>11</v>
      </c>
      <c r="B21" s="341" t="n"/>
      <c r="C21" s="259" t="inlineStr">
        <is>
          <t>1-4-1</t>
        </is>
      </c>
      <c r="D21" s="217" t="inlineStr">
        <is>
          <t>Затраты труда рабочих (средний разряд работы 4,1)</t>
        </is>
      </c>
      <c r="E21" s="288" t="inlineStr">
        <is>
          <t>чел.-ч</t>
        </is>
      </c>
      <c r="F21" s="288" t="n">
        <v>0.01968</v>
      </c>
      <c r="G21" s="357" t="n">
        <v>10.16</v>
      </c>
      <c r="H21" s="342">
        <f>ROUND(F21*G21,2)</f>
        <v/>
      </c>
    </row>
    <row r="22">
      <c r="A22" s="378" t="inlineStr">
        <is>
          <t>Затраты труда машинистов</t>
        </is>
      </c>
      <c r="B22" s="467" t="n"/>
      <c r="C22" s="467" t="n"/>
      <c r="D22" s="467" t="n"/>
      <c r="E22" s="468" t="n"/>
      <c r="F22" s="343" t="n">
        <v>17.5132424</v>
      </c>
      <c r="G22" s="339" t="n"/>
      <c r="H22" s="340">
        <f>H23</f>
        <v/>
      </c>
    </row>
    <row r="23">
      <c r="A23" s="151" t="n">
        <v>12</v>
      </c>
      <c r="B23" s="241" t="inlineStr">
        <is>
          <t> </t>
        </is>
      </c>
      <c r="C23" s="393" t="n">
        <v>2</v>
      </c>
      <c r="D23" s="217" t="inlineStr">
        <is>
          <t>Затраты труда машинистов</t>
        </is>
      </c>
      <c r="E23" s="151" t="inlineStr">
        <is>
          <t>чел.-ч</t>
        </is>
      </c>
      <c r="F23" s="288" t="n">
        <v>17.5132424</v>
      </c>
      <c r="G23" s="258" t="n"/>
      <c r="H23" s="342" t="n">
        <v>273.46</v>
      </c>
    </row>
    <row r="24" customFormat="1" s="213">
      <c r="A24" s="378" t="inlineStr">
        <is>
          <t>Машины и механизмы</t>
        </is>
      </c>
      <c r="B24" s="467" t="n"/>
      <c r="C24" s="467" t="n"/>
      <c r="D24" s="467" t="n"/>
      <c r="E24" s="468" t="n"/>
      <c r="F24" s="343" t="n"/>
      <c r="G24" s="339" t="n"/>
      <c r="H24" s="340">
        <f>SUM(H25:H45)</f>
        <v/>
      </c>
    </row>
    <row r="25" ht="25.5" customHeight="1" s="319">
      <c r="A25" s="151" t="n">
        <v>13</v>
      </c>
      <c r="B25" s="241" t="inlineStr">
        <is>
          <t> </t>
        </is>
      </c>
      <c r="C25" s="288" t="inlineStr">
        <is>
          <t>91.05.05-015</t>
        </is>
      </c>
      <c r="D25" s="277" t="inlineStr">
        <is>
          <t>Краны на автомобильном ходу, грузоподъемность 16 т</t>
        </is>
      </c>
      <c r="E25" s="288" t="inlineStr">
        <is>
          <t>маш.-ч.</t>
        </is>
      </c>
      <c r="F25" s="288" t="n">
        <v>6.5939024</v>
      </c>
      <c r="G25" s="357" t="n">
        <v>115.4</v>
      </c>
      <c r="H25" s="342">
        <f>ROUND(F25*G25,2)</f>
        <v/>
      </c>
      <c r="I25" s="270" t="n"/>
      <c r="J25" s="474" t="n"/>
      <c r="K25" s="270" t="n"/>
    </row>
    <row r="26" customFormat="1" s="213">
      <c r="A26" s="151" t="n">
        <v>14</v>
      </c>
      <c r="B26" s="241" t="inlineStr">
        <is>
          <t> </t>
        </is>
      </c>
      <c r="C26" s="288" t="inlineStr">
        <is>
          <t>91.14.03-002</t>
        </is>
      </c>
      <c r="D26" s="277" t="inlineStr">
        <is>
          <t>Автомобили-самосвалы, грузоподъемность до 10 т</t>
        </is>
      </c>
      <c r="E26" s="288" t="inlineStr">
        <is>
          <t>маш.-ч.</t>
        </is>
      </c>
      <c r="F26" s="288" t="n">
        <v>4.1</v>
      </c>
      <c r="G26" s="357" t="n">
        <v>87.48999999999999</v>
      </c>
      <c r="H26" s="342">
        <f>ROUND(F26*G26,2)</f>
        <v/>
      </c>
      <c r="I26" s="270" t="n"/>
      <c r="K26" s="270" t="n"/>
    </row>
    <row r="27" ht="25.5" customFormat="1" customHeight="1" s="213">
      <c r="A27" s="151" t="n">
        <v>15</v>
      </c>
      <c r="B27" s="241" t="n"/>
      <c r="C27" s="288" t="inlineStr">
        <is>
          <t>91.01.05-085</t>
        </is>
      </c>
      <c r="D27" s="277" t="inlineStr">
        <is>
          <t>Экскаваторы одноковшовые дизельные на гусеничном ходу, емкость ковша 0,5 м3</t>
        </is>
      </c>
      <c r="E27" s="288" t="inlineStr">
        <is>
          <t>маш.-ч.</t>
        </is>
      </c>
      <c r="F27" s="288" t="n">
        <v>2.4324</v>
      </c>
      <c r="G27" s="357" t="n">
        <v>100</v>
      </c>
      <c r="H27" s="342">
        <f>ROUND(F27*G27,2)</f>
        <v/>
      </c>
      <c r="I27" s="270" t="n"/>
      <c r="K27" s="270" t="n"/>
    </row>
    <row r="28" customFormat="1" s="213">
      <c r="A28" s="151" t="n">
        <v>16</v>
      </c>
      <c r="B28" s="241" t="inlineStr">
        <is>
          <t> </t>
        </is>
      </c>
      <c r="C28" s="288" t="inlineStr">
        <is>
          <t>91.06.06-012</t>
        </is>
      </c>
      <c r="D28" s="277" t="inlineStr">
        <is>
          <t>Автогидроподъемники, высота подъема 18 м</t>
        </is>
      </c>
      <c r="E28" s="288" t="inlineStr">
        <is>
          <t>маш.-ч.</t>
        </is>
      </c>
      <c r="F28" s="288" t="n">
        <v>2.04</v>
      </c>
      <c r="G28" s="357" t="n">
        <v>113.14</v>
      </c>
      <c r="H28" s="342">
        <f>ROUND(F28*G28,2)</f>
        <v/>
      </c>
      <c r="I28" s="270" t="n"/>
      <c r="K28" s="270" t="n"/>
    </row>
    <row r="29" customFormat="1" s="213">
      <c r="A29" s="151" t="n">
        <v>17</v>
      </c>
      <c r="B29" s="241" t="inlineStr">
        <is>
          <t> </t>
        </is>
      </c>
      <c r="C29" s="288" t="inlineStr">
        <is>
          <t>91.14.02-001</t>
        </is>
      </c>
      <c r="D29" s="277" t="inlineStr">
        <is>
          <t>Автомобили бортовые, грузоподъемность до 5 т</t>
        </is>
      </c>
      <c r="E29" s="288" t="inlineStr">
        <is>
          <t>маш.-ч.</t>
        </is>
      </c>
      <c r="F29" s="288" t="n">
        <v>3.1137288</v>
      </c>
      <c r="G29" s="357" t="n">
        <v>65.7</v>
      </c>
      <c r="H29" s="342">
        <f>ROUND(F29*G29,2)</f>
        <v/>
      </c>
      <c r="I29" s="270" t="n"/>
      <c r="K29" s="270" t="n"/>
      <c r="M29" s="269" t="n"/>
    </row>
    <row r="30" ht="38.25" customFormat="1" customHeight="1" s="213">
      <c r="A30" s="151" t="n">
        <v>18</v>
      </c>
      <c r="B30" s="241" t="inlineStr">
        <is>
          <t> </t>
        </is>
      </c>
      <c r="C30" s="288" t="inlineStr">
        <is>
          <t>91.18.01-007</t>
        </is>
      </c>
      <c r="D30" s="277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0" s="288" t="inlineStr">
        <is>
          <t>маш.-ч.</t>
        </is>
      </c>
      <c r="F30" s="288" t="n">
        <v>1.358208</v>
      </c>
      <c r="G30" s="357" t="n">
        <v>90</v>
      </c>
      <c r="H30" s="342">
        <f>ROUND(F30*G30,2)</f>
        <v/>
      </c>
      <c r="I30" s="270" t="n"/>
      <c r="K30" s="270" t="n"/>
    </row>
    <row r="31" customFormat="1" s="213">
      <c r="A31" s="151" t="n">
        <v>19</v>
      </c>
      <c r="B31" s="241" t="n"/>
      <c r="C31" s="288" t="inlineStr">
        <is>
          <t>91.05.06-012</t>
        </is>
      </c>
      <c r="D31" s="277" t="inlineStr">
        <is>
          <t>Краны на гусеничном ходу, грузоподъемность до 16 т</t>
        </is>
      </c>
      <c r="E31" s="288" t="inlineStr">
        <is>
          <t>маш.-ч.</t>
        </is>
      </c>
      <c r="F31" s="288" t="n">
        <v>1.230656</v>
      </c>
      <c r="G31" s="357" t="n">
        <v>96.89</v>
      </c>
      <c r="H31" s="342">
        <f>ROUND(F31*G31,2)</f>
        <v/>
      </c>
      <c r="I31" s="270" t="n"/>
      <c r="K31" s="270" t="n"/>
    </row>
    <row r="32" ht="25.5" customFormat="1" customHeight="1" s="213">
      <c r="A32" s="151" t="n">
        <v>20</v>
      </c>
      <c r="B32" s="241" t="n"/>
      <c r="C32" s="288" t="inlineStr">
        <is>
          <t>91.17.04-233</t>
        </is>
      </c>
      <c r="D32" s="277" t="inlineStr">
        <is>
          <t>Установки для сварки ручной дуговой (постоянного тока)</t>
        </is>
      </c>
      <c r="E32" s="288" t="inlineStr">
        <is>
          <t>маш.-ч.</t>
        </is>
      </c>
      <c r="F32" s="288" t="n">
        <v>10.0516128</v>
      </c>
      <c r="G32" s="357" t="n">
        <v>8.1</v>
      </c>
      <c r="H32" s="342">
        <f>ROUND(F32*G32,2)</f>
        <v/>
      </c>
      <c r="I32" s="270" t="n"/>
      <c r="K32" s="270" t="n"/>
    </row>
    <row r="33" ht="25.5" customFormat="1" customHeight="1" s="213">
      <c r="A33" s="151" t="n">
        <v>21</v>
      </c>
      <c r="B33" s="241" t="n"/>
      <c r="C33" s="288" t="inlineStr">
        <is>
          <t>91.06.05-057</t>
        </is>
      </c>
      <c r="D33" s="277" t="inlineStr">
        <is>
          <t>Погрузчики одноковшовые универсальные фронтальные пневмоколесные, грузоподъемность 3 т</t>
        </is>
      </c>
      <c r="E33" s="288" t="inlineStr">
        <is>
          <t>маш.-ч.</t>
        </is>
      </c>
      <c r="F33" s="288" t="n">
        <v>0.35</v>
      </c>
      <c r="G33" s="357" t="n">
        <v>90.43000000000001</v>
      </c>
      <c r="H33" s="342">
        <f>ROUND(F33*G33,2)</f>
        <v/>
      </c>
      <c r="I33" s="270" t="n"/>
      <c r="K33" s="270" t="n"/>
    </row>
    <row r="34" ht="25.5" customFormat="1" customHeight="1" s="213">
      <c r="A34" s="151" t="n">
        <v>22</v>
      </c>
      <c r="B34" s="241" t="n"/>
      <c r="C34" s="288" t="inlineStr">
        <is>
          <t>91.06.03-061</t>
        </is>
      </c>
      <c r="D34" s="277" t="inlineStr">
        <is>
          <t>Лебедки электрические тяговым усилием до 12,26 кН (1,25 т)</t>
        </is>
      </c>
      <c r="E34" s="288" t="inlineStr">
        <is>
          <t>маш.-ч.</t>
        </is>
      </c>
      <c r="F34" s="288" t="n">
        <v>7.68</v>
      </c>
      <c r="G34" s="357" t="n">
        <v>3.28</v>
      </c>
      <c r="H34" s="342">
        <f>ROUND(F34*G34,2)</f>
        <v/>
      </c>
      <c r="I34" s="270" t="n"/>
      <c r="K34" s="270" t="n"/>
    </row>
    <row r="35" customFormat="1" s="213">
      <c r="A35" s="151" t="n">
        <v>23</v>
      </c>
      <c r="B35" s="241" t="n"/>
      <c r="C35" s="288" t="inlineStr">
        <is>
          <t>91.05.01-017</t>
        </is>
      </c>
      <c r="D35" s="277" t="inlineStr">
        <is>
          <t>Краны башенные, грузоподъемность 8 т</t>
        </is>
      </c>
      <c r="E35" s="288" t="inlineStr">
        <is>
          <t>маш.-ч.</t>
        </is>
      </c>
      <c r="F35" s="288" t="n">
        <v>0.216</v>
      </c>
      <c r="G35" s="357" t="n">
        <v>86.39</v>
      </c>
      <c r="H35" s="342">
        <f>ROUND(F35*G35,2)</f>
        <v/>
      </c>
      <c r="I35" s="270" t="n"/>
      <c r="K35" s="270" t="n"/>
    </row>
    <row r="36" customFormat="1" s="213">
      <c r="A36" s="151" t="n">
        <v>24</v>
      </c>
      <c r="B36" s="241" t="n"/>
      <c r="C36" s="288" t="inlineStr">
        <is>
          <t>91.08.04-021</t>
        </is>
      </c>
      <c r="D36" s="277" t="inlineStr">
        <is>
          <t>Котлы битумные передвижные 400 л</t>
        </is>
      </c>
      <c r="E36" s="288" t="inlineStr">
        <is>
          <t>маш.-ч.</t>
        </is>
      </c>
      <c r="F36" s="288" t="n">
        <v>0.57252</v>
      </c>
      <c r="G36" s="357" t="n">
        <v>30.01</v>
      </c>
      <c r="H36" s="342">
        <f>ROUND(F36*G36,2)</f>
        <v/>
      </c>
      <c r="I36" s="270" t="n"/>
      <c r="K36" s="270" t="n"/>
    </row>
    <row r="37" customFormat="1" s="213">
      <c r="A37" s="151" t="n">
        <v>25</v>
      </c>
      <c r="B37" s="241" t="n"/>
      <c r="C37" s="288" t="inlineStr">
        <is>
          <t>91.01.01-035</t>
        </is>
      </c>
      <c r="D37" s="277" t="inlineStr">
        <is>
          <t>Бульдозеры, мощность 79 кВт (108 л.с.)</t>
        </is>
      </c>
      <c r="E37" s="288" t="inlineStr">
        <is>
          <t>маш.-ч.</t>
        </is>
      </c>
      <c r="F37" s="288" t="n">
        <v>0.1648512</v>
      </c>
      <c r="G37" s="357" t="n">
        <v>79.04000000000001</v>
      </c>
      <c r="H37" s="342">
        <f>ROUND(F37*G37,2)</f>
        <v/>
      </c>
      <c r="K37" s="270" t="n"/>
    </row>
    <row r="38" ht="25.5" customFormat="1" customHeight="1" s="213">
      <c r="A38" s="151" t="n">
        <v>26</v>
      </c>
      <c r="B38" s="241" t="n"/>
      <c r="C38" s="288" t="inlineStr">
        <is>
          <t>91.08.09-024</t>
        </is>
      </c>
      <c r="D38" s="277" t="inlineStr">
        <is>
          <t>Трамбовки пневматические при работе от стационарного компрессора</t>
        </is>
      </c>
      <c r="E38" s="288" t="inlineStr">
        <is>
          <t>маш.-ч.</t>
        </is>
      </c>
      <c r="F38" s="288" t="n">
        <v>2</v>
      </c>
      <c r="G38" s="357" t="n">
        <v>4.9</v>
      </c>
      <c r="H38" s="342">
        <f>ROUND(F38*G38,2)</f>
        <v/>
      </c>
      <c r="K38" s="270" t="n"/>
    </row>
    <row r="39" customFormat="1" s="213">
      <c r="A39" s="151" t="n">
        <v>27</v>
      </c>
      <c r="B39" s="241" t="n"/>
      <c r="C39" s="288" t="inlineStr">
        <is>
          <t>91.06.01-003</t>
        </is>
      </c>
      <c r="D39" s="277" t="inlineStr">
        <is>
          <t>Домкраты гидравлические, грузоподъемность 63-100 т</t>
        </is>
      </c>
      <c r="E39" s="288" t="inlineStr">
        <is>
          <t>маш.-ч.</t>
        </is>
      </c>
      <c r="F39" s="288" t="n">
        <v>7.68</v>
      </c>
      <c r="G39" s="357" t="n">
        <v>0.9</v>
      </c>
      <c r="H39" s="342">
        <f>ROUND(F39*G39,2)</f>
        <v/>
      </c>
      <c r="K39" s="270" t="n"/>
    </row>
    <row r="40" ht="25.5" customFormat="1" customHeight="1" s="213">
      <c r="A40" s="151" t="n">
        <v>28</v>
      </c>
      <c r="B40" s="241" t="n"/>
      <c r="C40" s="288" t="inlineStr">
        <is>
          <t>91.06.03-060</t>
        </is>
      </c>
      <c r="D40" s="277" t="inlineStr">
        <is>
          <t>Лебедки электрические тяговым усилием до 5,79 кН (0,59 т)</t>
        </is>
      </c>
      <c r="E40" s="288" t="inlineStr">
        <is>
          <t>маш.-ч.</t>
        </is>
      </c>
      <c r="F40" s="288" t="n">
        <v>2.040144</v>
      </c>
      <c r="G40" s="357" t="n">
        <v>1.7</v>
      </c>
      <c r="H40" s="342">
        <f>ROUND(F40*G40,2)</f>
        <v/>
      </c>
      <c r="K40" s="270" t="n"/>
    </row>
    <row r="41" ht="25.5" customFormat="1" customHeight="1" s="213">
      <c r="A41" s="151" t="n">
        <v>29</v>
      </c>
      <c r="B41" s="241" t="n"/>
      <c r="C41" s="288" t="inlineStr">
        <is>
          <t>91.08.09-023</t>
        </is>
      </c>
      <c r="D41" s="277" t="inlineStr">
        <is>
          <t>Трамбовки пневматические при работе от передвижных компрессорных станций</t>
        </is>
      </c>
      <c r="E41" s="288" t="inlineStr">
        <is>
          <t>маш.-ч.</t>
        </is>
      </c>
      <c r="F41" s="288" t="n">
        <v>5.4432</v>
      </c>
      <c r="G41" s="357" t="n">
        <v>0.55</v>
      </c>
      <c r="H41" s="342">
        <f>ROUND(F41*G41,2)</f>
        <v/>
      </c>
      <c r="K41" s="270" t="n"/>
    </row>
    <row r="42" customFormat="1" s="213">
      <c r="A42" s="151" t="n">
        <v>30</v>
      </c>
      <c r="B42" s="241" t="n"/>
      <c r="C42" s="288" t="inlineStr">
        <is>
          <t>91.07.04-001</t>
        </is>
      </c>
      <c r="D42" s="277" t="inlineStr">
        <is>
          <t>Вибраторы глубинные</t>
        </is>
      </c>
      <c r="E42" s="288" t="inlineStr">
        <is>
          <t>маш.-ч.</t>
        </is>
      </c>
      <c r="F42" s="288" t="n">
        <v>0.9112</v>
      </c>
      <c r="G42" s="357" t="n">
        <v>1.9</v>
      </c>
      <c r="H42" s="342">
        <f>ROUND(F42*G42,2)</f>
        <v/>
      </c>
      <c r="K42" s="270" t="n"/>
    </row>
    <row r="43" customFormat="1" s="213">
      <c r="A43" s="151" t="n">
        <v>31</v>
      </c>
      <c r="B43" s="241" t="n"/>
      <c r="C43" s="288" t="inlineStr">
        <is>
          <t>91.06.05-011</t>
        </is>
      </c>
      <c r="D43" s="277" t="inlineStr">
        <is>
          <t>Погрузчики, грузоподъемность 5 т</t>
        </is>
      </c>
      <c r="E43" s="288" t="inlineStr">
        <is>
          <t>маш.-ч.</t>
        </is>
      </c>
      <c r="F43" s="288" t="n">
        <v>0.013496</v>
      </c>
      <c r="G43" s="357" t="n">
        <v>89.66</v>
      </c>
      <c r="H43" s="342">
        <f>ROUND(F43*G43,2)</f>
        <v/>
      </c>
      <c r="K43" s="270" t="n"/>
    </row>
    <row r="44" ht="25.5" customFormat="1" customHeight="1" s="213">
      <c r="A44" s="151" t="n">
        <v>32</v>
      </c>
      <c r="B44" s="241" t="n"/>
      <c r="C44" s="288" t="inlineStr">
        <is>
          <t>91.21.01-012</t>
        </is>
      </c>
      <c r="D44" s="277" t="inlineStr">
        <is>
          <t>Агрегаты окрасочные высокого давления для окраски поверхностей конструкций, мощность 1 кВт</t>
        </is>
      </c>
      <c r="E44" s="288" t="inlineStr">
        <is>
          <t>маш.-ч.</t>
        </is>
      </c>
      <c r="F44" s="288" t="n">
        <v>0.01416</v>
      </c>
      <c r="G44" s="357" t="n">
        <v>7.06</v>
      </c>
      <c r="H44" s="342">
        <f>ROUND(F44*G44,2)</f>
        <v/>
      </c>
      <c r="K44" s="270" t="n"/>
    </row>
    <row r="45" customFormat="1" s="213">
      <c r="A45" s="151" t="n">
        <v>33</v>
      </c>
      <c r="B45" s="241" t="n"/>
      <c r="C45" s="288" t="inlineStr">
        <is>
          <t>91.07.04-002</t>
        </is>
      </c>
      <c r="D45" s="277" t="inlineStr">
        <is>
          <t>Вибраторы поверхностные</t>
        </is>
      </c>
      <c r="E45" s="288" t="inlineStr">
        <is>
          <t>маш.-ч.</t>
        </is>
      </c>
      <c r="F45" s="288" t="n">
        <v>0.132704</v>
      </c>
      <c r="G45" s="357" t="n">
        <v>0.53</v>
      </c>
      <c r="H45" s="342">
        <f>ROUND(F45*G45,2)</f>
        <v/>
      </c>
      <c r="K45" s="270" t="n"/>
    </row>
    <row r="46" customFormat="1" s="213">
      <c r="A46" s="378" t="inlineStr">
        <is>
          <t xml:space="preserve">Оборудование </t>
        </is>
      </c>
      <c r="B46" s="467" t="n"/>
      <c r="C46" s="467" t="n"/>
      <c r="D46" s="467" t="n"/>
      <c r="E46" s="468" t="n"/>
      <c r="F46" s="288" t="n"/>
      <c r="G46" s="357" t="n"/>
      <c r="H46" s="340">
        <f>SUM(H47:H49)</f>
        <v/>
      </c>
      <c r="K46" s="270" t="n"/>
    </row>
    <row r="47" customFormat="1" s="213">
      <c r="A47" s="151" t="n">
        <v>34</v>
      </c>
      <c r="B47" s="241" t="n"/>
      <c r="C47" s="288" t="inlineStr">
        <is>
          <t>Прайс из СД ОП</t>
        </is>
      </c>
      <c r="D47" s="277" t="inlineStr">
        <is>
          <t>ВЧ заградитель 2000А, 0,5 мГн</t>
        </is>
      </c>
      <c r="E47" s="288" t="inlineStr">
        <is>
          <t>шт</t>
        </is>
      </c>
      <c r="F47" s="288" t="n">
        <v>3</v>
      </c>
      <c r="G47" s="357" t="n">
        <v>188375.742</v>
      </c>
      <c r="H47" s="342">
        <f>ROUND(F47*G47,2)</f>
        <v/>
      </c>
      <c r="K47" s="270" t="n"/>
    </row>
    <row r="48" customFormat="1" s="213">
      <c r="A48" s="151" t="n">
        <v>35</v>
      </c>
      <c r="B48" s="241" t="n"/>
      <c r="C48" s="288" t="inlineStr">
        <is>
          <t>Прайс из СД ОП</t>
        </is>
      </c>
      <c r="D48" s="277" t="inlineStr">
        <is>
          <t>Конденсатор связи СМА 166кВ 14000 пФ</t>
        </is>
      </c>
      <c r="E48" s="288" t="inlineStr">
        <is>
          <t>шт</t>
        </is>
      </c>
      <c r="F48" s="288" t="n">
        <v>3</v>
      </c>
      <c r="G48" s="357" t="n">
        <v>330670.926</v>
      </c>
      <c r="H48" s="342">
        <f>ROUND(F48*G48,2)</f>
        <v/>
      </c>
      <c r="K48" s="270" t="n"/>
    </row>
    <row r="49" customFormat="1" s="213">
      <c r="A49" s="151" t="n">
        <v>36</v>
      </c>
      <c r="B49" s="241" t="n"/>
      <c r="C49" s="288" t="inlineStr">
        <is>
          <t>Прайс из СД ОП</t>
        </is>
      </c>
      <c r="D49" s="277" t="inlineStr">
        <is>
          <t>Фильтр присоединения</t>
        </is>
      </c>
      <c r="E49" s="288" t="inlineStr">
        <is>
          <t>шт</t>
        </is>
      </c>
      <c r="F49" s="288" t="n">
        <v>3</v>
      </c>
      <c r="G49" s="357" t="n">
        <v>12910.545</v>
      </c>
      <c r="H49" s="342">
        <f>ROUND(F49*G49,2)</f>
        <v/>
      </c>
      <c r="K49" s="270" t="n"/>
    </row>
    <row r="50">
      <c r="A50" s="378" t="inlineStr">
        <is>
          <t>Материалы</t>
        </is>
      </c>
      <c r="B50" s="467" t="n"/>
      <c r="C50" s="467" t="n"/>
      <c r="D50" s="467" t="n"/>
      <c r="E50" s="468" t="n"/>
      <c r="F50" s="343" t="n"/>
      <c r="G50" s="339" t="n"/>
      <c r="H50" s="340">
        <f>SUM(H51:H108)</f>
        <v/>
      </c>
    </row>
    <row r="51">
      <c r="A51" s="151" t="n">
        <v>37</v>
      </c>
      <c r="B51" s="241" t="n"/>
      <c r="C51" s="288" t="inlineStr">
        <is>
          <t>21.1.03.02-0003</t>
        </is>
      </c>
      <c r="D51" s="277" t="inlineStr">
        <is>
          <t>Кабель коаксиальный радиочастотный РК 75-9-13</t>
        </is>
      </c>
      <c r="E51" s="288" t="inlineStr">
        <is>
          <t>1000 м</t>
        </is>
      </c>
      <c r="F51" s="288" t="n">
        <v>0.5</v>
      </c>
      <c r="G51" s="357" t="n">
        <v>9110.52</v>
      </c>
      <c r="H51" s="342">
        <f>ROUND(F51*G51,2)</f>
        <v/>
      </c>
      <c r="J51" s="270" t="n"/>
    </row>
    <row r="52" ht="25.5" customHeight="1" s="319">
      <c r="A52" s="151" t="n">
        <v>38</v>
      </c>
      <c r="B52" s="241" t="n"/>
      <c r="C52" s="288" t="inlineStr">
        <is>
          <t>04.1.02.05-0046</t>
        </is>
      </c>
      <c r="D52" s="277" t="inlineStr">
        <is>
          <t>Бетон тяжелый, крупность заполнителя 20 мм, класс В25 (М350)</t>
        </is>
      </c>
      <c r="E52" s="288" t="inlineStr">
        <is>
          <t>м3</t>
        </is>
      </c>
      <c r="F52" s="288" t="n">
        <v>5.4404</v>
      </c>
      <c r="G52" s="357" t="n">
        <v>720</v>
      </c>
      <c r="H52" s="342">
        <f>ROUND(F52*G52,2)</f>
        <v/>
      </c>
      <c r="J52" s="270" t="n"/>
    </row>
    <row r="53" ht="38.25" customHeight="1" s="319">
      <c r="A53" s="151" t="n">
        <v>39</v>
      </c>
      <c r="B53" s="241" t="n"/>
      <c r="C53" s="288" t="inlineStr">
        <is>
          <t>04.3.02.04-0316</t>
        </is>
      </c>
      <c r="D53" s="277" t="inlineStr">
        <is>
          <t>Смесь сухая безусадочная быстротвердеющая EMACO FAST TIXO тиксотропного типа (расход смеси 2000 кг на 1 м3)</t>
        </is>
      </c>
      <c r="E53" s="288" t="inlineStr">
        <is>
          <t>кг</t>
        </is>
      </c>
      <c r="F53" s="288" t="n">
        <v>160</v>
      </c>
      <c r="G53" s="357" t="n">
        <v>11.35</v>
      </c>
      <c r="H53" s="342">
        <f>ROUND(F53*G53,2)</f>
        <v/>
      </c>
      <c r="J53" s="270" t="n"/>
      <c r="L53" s="270" t="n"/>
    </row>
    <row r="54" ht="25.5" customHeight="1" s="319">
      <c r="A54" s="151" t="n">
        <v>40</v>
      </c>
      <c r="B54" s="241" t="n"/>
      <c r="C54" s="288" t="inlineStr">
        <is>
          <t>08.4.03.03-0004</t>
        </is>
      </c>
      <c r="D54" s="277" t="inlineStr">
        <is>
          <t>Горячекатанная арматурная сталь класса А500 С, диаметром 12 мм</t>
        </is>
      </c>
      <c r="E54" s="288" t="inlineStr">
        <is>
          <t>т</t>
        </is>
      </c>
      <c r="F54" s="288" t="n">
        <v>0.2416</v>
      </c>
      <c r="G54" s="357" t="n">
        <v>5584.56</v>
      </c>
      <c r="H54" s="342">
        <f>ROUND(F54*G54,2)</f>
        <v/>
      </c>
      <c r="J54" s="270" t="n"/>
    </row>
    <row r="55" ht="25.5" customHeight="1" s="319">
      <c r="A55" s="151" t="n">
        <v>41</v>
      </c>
      <c r="B55" s="241" t="n"/>
      <c r="C55" s="288" t="inlineStr">
        <is>
          <t>04.1.02.05-0041</t>
        </is>
      </c>
      <c r="D55" s="277" t="inlineStr">
        <is>
          <t>Бетон тяжелый, крупность заполнителя 20 мм, класс В10 (М150)</t>
        </is>
      </c>
      <c r="E55" s="288" t="inlineStr">
        <is>
          <t>м3</t>
        </is>
      </c>
      <c r="F55" s="288" t="n">
        <v>1.224</v>
      </c>
      <c r="G55" s="357" t="n">
        <v>542.24</v>
      </c>
      <c r="H55" s="342">
        <f>ROUND(F55*G55,2)</f>
        <v/>
      </c>
      <c r="J55" s="270" t="n"/>
    </row>
    <row r="56" ht="25.5" customHeight="1" s="319">
      <c r="A56" s="151" t="n">
        <v>42</v>
      </c>
      <c r="B56" s="241" t="n"/>
      <c r="C56" s="288" t="inlineStr">
        <is>
          <t>08.4.01.01-0022</t>
        </is>
      </c>
      <c r="D56" s="277" t="inlineStr">
        <is>
          <t>Детали анкерные с резьбой из прямых или гнутых круглых стержней</t>
        </is>
      </c>
      <c r="E56" s="288" t="inlineStr">
        <is>
          <t>т</t>
        </is>
      </c>
      <c r="F56" s="288" t="n">
        <v>0.05472</v>
      </c>
      <c r="G56" s="357" t="n">
        <v>10099.96</v>
      </c>
      <c r="H56" s="342">
        <f>ROUND(F56*G56,2)</f>
        <v/>
      </c>
      <c r="J56" s="270" t="n"/>
      <c r="L56" s="270" t="n"/>
    </row>
    <row r="57">
      <c r="A57" s="151" t="n">
        <v>43</v>
      </c>
      <c r="B57" s="241" t="n"/>
      <c r="C57" s="288" t="inlineStr">
        <is>
          <t>02.2.05.04-1777</t>
        </is>
      </c>
      <c r="D57" s="277" t="inlineStr">
        <is>
          <t>Щебень М 800, фракция 20-40 мм, группа 2</t>
        </is>
      </c>
      <c r="E57" s="288" t="inlineStr">
        <is>
          <t>м3</t>
        </is>
      </c>
      <c r="F57" s="288" t="n">
        <v>5</v>
      </c>
      <c r="G57" s="357" t="n">
        <v>108.4</v>
      </c>
      <c r="H57" s="342">
        <f>ROUND(F57*G57,2)</f>
        <v/>
      </c>
      <c r="J57" s="270" t="n"/>
    </row>
    <row r="58" ht="25.5" customHeight="1" s="319">
      <c r="A58" s="151" t="n">
        <v>44</v>
      </c>
      <c r="B58" s="241" t="n"/>
      <c r="C58" s="288" t="inlineStr">
        <is>
          <t>01.2.03.03-0103</t>
        </is>
      </c>
      <c r="D58" s="277" t="inlineStr">
        <is>
          <t>Мастика гидроизоляционная холодная ТЕХНОНИКОЛЬ №24 (МГТН)</t>
        </is>
      </c>
      <c r="E58" s="288" t="inlineStr">
        <is>
          <t>кг</t>
        </is>
      </c>
      <c r="F58" s="288" t="n">
        <v>58.8</v>
      </c>
      <c r="G58" s="357" t="n">
        <v>9.15</v>
      </c>
      <c r="H58" s="342">
        <f>ROUND(F58*G58,2)</f>
        <v/>
      </c>
      <c r="J58" s="270" t="n"/>
    </row>
    <row r="59">
      <c r="A59" s="151" t="n">
        <v>45</v>
      </c>
      <c r="B59" s="241" t="n"/>
      <c r="C59" s="288" t="inlineStr">
        <is>
          <t>20.1.01.12-0016</t>
        </is>
      </c>
      <c r="D59" s="277" t="inlineStr">
        <is>
          <t>Зажим поддерживающий глухой ПГН-5-3</t>
        </is>
      </c>
      <c r="E59" s="288" t="inlineStr">
        <is>
          <t>шт</t>
        </is>
      </c>
      <c r="F59" s="288" t="n">
        <v>2</v>
      </c>
      <c r="G59" s="357" t="n">
        <v>266.27</v>
      </c>
      <c r="H59" s="342">
        <f>ROUND(F59*G59,2)</f>
        <v/>
      </c>
      <c r="J59" s="270" t="n"/>
    </row>
    <row r="60">
      <c r="A60" s="151" t="n">
        <v>46</v>
      </c>
      <c r="B60" s="241" t="n"/>
      <c r="C60" s="288" t="inlineStr">
        <is>
          <t>02.2.05.04-1577</t>
        </is>
      </c>
      <c r="D60" s="277" t="inlineStr">
        <is>
          <t>Щебень М 800, фракция 5(3)-10 мм, группа 2</t>
        </is>
      </c>
      <c r="E60" s="288" t="inlineStr">
        <is>
          <t>м3</t>
        </is>
      </c>
      <c r="F60" s="288" t="n">
        <v>1.52</v>
      </c>
      <c r="G60" s="357" t="n">
        <v>155.94</v>
      </c>
      <c r="H60" s="342">
        <f>ROUND(F60*G60,2)</f>
        <v/>
      </c>
      <c r="J60" s="270" t="n"/>
    </row>
    <row r="61">
      <c r="A61" s="151" t="n">
        <v>47</v>
      </c>
      <c r="B61" s="241" t="n"/>
      <c r="C61" s="288" t="inlineStr">
        <is>
          <t>22.2.02.04-0036</t>
        </is>
      </c>
      <c r="D61" s="277" t="inlineStr">
        <is>
          <t>Звено промежуточное регулируемое ПРР-12-1</t>
        </is>
      </c>
      <c r="E61" s="288" t="inlineStr">
        <is>
          <t>шт</t>
        </is>
      </c>
      <c r="F61" s="288" t="n">
        <v>1</v>
      </c>
      <c r="G61" s="357" t="n">
        <v>193.24</v>
      </c>
      <c r="H61" s="342">
        <f>ROUND(F61*G61,2)</f>
        <v/>
      </c>
      <c r="J61" s="270" t="n"/>
    </row>
    <row r="62" ht="25.5" customHeight="1" s="319">
      <c r="A62" s="151" t="n">
        <v>48</v>
      </c>
      <c r="B62" s="379" t="n"/>
      <c r="C62" s="288" t="inlineStr">
        <is>
          <t>08.4.03.02-0001</t>
        </is>
      </c>
      <c r="D62" s="277" t="inlineStr">
        <is>
          <t>Горячекатаная арматурная сталь гладкая класса А-I, диаметром 6 мм</t>
        </is>
      </c>
      <c r="E62" s="288" t="inlineStr">
        <is>
          <t>т</t>
        </is>
      </c>
      <c r="F62" s="288" t="n">
        <v>0.024</v>
      </c>
      <c r="G62" s="357" t="n">
        <v>7418.75</v>
      </c>
      <c r="H62" s="342">
        <f>ROUND(F62*G62,2)</f>
        <v/>
      </c>
      <c r="J62" s="270" t="n"/>
    </row>
    <row r="63" ht="25.5" customHeight="1" s="319">
      <c r="A63" s="151" t="n">
        <v>49</v>
      </c>
      <c r="B63" s="379" t="n"/>
      <c r="C63" s="288" t="inlineStr">
        <is>
          <t>10.3.02.03-0011</t>
        </is>
      </c>
      <c r="D63" s="277" t="inlineStr">
        <is>
          <t>Припои оловянно-свинцовые бессурьмянистые, марка ПОС30</t>
        </is>
      </c>
      <c r="E63" s="288" t="inlineStr">
        <is>
          <t>т</t>
        </is>
      </c>
      <c r="F63" s="288" t="n">
        <v>0.00226</v>
      </c>
      <c r="G63" s="357" t="n">
        <v>68057.52</v>
      </c>
      <c r="H63" s="342">
        <f>ROUND(F63*G63,2)</f>
        <v/>
      </c>
      <c r="J63" s="270" t="n"/>
    </row>
    <row r="64">
      <c r="A64" s="151" t="n">
        <v>50</v>
      </c>
      <c r="B64" s="379" t="n"/>
      <c r="C64" s="288" t="inlineStr">
        <is>
          <t>20.1.02.22-0006</t>
        </is>
      </c>
      <c r="D64" s="277" t="inlineStr">
        <is>
          <t>Ушко однолапчатое У1-12-16</t>
        </is>
      </c>
      <c r="E64" s="288" t="inlineStr">
        <is>
          <t>шт</t>
        </is>
      </c>
      <c r="F64" s="288" t="n">
        <v>1</v>
      </c>
      <c r="G64" s="357" t="n">
        <v>137.86</v>
      </c>
      <c r="H64" s="342">
        <f>ROUND(F64*G64,2)</f>
        <v/>
      </c>
      <c r="J64" s="270" t="n"/>
    </row>
    <row r="65">
      <c r="A65" s="151" t="n">
        <v>51</v>
      </c>
      <c r="B65" s="379" t="n"/>
      <c r="C65" s="288" t="inlineStr">
        <is>
          <t>01.7.15.03-0042</t>
        </is>
      </c>
      <c r="D65" s="277" t="inlineStr">
        <is>
          <t>Болты с гайками и шайбами строительные</t>
        </is>
      </c>
      <c r="E65" s="288" t="inlineStr">
        <is>
          <t>кг</t>
        </is>
      </c>
      <c r="F65" s="288" t="n">
        <v>13.76942</v>
      </c>
      <c r="G65" s="357" t="n">
        <v>9.039999999999999</v>
      </c>
      <c r="H65" s="342">
        <f>ROUND(F65*G65,2)</f>
        <v/>
      </c>
      <c r="J65" s="270" t="n"/>
    </row>
    <row r="66" ht="25.5" customHeight="1" s="319">
      <c r="A66" s="151" t="n">
        <v>52</v>
      </c>
      <c r="B66" s="379" t="n"/>
      <c r="C66" s="288" t="inlineStr">
        <is>
          <t>08.4.03.03-0002</t>
        </is>
      </c>
      <c r="D66" s="277" t="inlineStr">
        <is>
          <t>Горячекатанная арматурная сталь класса А500 С, диаметром 8 мм</t>
        </is>
      </c>
      <c r="E66" s="288" t="inlineStr">
        <is>
          <t>т</t>
        </is>
      </c>
      <c r="F66" s="288" t="n">
        <v>0.0192</v>
      </c>
      <c r="G66" s="357" t="n">
        <v>6213.54</v>
      </c>
      <c r="H66" s="342">
        <f>ROUND(F66*G66,2)</f>
        <v/>
      </c>
    </row>
    <row r="67">
      <c r="A67" s="151" t="n">
        <v>53</v>
      </c>
      <c r="B67" s="379" t="n"/>
      <c r="C67" s="288" t="inlineStr">
        <is>
          <t>22.2.02.04-0009</t>
        </is>
      </c>
      <c r="D67" s="277" t="inlineStr">
        <is>
          <t>Звено промежуточное монтажное ПТМ-12-3</t>
        </is>
      </c>
      <c r="E67" s="288" t="inlineStr">
        <is>
          <t>шт</t>
        </is>
      </c>
      <c r="F67" s="288" t="n">
        <v>1</v>
      </c>
      <c r="G67" s="357" t="n">
        <v>103.63</v>
      </c>
      <c r="H67" s="342">
        <f>ROUND(F67*G67,2)</f>
        <v/>
      </c>
    </row>
    <row r="68">
      <c r="A68" s="151" t="n">
        <v>54</v>
      </c>
      <c r="B68" s="379" t="n"/>
      <c r="C68" s="288" t="inlineStr">
        <is>
          <t>11.2.13.04-0011</t>
        </is>
      </c>
      <c r="D68" s="277" t="inlineStr">
        <is>
          <t>Щиты из досок, толщина 25 мм</t>
        </is>
      </c>
      <c r="E68" s="288" t="inlineStr">
        <is>
          <t>м2</t>
        </is>
      </c>
      <c r="F68" s="288" t="n">
        <v>2.6532</v>
      </c>
      <c r="G68" s="357" t="n">
        <v>35.53</v>
      </c>
      <c r="H68" s="342">
        <f>ROUND(F68*G68,2)</f>
        <v/>
      </c>
    </row>
    <row r="69">
      <c r="A69" s="151" t="n">
        <v>55</v>
      </c>
      <c r="B69" s="379" t="n"/>
      <c r="C69" s="288" t="inlineStr">
        <is>
          <t>01.2.03.05-0011</t>
        </is>
      </c>
      <c r="D69" s="277" t="inlineStr">
        <is>
          <t>Праймер битумный ТЕХНОНИКОЛЬ №01</t>
        </is>
      </c>
      <c r="E69" s="288" t="inlineStr">
        <is>
          <t>л</t>
        </is>
      </c>
      <c r="F69" s="288" t="n">
        <v>10.4</v>
      </c>
      <c r="G69" s="357" t="n">
        <v>8.44</v>
      </c>
      <c r="H69" s="342">
        <f>ROUND(F69*G69,2)</f>
        <v/>
      </c>
    </row>
    <row r="70">
      <c r="A70" s="151" t="n">
        <v>56</v>
      </c>
      <c r="B70" s="379" t="n"/>
      <c r="C70" s="288" t="inlineStr">
        <is>
          <t>22.2.02.04-0018</t>
        </is>
      </c>
      <c r="D70" s="277" t="inlineStr">
        <is>
          <t>Звено промежуточное прямое двойное 2ПР-12-1</t>
        </is>
      </c>
      <c r="E70" s="288" t="inlineStr">
        <is>
          <t>шт</t>
        </is>
      </c>
      <c r="F70" s="288" t="n">
        <v>1</v>
      </c>
      <c r="G70" s="357" t="n">
        <v>83.27</v>
      </c>
      <c r="H70" s="342">
        <f>ROUND(F70*G70,2)</f>
        <v/>
      </c>
    </row>
    <row r="71">
      <c r="A71" s="151" t="n">
        <v>57</v>
      </c>
      <c r="B71" s="379" t="n"/>
      <c r="C71" s="288" t="inlineStr">
        <is>
          <t>01.7.15.07-0031</t>
        </is>
      </c>
      <c r="D71" s="277" t="inlineStr">
        <is>
          <t>Дюбели распорные с гайкой</t>
        </is>
      </c>
      <c r="E71" s="288" t="inlineStr">
        <is>
          <t>100 шт</t>
        </is>
      </c>
      <c r="F71" s="288" t="n">
        <v>0.384</v>
      </c>
      <c r="G71" s="357" t="n">
        <v>110</v>
      </c>
      <c r="H71" s="342">
        <f>ROUND(F71*G71,2)</f>
        <v/>
      </c>
    </row>
    <row r="72" ht="25.5" customHeight="1" s="319">
      <c r="A72" s="151" t="n">
        <v>58</v>
      </c>
      <c r="B72" s="379" t="n"/>
      <c r="C72" s="288" t="inlineStr">
        <is>
          <t>03.2.01.01-0003</t>
        </is>
      </c>
      <c r="D72" s="277" t="inlineStr">
        <is>
          <t>Портландцемент общестроительного назначения бездобавочный М500 Д0 (ЦЕМ I 42,5Н)</t>
        </is>
      </c>
      <c r="E72" s="288" t="inlineStr">
        <is>
          <t>т</t>
        </is>
      </c>
      <c r="F72" s="288" t="n">
        <v>0.0864</v>
      </c>
      <c r="G72" s="357" t="n">
        <v>479.98</v>
      </c>
      <c r="H72" s="342">
        <f>ROUND(F72*G72,2)</f>
        <v/>
      </c>
    </row>
    <row r="73">
      <c r="A73" s="151" t="n">
        <v>59</v>
      </c>
      <c r="B73" s="379" t="n"/>
      <c r="C73" s="288" t="inlineStr">
        <is>
          <t>22.2.02.04-0017</t>
        </is>
      </c>
      <c r="D73" s="277" t="inlineStr">
        <is>
          <t>Звено промежуточное прямое двойное 2ПР-7-1</t>
        </is>
      </c>
      <c r="E73" s="288" t="inlineStr">
        <is>
          <t>шт</t>
        </is>
      </c>
      <c r="F73" s="288" t="n">
        <v>1</v>
      </c>
      <c r="G73" s="357" t="n">
        <v>41.1</v>
      </c>
      <c r="H73" s="342">
        <f>ROUND(F73*G73,2)</f>
        <v/>
      </c>
    </row>
    <row r="74" ht="25.5" customHeight="1" s="319">
      <c r="A74" s="151" t="n">
        <v>60</v>
      </c>
      <c r="B74" s="379" t="n"/>
      <c r="C74" s="288" t="inlineStr">
        <is>
          <t>11.1.03.06-0095</t>
        </is>
      </c>
      <c r="D74" s="277" t="inlineStr">
        <is>
          <t>Доска обрезная, хвойных пород, ширина 75-150 мм, толщина 44 мм и более, длина 4-6,5 м, сорт III</t>
        </is>
      </c>
      <c r="E74" s="288" t="inlineStr">
        <is>
          <t>м3</t>
        </is>
      </c>
      <c r="F74" s="288" t="n">
        <v>0.037964</v>
      </c>
      <c r="G74" s="357" t="n">
        <v>1056.26</v>
      </c>
      <c r="H74" s="342">
        <f>ROUND(F74*G74,2)</f>
        <v/>
      </c>
    </row>
    <row r="75">
      <c r="A75" s="151" t="n">
        <v>61</v>
      </c>
      <c r="B75" s="379" t="n"/>
      <c r="C75" s="288" t="inlineStr">
        <is>
          <t>01.7.20.08-0102</t>
        </is>
      </c>
      <c r="D75" s="277" t="inlineStr">
        <is>
          <t>Миткаль суровый</t>
        </is>
      </c>
      <c r="E75" s="288" t="inlineStr">
        <is>
          <t>10 м</t>
        </is>
      </c>
      <c r="F75" s="288" t="n">
        <v>0.52</v>
      </c>
      <c r="G75" s="357" t="n">
        <v>73.65000000000001</v>
      </c>
      <c r="H75" s="342">
        <f>ROUND(F75*G75,2)</f>
        <v/>
      </c>
    </row>
    <row r="76">
      <c r="A76" s="151" t="n">
        <v>62</v>
      </c>
      <c r="B76" s="379" t="n"/>
      <c r="C76" s="288" t="inlineStr">
        <is>
          <t>01.7.11.07-0034</t>
        </is>
      </c>
      <c r="D76" s="277" t="inlineStr">
        <is>
          <t>Электроды сварочные Э42А, диаметр 4 мм</t>
        </is>
      </c>
      <c r="E76" s="288" t="inlineStr">
        <is>
          <t>кг</t>
        </is>
      </c>
      <c r="F76" s="288" t="n">
        <v>3.616</v>
      </c>
      <c r="G76" s="357" t="n">
        <v>10.57</v>
      </c>
      <c r="H76" s="342">
        <f>ROUND(F76*G76,2)</f>
        <v/>
      </c>
    </row>
    <row r="77" ht="25.5" customHeight="1" s="319">
      <c r="A77" s="151" t="n">
        <v>63</v>
      </c>
      <c r="B77" s="379" t="n"/>
      <c r="C77" s="288" t="inlineStr">
        <is>
          <t>20.2.03.17-0001</t>
        </is>
      </c>
      <c r="D77" s="277" t="inlineStr">
        <is>
          <t>Скоба для крепления кабельной трассы верхняя с основанием 50 мм, из оцинкованной стали</t>
        </is>
      </c>
      <c r="E77" s="288" t="inlineStr">
        <is>
          <t>шт</t>
        </is>
      </c>
      <c r="F77" s="288" t="n">
        <v>1</v>
      </c>
      <c r="G77" s="357" t="n">
        <v>29.54</v>
      </c>
      <c r="H77" s="342">
        <f>ROUND(F77*G77,2)</f>
        <v/>
      </c>
    </row>
    <row r="78">
      <c r="A78" s="151" t="n">
        <v>64</v>
      </c>
      <c r="B78" s="379" t="n"/>
      <c r="C78" s="288" t="inlineStr">
        <is>
          <t>01.7.06.07-0002</t>
        </is>
      </c>
      <c r="D78" s="277" t="inlineStr">
        <is>
          <t>Лента монтажная, тип ЛМ-5</t>
        </is>
      </c>
      <c r="E78" s="288" t="inlineStr">
        <is>
          <t>10 м</t>
        </is>
      </c>
      <c r="F78" s="288" t="n">
        <v>4.085</v>
      </c>
      <c r="G78" s="357" t="n">
        <v>6.9</v>
      </c>
      <c r="H78" s="342">
        <f>ROUND(F78*G78,2)</f>
        <v/>
      </c>
    </row>
    <row r="79">
      <c r="A79" s="151" t="n">
        <v>65</v>
      </c>
      <c r="B79" s="379" t="n"/>
      <c r="C79" s="288" t="inlineStr">
        <is>
          <t>07.2.07.13-0171</t>
        </is>
      </c>
      <c r="D79" s="277" t="inlineStr">
        <is>
          <t>Подкладки металлические</t>
        </is>
      </c>
      <c r="E79" s="288" t="inlineStr">
        <is>
          <t>кг</t>
        </is>
      </c>
      <c r="F79" s="288" t="n">
        <v>2</v>
      </c>
      <c r="G79" s="357" t="n">
        <v>12.6</v>
      </c>
      <c r="H79" s="342">
        <f>ROUND(F79*G79,2)</f>
        <v/>
      </c>
    </row>
    <row r="80">
      <c r="A80" s="151" t="n">
        <v>66</v>
      </c>
      <c r="B80" s="379" t="n"/>
      <c r="C80" s="288" t="inlineStr">
        <is>
          <t>01.7.15.06-0111</t>
        </is>
      </c>
      <c r="D80" s="277" t="inlineStr">
        <is>
          <t>Гвозди строительные</t>
        </is>
      </c>
      <c r="E80" s="288" t="inlineStr">
        <is>
          <t>т</t>
        </is>
      </c>
      <c r="F80" s="288" t="n">
        <v>0.002042</v>
      </c>
      <c r="G80" s="357" t="n">
        <v>11973.55</v>
      </c>
      <c r="H80" s="342">
        <f>ROUND(F80*G80,2)</f>
        <v/>
      </c>
    </row>
    <row r="81" ht="25.5" customHeight="1" s="319">
      <c r="A81" s="151" t="n">
        <v>67</v>
      </c>
      <c r="B81" s="379" t="n"/>
      <c r="C81" s="288" t="inlineStr">
        <is>
          <t>11.1.02.04-0031</t>
        </is>
      </c>
      <c r="D81" s="277" t="inlineStr">
        <is>
          <t>Лесоматериалы круглые, хвойных пород, для строительства, диаметр 14-24 см, длина 3-6,5 м</t>
        </is>
      </c>
      <c r="E81" s="288" t="inlineStr">
        <is>
          <t>м3</t>
        </is>
      </c>
      <c r="F81" s="288" t="n">
        <v>0.036984</v>
      </c>
      <c r="G81" s="357" t="n">
        <v>558.35</v>
      </c>
      <c r="H81" s="342">
        <f>ROUND(F81*G81,2)</f>
        <v/>
      </c>
    </row>
    <row r="82" ht="25.5" customHeight="1" s="319">
      <c r="A82" s="151" t="n">
        <v>68</v>
      </c>
      <c r="B82" s="379" t="n"/>
      <c r="C82" s="288" t="inlineStr">
        <is>
          <t>11.1.03.05-0089</t>
        </is>
      </c>
      <c r="D82" s="277" t="inlineStr">
        <is>
          <t>Доска необрезная, хвойных пород, длина 4-6,5 м, ширина 75-150 мм, толщина 16 мм, сорт III</t>
        </is>
      </c>
      <c r="E82" s="288" t="inlineStr">
        <is>
          <t>м3</t>
        </is>
      </c>
      <c r="F82" s="288" t="n">
        <v>0.016</v>
      </c>
      <c r="G82" s="357" t="n">
        <v>1250</v>
      </c>
      <c r="H82" s="342">
        <f>ROUND(F82*G82,2)</f>
        <v/>
      </c>
    </row>
    <row r="83" ht="25.5" customHeight="1" s="319">
      <c r="A83" s="151" t="n">
        <v>69</v>
      </c>
      <c r="B83" s="379" t="n"/>
      <c r="C83" s="288" t="inlineStr">
        <is>
          <t>999-9950</t>
        </is>
      </c>
      <c r="D83" s="277" t="inlineStr">
        <is>
          <t>Вспомогательные ненормируемые материальные ресурсы</t>
        </is>
      </c>
      <c r="E83" s="288" t="inlineStr">
        <is>
          <t>руб</t>
        </is>
      </c>
      <c r="F83" s="288" t="n">
        <v>18.620088</v>
      </c>
      <c r="G83" s="357" t="n">
        <v>1</v>
      </c>
      <c r="H83" s="342">
        <f>ROUND(F83*G83,2)</f>
        <v/>
      </c>
    </row>
    <row r="84">
      <c r="A84" s="151" t="n">
        <v>70</v>
      </c>
      <c r="B84" s="379" t="n"/>
      <c r="C84" s="288" t="inlineStr">
        <is>
          <t>01.3.01.03-0002</t>
        </is>
      </c>
      <c r="D84" s="277" t="inlineStr">
        <is>
          <t>Керосин для технических целей</t>
        </is>
      </c>
      <c r="E84" s="288" t="inlineStr">
        <is>
          <t>т</t>
        </is>
      </c>
      <c r="F84" s="288" t="n">
        <v>0.0070464</v>
      </c>
      <c r="G84" s="357" t="n">
        <v>2607</v>
      </c>
      <c r="H84" s="342">
        <f>ROUND(F84*G84,2)</f>
        <v/>
      </c>
    </row>
    <row r="85">
      <c r="A85" s="151" t="n">
        <v>71</v>
      </c>
      <c r="B85" s="379" t="n"/>
      <c r="C85" s="288" t="inlineStr">
        <is>
          <t>14.4.02.09-0301</t>
        </is>
      </c>
      <c r="D85" s="277" t="inlineStr">
        <is>
          <t>Композиция антикоррозионная цинкнаполненная</t>
        </is>
      </c>
      <c r="E85" s="288" t="inlineStr">
        <is>
          <t>кг</t>
        </is>
      </c>
      <c r="F85" s="288" t="n">
        <v>0.07199999999999999</v>
      </c>
      <c r="G85" s="357" t="n">
        <v>238.47</v>
      </c>
      <c r="H85" s="342">
        <f>ROUND(F85*G85,2)</f>
        <v/>
      </c>
    </row>
    <row r="86">
      <c r="A86" s="151" t="n">
        <v>72</v>
      </c>
      <c r="B86" s="379" t="n"/>
      <c r="C86" s="288" t="inlineStr">
        <is>
          <t>14.4.02.09-0001</t>
        </is>
      </c>
      <c r="D86" s="277" t="inlineStr">
        <is>
          <t>Краска</t>
        </is>
      </c>
      <c r="E86" s="288" t="inlineStr">
        <is>
          <t>кг</t>
        </is>
      </c>
      <c r="F86" s="288" t="n">
        <v>0.6</v>
      </c>
      <c r="G86" s="357" t="n">
        <v>28.6</v>
      </c>
      <c r="H86" s="342">
        <f>ROUND(F86*G86,2)</f>
        <v/>
      </c>
    </row>
    <row r="87" ht="25.5" customHeight="1" s="319">
      <c r="A87" s="151" t="n">
        <v>73</v>
      </c>
      <c r="B87" s="379" t="n"/>
      <c r="C87" s="288" t="inlineStr">
        <is>
          <t>11.1.03.06-0087</t>
        </is>
      </c>
      <c r="D87" s="277" t="inlineStr">
        <is>
          <t>Доска обрезная, хвойных пород, ширина 75-150 мм, толщина 25 мм, длина 4-6,5 м, сорт III</t>
        </is>
      </c>
      <c r="E87" s="288" t="inlineStr">
        <is>
          <t>м3</t>
        </is>
      </c>
      <c r="F87" s="288" t="n">
        <v>0.013072</v>
      </c>
      <c r="G87" s="357" t="n">
        <v>1100.06</v>
      </c>
      <c r="H87" s="342">
        <f>ROUND(F87*G87,2)</f>
        <v/>
      </c>
    </row>
    <row r="88">
      <c r="A88" s="151" t="n">
        <v>74</v>
      </c>
      <c r="B88" s="379" t="n"/>
      <c r="C88" s="288" t="inlineStr">
        <is>
          <t>20.1.02.14-1006</t>
        </is>
      </c>
      <c r="D88" s="277" t="inlineStr">
        <is>
          <t>Серьга СР-12-16</t>
        </is>
      </c>
      <c r="E88" s="288" t="inlineStr">
        <is>
          <t>шт</t>
        </is>
      </c>
      <c r="F88" s="288" t="n">
        <v>1</v>
      </c>
      <c r="G88" s="357" t="n">
        <v>13.29</v>
      </c>
      <c r="H88" s="342">
        <f>ROUND(F88*G88,2)</f>
        <v/>
      </c>
    </row>
    <row r="89">
      <c r="A89" s="151" t="n">
        <v>75</v>
      </c>
      <c r="B89" s="379" t="n"/>
      <c r="C89" s="288" t="inlineStr">
        <is>
          <t>01.7.07.12-0024</t>
        </is>
      </c>
      <c r="D89" s="277" t="inlineStr">
        <is>
          <t>Пленка полиэтиленовая, толщина 0,15 мм</t>
        </is>
      </c>
      <c r="E89" s="288" t="inlineStr">
        <is>
          <t>м2</t>
        </is>
      </c>
      <c r="F89" s="288" t="n">
        <v>3.54136</v>
      </c>
      <c r="G89" s="357" t="n">
        <v>3.62</v>
      </c>
      <c r="H89" s="342">
        <f>ROUND(F89*G89,2)</f>
        <v/>
      </c>
    </row>
    <row r="90" ht="38.25" customHeight="1" s="319">
      <c r="A90" s="151" t="n">
        <v>76</v>
      </c>
      <c r="B90" s="379" t="n"/>
      <c r="C90" s="288" t="inlineStr">
        <is>
          <t>01.3.01.06-0023</t>
        </is>
      </c>
      <c r="D90" s="277" t="inlineStr">
        <is>
          <t>Смазка антифрикционная пластичная для узлов трения, работающих при переменных ударных нагрузках, диапазон температур от -60 °C до +80 °C</t>
        </is>
      </c>
      <c r="E90" s="288" t="inlineStr">
        <is>
          <t>т</t>
        </is>
      </c>
      <c r="F90" s="288" t="n">
        <v>0.0005999999999999999</v>
      </c>
      <c r="G90" s="357" t="n">
        <v>20600</v>
      </c>
      <c r="H90" s="342">
        <f>ROUND(F90*G90,2)</f>
        <v/>
      </c>
    </row>
    <row r="91">
      <c r="A91" s="151" t="n">
        <v>77</v>
      </c>
      <c r="B91" s="379" t="n"/>
      <c r="C91" s="288" t="inlineStr">
        <is>
          <t>01.3.01.01-0001</t>
        </is>
      </c>
      <c r="D91" s="277" t="inlineStr">
        <is>
          <t>Бензин авиационный Б-70</t>
        </is>
      </c>
      <c r="E91" s="288" t="inlineStr">
        <is>
          <t>т</t>
        </is>
      </c>
      <c r="F91" s="288" t="n">
        <v>0.0026</v>
      </c>
      <c r="G91" s="357" t="n">
        <v>4484.62</v>
      </c>
      <c r="H91" s="342">
        <f>ROUND(F91*G91,2)</f>
        <v/>
      </c>
    </row>
    <row r="92">
      <c r="A92" s="151" t="n">
        <v>78</v>
      </c>
      <c r="B92" s="379" t="n"/>
      <c r="C92" s="288" t="inlineStr">
        <is>
          <t>01.7.17.11-0001</t>
        </is>
      </c>
      <c r="D92" s="277" t="inlineStr">
        <is>
          <t>Бумага шлифовальная</t>
        </is>
      </c>
      <c r="E92" s="288" t="inlineStr">
        <is>
          <t>кг</t>
        </is>
      </c>
      <c r="F92" s="288" t="n">
        <v>0.2</v>
      </c>
      <c r="G92" s="357" t="n">
        <v>50</v>
      </c>
      <c r="H92" s="342">
        <f>ROUND(F92*G92,2)</f>
        <v/>
      </c>
    </row>
    <row r="93" ht="25.5" customHeight="1" s="319">
      <c r="A93" s="151" t="n">
        <v>79</v>
      </c>
      <c r="B93" s="379" t="n"/>
      <c r="C93" s="288" t="inlineStr">
        <is>
          <t>08.3.03.06-0002</t>
        </is>
      </c>
      <c r="D93" s="277" t="inlineStr">
        <is>
          <t>Проволока горячекатаная в мотках, диаметр 6,3-6,5 мм</t>
        </is>
      </c>
      <c r="E93" s="288" t="inlineStr">
        <is>
          <t>т</t>
        </is>
      </c>
      <c r="F93" s="288" t="n">
        <v>0.002144</v>
      </c>
      <c r="G93" s="357" t="n">
        <v>4454.29</v>
      </c>
      <c r="H93" s="342">
        <f>ROUND(F93*G93,2)</f>
        <v/>
      </c>
    </row>
    <row r="94">
      <c r="A94" s="151" t="n">
        <v>80</v>
      </c>
      <c r="B94" s="379" t="n"/>
      <c r="C94" s="288" t="inlineStr">
        <is>
          <t>20.1.02.14-1014</t>
        </is>
      </c>
      <c r="D94" s="277" t="inlineStr">
        <is>
          <t>Серьга СР-7-16</t>
        </is>
      </c>
      <c r="E94" s="288" t="inlineStr">
        <is>
          <t>шт</t>
        </is>
      </c>
      <c r="F94" s="288" t="n">
        <v>1</v>
      </c>
      <c r="G94" s="357" t="n">
        <v>9.359999999999999</v>
      </c>
      <c r="H94" s="342">
        <f>ROUND(F94*G94,2)</f>
        <v/>
      </c>
    </row>
    <row r="95">
      <c r="A95" s="151" t="n">
        <v>81</v>
      </c>
      <c r="B95" s="379" t="n"/>
      <c r="C95" s="288" t="inlineStr">
        <is>
          <t>14.4.03.03-0002</t>
        </is>
      </c>
      <c r="D95" s="277" t="inlineStr">
        <is>
          <t>Лак битумный БТ-123</t>
        </is>
      </c>
      <c r="E95" s="288" t="inlineStr">
        <is>
          <t>т</t>
        </is>
      </c>
      <c r="F95" s="288" t="n">
        <v>0.00096</v>
      </c>
      <c r="G95" s="357" t="n">
        <v>7833.33</v>
      </c>
      <c r="H95" s="342">
        <f>ROUND(F95*G95,2)</f>
        <v/>
      </c>
    </row>
    <row r="96" ht="25.5" customHeight="1" s="319">
      <c r="A96" s="151" t="n">
        <v>82</v>
      </c>
      <c r="B96" s="379" t="n"/>
      <c r="C96" s="288" t="inlineStr">
        <is>
          <t>11.1.03.01-0079</t>
        </is>
      </c>
      <c r="D96" s="277" t="inlineStr">
        <is>
          <t>Бруски обрезные, хвойных пород, длина 4-6,5 м, ширина 75-150 мм, толщина 40-75 мм, сорт III</t>
        </is>
      </c>
      <c r="E96" s="288" t="inlineStr">
        <is>
          <t>м3</t>
        </is>
      </c>
      <c r="F96" s="288" t="n">
        <v>0.004288</v>
      </c>
      <c r="G96" s="357" t="n">
        <v>1287.31</v>
      </c>
      <c r="H96" s="342">
        <f>ROUND(F96*G96,2)</f>
        <v/>
      </c>
    </row>
    <row r="97">
      <c r="A97" s="151" t="n">
        <v>83</v>
      </c>
      <c r="B97" s="379" t="n"/>
      <c r="C97" s="288" t="inlineStr">
        <is>
          <t>14.2.01.05-0001</t>
        </is>
      </c>
      <c r="D97" s="277" t="inlineStr">
        <is>
          <t>Композиция на основе термопластичных полимеров</t>
        </is>
      </c>
      <c r="E97" s="288" t="inlineStr">
        <is>
          <t>кг</t>
        </is>
      </c>
      <c r="F97" s="288" t="n">
        <v>0.09</v>
      </c>
      <c r="G97" s="357" t="n">
        <v>55</v>
      </c>
      <c r="H97" s="342">
        <f>ROUND(F97*G97,2)</f>
        <v/>
      </c>
    </row>
    <row r="98">
      <c r="A98" s="151" t="n">
        <v>84</v>
      </c>
      <c r="B98" s="379" t="n"/>
      <c r="C98" s="288" t="inlineStr">
        <is>
          <t>02.3.01.02-1012</t>
        </is>
      </c>
      <c r="D98" s="277" t="inlineStr">
        <is>
          <t>Песок природный II класс, средний, круглые сита</t>
        </is>
      </c>
      <c r="E98" s="288" t="inlineStr">
        <is>
          <t>м3</t>
        </is>
      </c>
      <c r="F98" s="288" t="n">
        <v>0.07199999999999999</v>
      </c>
      <c r="G98" s="357" t="n">
        <v>60</v>
      </c>
      <c r="H98" s="342">
        <f>ROUND(F98*G98,2)</f>
        <v/>
      </c>
    </row>
    <row r="99">
      <c r="A99" s="151" t="n">
        <v>85</v>
      </c>
      <c r="B99" s="379" t="n"/>
      <c r="C99" s="288" t="inlineStr">
        <is>
          <t>01.7.03.01-0001</t>
        </is>
      </c>
      <c r="D99" s="277" t="inlineStr">
        <is>
          <t>Вода</t>
        </is>
      </c>
      <c r="E99" s="288" t="inlineStr">
        <is>
          <t>м3</t>
        </is>
      </c>
      <c r="F99" s="288" t="n">
        <v>0.9284232</v>
      </c>
      <c r="G99" s="357" t="n">
        <v>2.46</v>
      </c>
      <c r="H99" s="342">
        <f>ROUND(F99*G99,2)</f>
        <v/>
      </c>
    </row>
    <row r="100">
      <c r="A100" s="151" t="n">
        <v>86</v>
      </c>
      <c r="B100" s="379" t="n"/>
      <c r="C100" s="288" t="inlineStr">
        <is>
          <t>08.3.08.02-0023</t>
        </is>
      </c>
      <c r="D100" s="277" t="inlineStr">
        <is>
          <t>Уголок горячекатаный, размер 60х60 мм</t>
        </is>
      </c>
      <c r="E100" s="288" t="inlineStr">
        <is>
          <t>т</t>
        </is>
      </c>
      <c r="F100" s="288" t="n">
        <v>0.00038</v>
      </c>
      <c r="G100" s="357" t="n">
        <v>5552.63</v>
      </c>
      <c r="H100" s="342">
        <f>ROUND(F100*G100,2)</f>
        <v/>
      </c>
    </row>
    <row r="101">
      <c r="A101" s="151" t="n">
        <v>87</v>
      </c>
      <c r="B101" s="379" t="n"/>
      <c r="C101" s="288" t="inlineStr">
        <is>
          <t>01.7.11.07-0054</t>
        </is>
      </c>
      <c r="D101" s="277" t="inlineStr">
        <is>
          <t>Электроды сварочные Э42, диаметр 6 мм</t>
        </is>
      </c>
      <c r="E101" s="288" t="inlineStr">
        <is>
          <t>т</t>
        </is>
      </c>
      <c r="F101" s="288" t="n">
        <v>0.0002144</v>
      </c>
      <c r="G101" s="357" t="n">
        <v>9421.639999999999</v>
      </c>
      <c r="H101" s="342">
        <f>ROUND(F101*G101,2)</f>
        <v/>
      </c>
    </row>
    <row r="102">
      <c r="A102" s="151" t="n">
        <v>88</v>
      </c>
      <c r="B102" s="379" t="n"/>
      <c r="C102" s="288" t="inlineStr">
        <is>
          <t>03.1.02.03-0011</t>
        </is>
      </c>
      <c r="D102" s="277" t="inlineStr">
        <is>
          <t>Известь строительная негашеная комовая, сорт I</t>
        </is>
      </c>
      <c r="E102" s="288" t="inlineStr">
        <is>
          <t>т</t>
        </is>
      </c>
      <c r="F102" s="288" t="n">
        <v>0.0024656</v>
      </c>
      <c r="G102" s="357" t="n">
        <v>734.1</v>
      </c>
      <c r="H102" s="342">
        <f>ROUND(F102*G102,2)</f>
        <v/>
      </c>
    </row>
    <row r="103">
      <c r="A103" s="151" t="n">
        <v>89</v>
      </c>
      <c r="B103" s="379" t="n"/>
      <c r="C103" s="288" t="inlineStr">
        <is>
          <t>01.7.15.14-0165</t>
        </is>
      </c>
      <c r="D103" s="277" t="inlineStr">
        <is>
          <t>Шурупы с полукруглой головкой 4x40 мм</t>
        </is>
      </c>
      <c r="E103" s="288" t="inlineStr">
        <is>
          <t>т</t>
        </is>
      </c>
      <c r="F103" s="288" t="n">
        <v>0.00011</v>
      </c>
      <c r="G103" s="357" t="n">
        <v>12454.55</v>
      </c>
      <c r="H103" s="342">
        <f>ROUND(F103*G103,2)</f>
        <v/>
      </c>
    </row>
    <row r="104">
      <c r="A104" s="151" t="n">
        <v>90</v>
      </c>
      <c r="B104" s="379" t="n"/>
      <c r="C104" s="288" t="inlineStr">
        <is>
          <t>01.7.11.07-0032</t>
        </is>
      </c>
      <c r="D104" s="277" t="inlineStr">
        <is>
          <t>Электроды сварочные Э42, диаметр 4 мм</t>
        </is>
      </c>
      <c r="E104" s="288" t="inlineStr">
        <is>
          <t>т</t>
        </is>
      </c>
      <c r="F104" s="288" t="n">
        <v>0.0001094</v>
      </c>
      <c r="G104" s="357" t="n">
        <v>10329.07</v>
      </c>
      <c r="H104" s="342">
        <f>ROUND(F104*G104,2)</f>
        <v/>
      </c>
    </row>
    <row r="105">
      <c r="A105" s="151" t="n">
        <v>91</v>
      </c>
      <c r="B105" s="379" t="n"/>
      <c r="C105" s="288" t="inlineStr">
        <is>
          <t>07.2.07.02-0001</t>
        </is>
      </c>
      <c r="D105" s="277" t="inlineStr">
        <is>
          <t>Кондуктор инвентарный металлический</t>
        </is>
      </c>
      <c r="E105" s="288" t="inlineStr">
        <is>
          <t>шт</t>
        </is>
      </c>
      <c r="F105" s="288" t="n">
        <v>0.0005472</v>
      </c>
      <c r="G105" s="357" t="n">
        <v>347.22</v>
      </c>
      <c r="H105" s="342">
        <f>ROUND(F105*G105,2)</f>
        <v/>
      </c>
    </row>
    <row r="106">
      <c r="A106" s="151" t="n">
        <v>92</v>
      </c>
      <c r="B106" s="379" t="n"/>
      <c r="C106" s="288" t="inlineStr">
        <is>
          <t>14.5.09.07-0030</t>
        </is>
      </c>
      <c r="D106" s="277" t="inlineStr">
        <is>
          <t>Растворитель Р-4</t>
        </is>
      </c>
      <c r="E106" s="288" t="inlineStr">
        <is>
          <t>кг</t>
        </is>
      </c>
      <c r="F106" s="288" t="n">
        <v>0.008399999999999999</v>
      </c>
      <c r="G106" s="357" t="n">
        <v>9.52</v>
      </c>
      <c r="H106" s="342">
        <f>ROUND(F106*G106,2)</f>
        <v/>
      </c>
    </row>
    <row r="107">
      <c r="A107" s="151" t="n">
        <v>93</v>
      </c>
      <c r="B107" s="379" t="n"/>
      <c r="C107" s="288" t="inlineStr">
        <is>
          <t>01.7.15.13-0001</t>
        </is>
      </c>
      <c r="D107" s="277" t="inlineStr">
        <is>
          <t>Шплинты</t>
        </is>
      </c>
      <c r="E107" s="288" t="inlineStr">
        <is>
          <t>кг</t>
        </is>
      </c>
      <c r="F107" s="288" t="n">
        <v>0.00449</v>
      </c>
      <c r="G107" s="357" t="n">
        <v>13.36</v>
      </c>
      <c r="H107" s="342">
        <f>ROUND(F107*G107,2)</f>
        <v/>
      </c>
    </row>
    <row r="108">
      <c r="A108" s="151" t="n">
        <v>94</v>
      </c>
      <c r="B108" s="379" t="n"/>
      <c r="C108" s="288" t="inlineStr">
        <is>
          <t>01.7.20.08-0051</t>
        </is>
      </c>
      <c r="D108" s="277" t="inlineStr">
        <is>
          <t>Ветошь</t>
        </is>
      </c>
      <c r="E108" s="288" t="inlineStr">
        <is>
          <t>кг</t>
        </is>
      </c>
      <c r="F108" s="288" t="n">
        <v>0.02936</v>
      </c>
      <c r="G108" s="357" t="n">
        <v>1.7</v>
      </c>
      <c r="H108" s="342">
        <f>ROUND(F108*G108,2)</f>
        <v/>
      </c>
    </row>
    <row r="109">
      <c r="A109" s="263" t="n"/>
      <c r="C109" s="264" t="n"/>
      <c r="D109" s="264" t="n"/>
      <c r="E109" s="264" t="n"/>
      <c r="F109" s="264" t="n"/>
      <c r="G109" s="338" t="n"/>
      <c r="H109" s="265" t="n"/>
    </row>
    <row r="110">
      <c r="B110" s="321" t="inlineStr">
        <is>
          <t>Составил ______________________        А.Р. Маркова</t>
        </is>
      </c>
      <c r="H110" s="345" t="n"/>
    </row>
    <row r="111">
      <c r="B111" s="202" t="inlineStr">
        <is>
          <t xml:space="preserve">                         (подпись, инициалы, фамилия)</t>
        </is>
      </c>
    </row>
    <row r="113">
      <c r="B113" s="321" t="inlineStr">
        <is>
          <t>Проверил ______________________        А.В. Костянецкая</t>
        </is>
      </c>
    </row>
    <row r="114">
      <c r="B114" s="202" t="inlineStr">
        <is>
          <t xml:space="preserve">                        (подпись, инициалы, фамилия)</t>
        </is>
      </c>
    </row>
  </sheetData>
  <mergeCells count="15">
    <mergeCell ref="A3:H3"/>
    <mergeCell ref="A50:E50"/>
    <mergeCell ref="A24:E24"/>
    <mergeCell ref="G7:H7"/>
    <mergeCell ref="A10:E10"/>
    <mergeCell ref="A2:H2"/>
    <mergeCell ref="C7:C8"/>
    <mergeCell ref="A7:A8"/>
    <mergeCell ref="B7:B8"/>
    <mergeCell ref="D7:D8"/>
    <mergeCell ref="E7:E8"/>
    <mergeCell ref="A46:E46"/>
    <mergeCell ref="F7:F8"/>
    <mergeCell ref="A5:H5"/>
    <mergeCell ref="A22:E22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2" workbookViewId="0">
      <selection activeCell="D45" sqref="D45"/>
    </sheetView>
  </sheetViews>
  <sheetFormatPr baseColWidth="8" defaultColWidth="9.140625" defaultRowHeight="15"/>
  <cols>
    <col width="4.140625" customWidth="1" style="319" min="1" max="1"/>
    <col width="36.28515625" customWidth="1" style="319" min="2" max="2"/>
    <col width="18.85546875" customWidth="1" style="319" min="3" max="3"/>
    <col width="18.28515625" customWidth="1" style="319" min="4" max="4"/>
    <col width="18.85546875" customWidth="1" style="319" min="5" max="5"/>
    <col width="11.42578125" customWidth="1" style="319" min="6" max="6"/>
    <col width="14.42578125" customWidth="1" style="319" min="7" max="7"/>
    <col width="9.140625" customWidth="1" style="319" min="8" max="11"/>
    <col width="13.5703125" customWidth="1" style="319" min="12" max="12"/>
    <col width="9.140625" customWidth="1" style="319" min="13" max="13"/>
  </cols>
  <sheetData>
    <row r="1">
      <c r="B1" s="307" t="n"/>
      <c r="C1" s="307" t="n"/>
      <c r="D1" s="307" t="n"/>
      <c r="E1" s="307" t="n"/>
    </row>
    <row r="2">
      <c r="B2" s="307" t="n"/>
      <c r="C2" s="307" t="n"/>
      <c r="D2" s="307" t="n"/>
      <c r="E2" s="416" t="inlineStr">
        <is>
          <t>Приложение № 4</t>
        </is>
      </c>
    </row>
    <row r="3">
      <c r="B3" s="307" t="n"/>
      <c r="C3" s="307" t="n"/>
      <c r="D3" s="307" t="n"/>
      <c r="E3" s="307" t="n"/>
    </row>
    <row r="4">
      <c r="B4" s="307" t="n"/>
      <c r="C4" s="307" t="n"/>
      <c r="D4" s="307" t="n"/>
      <c r="E4" s="307" t="n"/>
    </row>
    <row r="5">
      <c r="B5" s="362" t="inlineStr">
        <is>
          <t>Ресурсная модель</t>
        </is>
      </c>
    </row>
    <row r="6">
      <c r="B6" s="225" t="n"/>
      <c r="C6" s="307" t="n"/>
      <c r="D6" s="307" t="n"/>
      <c r="E6" s="307" t="n"/>
    </row>
    <row r="7" ht="25.5" customHeight="1" s="319">
      <c r="B7" s="384" t="inlineStr">
        <is>
          <t>Наименование разрабатываемого показателя УНЦ — ВЧ-обработка и присоединение (ВЧЗ+КС+ФП+РК) на ЛЭП 500 кВ</t>
        </is>
      </c>
    </row>
    <row r="8">
      <c r="B8" s="385" t="inlineStr">
        <is>
          <t>Единица измерения  — 1 ед</t>
        </is>
      </c>
    </row>
    <row r="9">
      <c r="B9" s="225" t="n"/>
      <c r="C9" s="307" t="n"/>
      <c r="D9" s="307" t="n"/>
      <c r="E9" s="307" t="n"/>
    </row>
    <row r="10" ht="51" customHeight="1" s="319">
      <c r="B10" s="393" t="inlineStr">
        <is>
          <t>Наименование</t>
        </is>
      </c>
      <c r="C10" s="393" t="inlineStr">
        <is>
          <t>Сметная стоимость в ценах на 01.01.2023
 (руб.)</t>
        </is>
      </c>
      <c r="D10" s="393" t="inlineStr">
        <is>
          <t>Удельный вес, 
(в СМР)</t>
        </is>
      </c>
      <c r="E10" s="393" t="inlineStr">
        <is>
          <t>Удельный вес, % 
(от всего по РМ)</t>
        </is>
      </c>
    </row>
    <row r="11">
      <c r="B11" s="217" t="inlineStr">
        <is>
          <t>Оплата труда рабочих</t>
        </is>
      </c>
      <c r="C11" s="309">
        <f>'Прил.5 Расчет СМР и ОБ'!J15</f>
        <v/>
      </c>
      <c r="D11" s="219">
        <f>C11/$C$24</f>
        <v/>
      </c>
      <c r="E11" s="219">
        <f>C11/$C$40</f>
        <v/>
      </c>
    </row>
    <row r="12">
      <c r="B12" s="217" t="inlineStr">
        <is>
          <t>Эксплуатация машин основных</t>
        </is>
      </c>
      <c r="C12" s="309">
        <f>'Прил.5 Расчет СМР и ОБ'!J26</f>
        <v/>
      </c>
      <c r="D12" s="219">
        <f>C12/$C$24</f>
        <v/>
      </c>
      <c r="E12" s="219">
        <f>C12/$C$40</f>
        <v/>
      </c>
    </row>
    <row r="13">
      <c r="B13" s="217" t="inlineStr">
        <is>
          <t>Эксплуатация машин прочих</t>
        </is>
      </c>
      <c r="C13" s="309">
        <f>'Прил.5 Расчет СМР и ОБ'!J42</f>
        <v/>
      </c>
      <c r="D13" s="219">
        <f>C13/$C$24</f>
        <v/>
      </c>
      <c r="E13" s="219">
        <f>C13/$C$40</f>
        <v/>
      </c>
    </row>
    <row r="14">
      <c r="B14" s="217" t="inlineStr">
        <is>
          <t>ЭКСПЛУАТАЦИЯ МАШИН, ВСЕГО:</t>
        </is>
      </c>
      <c r="C14" s="309">
        <f>C13+C12</f>
        <v/>
      </c>
      <c r="D14" s="219">
        <f>C14/$C$24</f>
        <v/>
      </c>
      <c r="E14" s="219">
        <f>C14/$C$40</f>
        <v/>
      </c>
    </row>
    <row r="15">
      <c r="B15" s="217" t="inlineStr">
        <is>
          <t>в том числе зарплата машинистов</t>
        </is>
      </c>
      <c r="C15" s="309">
        <f>'Прил.5 Расчет СМР и ОБ'!J17</f>
        <v/>
      </c>
      <c r="D15" s="219">
        <f>C15/$C$24</f>
        <v/>
      </c>
      <c r="E15" s="219">
        <f>C15/$C$40</f>
        <v/>
      </c>
    </row>
    <row r="16">
      <c r="B16" s="217" t="inlineStr">
        <is>
          <t>Материалы основные</t>
        </is>
      </c>
      <c r="C16" s="309">
        <f>'Прил.5 Расчет СМР и ОБ'!J61</f>
        <v/>
      </c>
      <c r="D16" s="219">
        <f>C16/$C$24</f>
        <v/>
      </c>
      <c r="E16" s="219">
        <f>C16/$C$40</f>
        <v/>
      </c>
    </row>
    <row r="17">
      <c r="B17" s="217" t="inlineStr">
        <is>
          <t>Материалы прочие</t>
        </is>
      </c>
      <c r="C17" s="309">
        <f>'Прил.5 Расчет СМР и ОБ'!J111</f>
        <v/>
      </c>
      <c r="D17" s="219">
        <f>C17/$C$24</f>
        <v/>
      </c>
      <c r="E17" s="219">
        <f>C17/$C$40</f>
        <v/>
      </c>
      <c r="G17" s="475" t="n"/>
    </row>
    <row r="18">
      <c r="B18" s="217" t="inlineStr">
        <is>
          <t>МАТЕРИАЛЫ, ВСЕГО:</t>
        </is>
      </c>
      <c r="C18" s="309">
        <f>C17+C16</f>
        <v/>
      </c>
      <c r="D18" s="219">
        <f>C18/$C$24</f>
        <v/>
      </c>
      <c r="E18" s="219">
        <f>C18/$C$40</f>
        <v/>
      </c>
    </row>
    <row r="19">
      <c r="B19" s="217" t="inlineStr">
        <is>
          <t>ИТОГО</t>
        </is>
      </c>
      <c r="C19" s="309">
        <f>C18+C14+C11</f>
        <v/>
      </c>
      <c r="D19" s="219" t="n"/>
      <c r="E19" s="217" t="n"/>
    </row>
    <row r="20">
      <c r="B20" s="217" t="inlineStr">
        <is>
          <t>Сметная прибыль, руб.</t>
        </is>
      </c>
      <c r="C20" s="309">
        <f>ROUND(C21*(C11+C15),2)</f>
        <v/>
      </c>
      <c r="D20" s="219">
        <f>C20/$C$24</f>
        <v/>
      </c>
      <c r="E20" s="219">
        <f>C20/$C$40</f>
        <v/>
      </c>
    </row>
    <row r="21">
      <c r="B21" s="217" t="inlineStr">
        <is>
          <t>Сметная прибыль, %</t>
        </is>
      </c>
      <c r="C21" s="222">
        <f>'Прил.5 Расчет СМР и ОБ'!D115</f>
        <v/>
      </c>
      <c r="D21" s="219" t="n"/>
      <c r="E21" s="217" t="n"/>
    </row>
    <row r="22">
      <c r="B22" s="217" t="inlineStr">
        <is>
          <t>Накладные расходы, руб.</t>
        </is>
      </c>
      <c r="C22" s="309">
        <f>ROUND(C23*(C11+C15),2)</f>
        <v/>
      </c>
      <c r="D22" s="219">
        <f>C22/$C$24</f>
        <v/>
      </c>
      <c r="E22" s="219">
        <f>C22/$C$40</f>
        <v/>
      </c>
    </row>
    <row r="23">
      <c r="B23" s="217" t="inlineStr">
        <is>
          <t>Накладные расходы, %</t>
        </is>
      </c>
      <c r="C23" s="222">
        <f>'Прил.5 Расчет СМР и ОБ'!D114</f>
        <v/>
      </c>
      <c r="D23" s="219" t="n"/>
      <c r="E23" s="217" t="n"/>
    </row>
    <row r="24">
      <c r="B24" s="217" t="inlineStr">
        <is>
          <t>ВСЕГО СМР с НР и СП</t>
        </is>
      </c>
      <c r="C24" s="309">
        <f>C19+C20+C22</f>
        <v/>
      </c>
      <c r="D24" s="219">
        <f>C24/$C$24</f>
        <v/>
      </c>
      <c r="E24" s="219">
        <f>C24/$C$40</f>
        <v/>
      </c>
    </row>
    <row r="25" ht="25.5" customHeight="1" s="319">
      <c r="B25" s="217" t="inlineStr">
        <is>
          <t>ВСЕГО стоимость оборудования, в том числе</t>
        </is>
      </c>
      <c r="C25" s="309">
        <f>'Прил.5 Расчет СМР и ОБ'!J48</f>
        <v/>
      </c>
      <c r="D25" s="219" t="n"/>
      <c r="E25" s="219">
        <f>C25/$C$40</f>
        <v/>
      </c>
    </row>
    <row r="26" ht="25.5" customHeight="1" s="319">
      <c r="B26" s="217" t="inlineStr">
        <is>
          <t>стоимость оборудования технологического</t>
        </is>
      </c>
      <c r="C26" s="309">
        <f>'Прил.5 Расчет СМР и ОБ'!J49</f>
        <v/>
      </c>
      <c r="D26" s="219" t="n"/>
      <c r="E26" s="219">
        <f>C26/$C$40</f>
        <v/>
      </c>
    </row>
    <row r="27">
      <c r="B27" s="217" t="inlineStr">
        <is>
          <t>ИТОГО (СМР + ОБОРУДОВАНИЕ)</t>
        </is>
      </c>
      <c r="C27" s="221">
        <f>C24+C25</f>
        <v/>
      </c>
      <c r="D27" s="219" t="n"/>
      <c r="E27" s="219">
        <f>C27/$C$40</f>
        <v/>
      </c>
    </row>
    <row r="28" ht="33" customHeight="1" s="319">
      <c r="B28" s="217" t="inlineStr">
        <is>
          <t>ПРОЧ. ЗАТР., УЧТЕННЫЕ ПОКАЗАТЕЛЕМ,  в том числе</t>
        </is>
      </c>
      <c r="C28" s="217" t="n"/>
      <c r="D28" s="217" t="n"/>
      <c r="E28" s="217" t="n"/>
      <c r="F28" s="220" t="n"/>
    </row>
    <row r="29" ht="25.5" customHeight="1" s="319">
      <c r="B29" s="217" t="inlineStr">
        <is>
          <t>Временные здания и сооружения - 3,3%</t>
        </is>
      </c>
      <c r="C29" s="221">
        <f>ROUND(C24*3.3%,2)</f>
        <v/>
      </c>
      <c r="D29" s="217" t="n"/>
      <c r="E29" s="219">
        <f>C29/$C$40</f>
        <v/>
      </c>
    </row>
    <row r="30" ht="38.25" customHeight="1" s="319">
      <c r="B30" s="217" t="inlineStr">
        <is>
          <t>Дополнительные затраты при производстве строительно-монтажных работ в зимнее время - 2,1%</t>
        </is>
      </c>
      <c r="C30" s="221">
        <f>ROUND((C24+C29)*2.1%,2)</f>
        <v/>
      </c>
      <c r="D30" s="217" t="n"/>
      <c r="E30" s="219">
        <f>C30/$C$40</f>
        <v/>
      </c>
      <c r="F30" s="220" t="n"/>
    </row>
    <row r="31">
      <c r="B31" s="217" t="inlineStr">
        <is>
          <t>Пусконаладочные работы</t>
        </is>
      </c>
      <c r="C31" s="275" t="n">
        <v>99530</v>
      </c>
      <c r="D31" s="217" t="n"/>
      <c r="E31" s="219">
        <f>C31/$C$40</f>
        <v/>
      </c>
    </row>
    <row r="32" ht="25.5" customHeight="1" s="319">
      <c r="B32" s="217" t="inlineStr">
        <is>
          <t>Затраты по перевозке работников к месту работы и обратно</t>
        </is>
      </c>
      <c r="C32" s="221">
        <f>ROUND($C$27*0,2)</f>
        <v/>
      </c>
      <c r="D32" s="217" t="n"/>
      <c r="E32" s="219">
        <f>C32/$C$40</f>
        <v/>
      </c>
    </row>
    <row r="33" ht="25.5" customHeight="1" s="319">
      <c r="B33" s="217" t="inlineStr">
        <is>
          <t>Затраты, связанные с осуществлением работ вахтовым методом</t>
        </is>
      </c>
      <c r="C33" s="221">
        <f>ROUND($C$27*0,2)</f>
        <v/>
      </c>
      <c r="D33" s="217" t="n"/>
      <c r="E33" s="219">
        <f>C33/$C$40</f>
        <v/>
      </c>
    </row>
    <row r="34" ht="51" customHeight="1" s="319">
      <c r="B34" s="21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21">
        <f>ROUND($C$27*0,2)</f>
        <v/>
      </c>
      <c r="D34" s="217" t="n"/>
      <c r="E34" s="219">
        <f>C34/$C$40</f>
        <v/>
      </c>
      <c r="H34" s="227" t="n"/>
    </row>
    <row r="35" ht="76.5" customHeight="1" s="319">
      <c r="B35" s="21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21">
        <f>ROUND($C$27*0,2)</f>
        <v/>
      </c>
      <c r="D35" s="217" t="n"/>
      <c r="E35" s="271">
        <f>C35/$C$40</f>
        <v/>
      </c>
    </row>
    <row r="36" ht="25.5" customHeight="1" s="319">
      <c r="B36" s="217" t="inlineStr">
        <is>
          <t>Строительный контроль и содержание службы заказчика - 2,14%</t>
        </is>
      </c>
      <c r="C36" s="221">
        <f>ROUND((C27+C32+C33+C34+C35+C29+C31+C30)*2.14%,2)</f>
        <v/>
      </c>
      <c r="D36" s="217" t="n"/>
      <c r="E36" s="271">
        <f>C36/$C$40</f>
        <v/>
      </c>
      <c r="G36" s="273" t="n"/>
      <c r="L36" s="220" t="n"/>
    </row>
    <row r="37">
      <c r="B37" s="217" t="inlineStr">
        <is>
          <t>Авторский надзор - 0,2%</t>
        </is>
      </c>
      <c r="C37" s="221">
        <f>ROUND((C27+C32+C33+C34+C35+C29+C31+C30)*0.2%,2)</f>
        <v/>
      </c>
      <c r="D37" s="217" t="n"/>
      <c r="E37" s="271">
        <f>C37/$C$40</f>
        <v/>
      </c>
      <c r="G37" s="273" t="n"/>
      <c r="L37" s="220" t="n"/>
    </row>
    <row r="38" ht="38.25" customHeight="1" s="319">
      <c r="B38" s="217" t="inlineStr">
        <is>
          <t>ИТОГО (СМР+ОБОРУДОВАНИЕ+ПРОЧ. ЗАТР., УЧТЕННЫЕ ПОКАЗАТЕЛЕМ)</t>
        </is>
      </c>
      <c r="C38" s="309">
        <f>C27+C32+C33+C34+C35+C29+C31+C30+C36+C37</f>
        <v/>
      </c>
      <c r="D38" s="217" t="n"/>
      <c r="E38" s="271">
        <f>C38/$C$40</f>
        <v/>
      </c>
    </row>
    <row r="39" ht="13.5" customHeight="1" s="319">
      <c r="B39" s="217" t="inlineStr">
        <is>
          <t>Непредвиденные расходы</t>
        </is>
      </c>
      <c r="C39" s="309">
        <f>ROUND(C38*3%,2)</f>
        <v/>
      </c>
      <c r="D39" s="217" t="n"/>
      <c r="E39" s="271">
        <f>C39/$C$38</f>
        <v/>
      </c>
    </row>
    <row r="40">
      <c r="B40" s="217" t="inlineStr">
        <is>
          <t>ВСЕГО:</t>
        </is>
      </c>
      <c r="C40" s="309">
        <f>C39+C38</f>
        <v/>
      </c>
      <c r="D40" s="217" t="n"/>
      <c r="E40" s="271">
        <f>C40/$C$40</f>
        <v/>
      </c>
    </row>
    <row r="41">
      <c r="B41" s="217" t="inlineStr">
        <is>
          <t>ИТОГО ПОКАЗАТЕЛЬ НА ЕД. ИЗМ.</t>
        </is>
      </c>
      <c r="C41" s="309">
        <f>C40/'Прил.5 Расчет СМР и ОБ'!E118</f>
        <v/>
      </c>
      <c r="D41" s="217" t="n"/>
      <c r="E41" s="272" t="n"/>
    </row>
    <row r="42">
      <c r="B42" s="311" t="n"/>
      <c r="C42" s="307" t="n"/>
      <c r="D42" s="307" t="n"/>
      <c r="E42" s="307" t="n"/>
    </row>
    <row r="43">
      <c r="B43" s="311" t="inlineStr">
        <is>
          <t>Составил ____________________________ А.Р. Маркова</t>
        </is>
      </c>
      <c r="C43" s="307" t="n"/>
      <c r="D43" s="307" t="n"/>
      <c r="E43" s="307" t="n"/>
    </row>
    <row r="44">
      <c r="B44" s="311" t="inlineStr">
        <is>
          <t xml:space="preserve">(должность, подпись, инициалы, фамилия) </t>
        </is>
      </c>
      <c r="C44" s="307" t="n"/>
      <c r="D44" s="307" t="n"/>
      <c r="E44" s="307" t="n"/>
    </row>
    <row r="45">
      <c r="B45" s="311" t="n"/>
      <c r="C45" s="307" t="n"/>
      <c r="D45" s="307" t="n"/>
      <c r="E45" s="307" t="n"/>
    </row>
    <row r="46">
      <c r="B46" s="311" t="inlineStr">
        <is>
          <t>Проверил ____________________________ А.В. Костянецкая</t>
        </is>
      </c>
      <c r="C46" s="307" t="n"/>
      <c r="D46" s="307" t="n"/>
      <c r="E46" s="307" t="n"/>
    </row>
    <row r="47">
      <c r="B47" s="385" t="inlineStr">
        <is>
          <t>(должность, подпись, инициалы, фамилия)</t>
        </is>
      </c>
      <c r="D47" s="307" t="n"/>
      <c r="E47" s="307" t="n"/>
    </row>
    <row r="49">
      <c r="B49" s="307" t="n"/>
      <c r="C49" s="307" t="n"/>
      <c r="D49" s="307" t="n"/>
      <c r="E49" s="307" t="n"/>
    </row>
    <row r="50">
      <c r="B50" s="307" t="n"/>
      <c r="C50" s="307" t="n"/>
      <c r="D50" s="307" t="n"/>
      <c r="E50" s="30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24"/>
  <sheetViews>
    <sheetView view="pageBreakPreview" topLeftCell="A100" zoomScale="85" zoomScaleSheetLayoutView="85" workbookViewId="0">
      <selection activeCell="D120" sqref="D120"/>
    </sheetView>
  </sheetViews>
  <sheetFormatPr baseColWidth="8" defaultColWidth="9.140625" defaultRowHeight="15" outlineLevelRow="1"/>
  <cols>
    <col width="5.7109375" customWidth="1" style="317" min="1" max="1"/>
    <col width="22.5703125" customWidth="1" style="245" min="2" max="2"/>
    <col width="39.140625" customWidth="1" style="248" min="3" max="3"/>
    <col width="10.7109375" customWidth="1" style="245" min="4" max="4"/>
    <col width="12.7109375" customWidth="1" style="245" min="5" max="5"/>
    <col width="15" customWidth="1" style="252" min="6" max="6"/>
    <col width="14.7109375" customWidth="1" style="252" min="7" max="7"/>
    <col width="12.7109375" customWidth="1" style="252" min="8" max="8"/>
    <col width="13.85546875" customWidth="1" style="252" min="9" max="9"/>
    <col width="17.5703125" customWidth="1" style="252" min="10" max="10"/>
    <col width="10.85546875" customWidth="1" style="317" min="11" max="11"/>
    <col width="9.140625" customWidth="1" style="317" min="12" max="12"/>
    <col width="9.140625" customWidth="1" style="319" min="13" max="13"/>
  </cols>
  <sheetData>
    <row r="1" s="319">
      <c r="A1" s="317" t="n"/>
      <c r="B1" s="245" t="n"/>
      <c r="C1" s="248" t="n"/>
      <c r="D1" s="245" t="n"/>
      <c r="E1" s="245" t="n"/>
      <c r="F1" s="252" t="n"/>
      <c r="G1" s="252" t="n"/>
      <c r="H1" s="252" t="n"/>
      <c r="I1" s="252" t="n"/>
      <c r="J1" s="252" t="n"/>
      <c r="K1" s="317" t="n"/>
      <c r="L1" s="317" t="n"/>
      <c r="M1" s="317" t="n"/>
      <c r="N1" s="317" t="n"/>
    </row>
    <row r="2" ht="15.75" customHeight="1" s="319">
      <c r="A2" s="317" t="n"/>
      <c r="B2" s="245" t="n"/>
      <c r="C2" s="248" t="n"/>
      <c r="D2" s="245" t="n"/>
      <c r="E2" s="245" t="n"/>
      <c r="F2" s="252" t="n"/>
      <c r="G2" s="252" t="n"/>
      <c r="H2" s="411" t="inlineStr">
        <is>
          <t>Приложение №5</t>
        </is>
      </c>
      <c r="K2" s="317" t="n"/>
      <c r="L2" s="317" t="n"/>
      <c r="M2" s="317" t="n"/>
      <c r="N2" s="317" t="n"/>
    </row>
    <row r="3" s="319">
      <c r="A3" s="317" t="n"/>
      <c r="B3" s="245" t="n"/>
      <c r="C3" s="248" t="n"/>
      <c r="D3" s="245" t="n"/>
      <c r="E3" s="245" t="n"/>
      <c r="F3" s="252" t="n"/>
      <c r="G3" s="252" t="n"/>
      <c r="H3" s="252" t="n"/>
      <c r="I3" s="252" t="n"/>
      <c r="J3" s="252" t="n"/>
      <c r="K3" s="317" t="n"/>
      <c r="L3" s="317" t="n"/>
      <c r="M3" s="317" t="n"/>
      <c r="N3" s="317" t="n"/>
    </row>
    <row r="4" ht="12.75" customFormat="1" customHeight="1" s="307">
      <c r="A4" s="362" t="inlineStr">
        <is>
          <t>Расчет стоимости СМР и оборудования</t>
        </is>
      </c>
    </row>
    <row r="5" ht="12.75" customFormat="1" customHeight="1" s="307">
      <c r="A5" s="362" t="n"/>
      <c r="B5" s="362" t="n"/>
      <c r="C5" s="246" t="n"/>
      <c r="D5" s="362" t="n"/>
      <c r="E5" s="362" t="n"/>
      <c r="F5" s="362" t="n"/>
      <c r="G5" s="362" t="n"/>
      <c r="H5" s="362" t="n"/>
      <c r="I5" s="362" t="n"/>
      <c r="J5" s="362" t="n"/>
    </row>
    <row r="6" ht="26.45" customFormat="1" customHeight="1" s="307">
      <c r="A6" s="191" t="inlineStr">
        <is>
          <t>Наименование разрабатываемого показателя УНЦ</t>
        </is>
      </c>
      <c r="B6" s="415" t="n"/>
      <c r="C6" s="365" t="n"/>
      <c r="D6" s="415" t="inlineStr">
        <is>
          <t>ВЧ-обработка и присоединение (ВЧЗ+КС+ФП+РК) на ЛЭП 500 кВ</t>
        </is>
      </c>
    </row>
    <row r="7" ht="12.75" customFormat="1" customHeight="1" s="307">
      <c r="A7" s="365" t="inlineStr">
        <is>
          <t>Единица измерения  — 1 ед</t>
        </is>
      </c>
      <c r="I7" s="384" t="n"/>
      <c r="J7" s="384" t="n"/>
    </row>
    <row r="8" ht="13.5" customFormat="1" customHeight="1" s="307">
      <c r="A8" s="365" t="n"/>
      <c r="I8" s="311" t="n"/>
      <c r="J8" s="311" t="n"/>
    </row>
    <row r="9" ht="13.15" customFormat="1" customHeight="1" s="307">
      <c r="B9" s="1" t="n"/>
      <c r="C9" s="385" t="n"/>
      <c r="D9" s="1" t="n"/>
      <c r="E9" s="1" t="n"/>
      <c r="F9" s="311" t="n"/>
      <c r="G9" s="311" t="n"/>
      <c r="H9" s="311" t="n"/>
      <c r="I9" s="311" t="n"/>
      <c r="J9" s="311" t="n"/>
    </row>
    <row r="10" ht="27" customHeight="1" s="319">
      <c r="A10" s="393" t="inlineStr">
        <is>
          <t>№ пп.</t>
        </is>
      </c>
      <c r="B10" s="393" t="inlineStr">
        <is>
          <t>Код ресурса</t>
        </is>
      </c>
      <c r="C10" s="393" t="inlineStr">
        <is>
          <t>Наименование</t>
        </is>
      </c>
      <c r="D10" s="393" t="inlineStr">
        <is>
          <t>Ед. изм.</t>
        </is>
      </c>
      <c r="E10" s="393" t="inlineStr">
        <is>
          <t>Кол-во единиц по проектным данным</t>
        </is>
      </c>
      <c r="F10" s="393" t="inlineStr">
        <is>
          <t>Сметная стоимость в ценах на 01.01.2000 (руб.)</t>
        </is>
      </c>
      <c r="G10" s="468" t="n"/>
      <c r="H10" s="393" t="inlineStr">
        <is>
          <t>Удельный вес, %</t>
        </is>
      </c>
      <c r="I10" s="393" t="inlineStr">
        <is>
          <t>Сметная стоимость в ценах на 01.01.2023 (руб.)</t>
        </is>
      </c>
      <c r="J10" s="468" t="n"/>
      <c r="K10" s="317" t="n"/>
      <c r="L10" s="317" t="n"/>
      <c r="M10" s="317" t="n"/>
      <c r="N10" s="317" t="n"/>
    </row>
    <row r="11" ht="28.5" customHeight="1" s="319">
      <c r="A11" s="470" t="n"/>
      <c r="B11" s="470" t="n"/>
      <c r="C11" s="470" t="n"/>
      <c r="D11" s="470" t="n"/>
      <c r="E11" s="470" t="n"/>
      <c r="F11" s="393" t="inlineStr">
        <is>
          <t>на ед. изм.</t>
        </is>
      </c>
      <c r="G11" s="393" t="inlineStr">
        <is>
          <t>общая</t>
        </is>
      </c>
      <c r="H11" s="470" t="n"/>
      <c r="I11" s="393" t="inlineStr">
        <is>
          <t>на ед. изм.</t>
        </is>
      </c>
      <c r="J11" s="393" t="inlineStr">
        <is>
          <t>общая</t>
        </is>
      </c>
      <c r="K11" s="317" t="n"/>
      <c r="L11" s="317" t="n"/>
      <c r="M11" s="317" t="n"/>
      <c r="N11" s="317" t="n"/>
    </row>
    <row r="12" s="319">
      <c r="A12" s="393" t="n">
        <v>1</v>
      </c>
      <c r="B12" s="393" t="n">
        <v>2</v>
      </c>
      <c r="C12" s="392" t="n">
        <v>3</v>
      </c>
      <c r="D12" s="393" t="n">
        <v>4</v>
      </c>
      <c r="E12" s="393" t="n">
        <v>5</v>
      </c>
      <c r="F12" s="393" t="n">
        <v>6</v>
      </c>
      <c r="G12" s="393" t="n">
        <v>7</v>
      </c>
      <c r="H12" s="393" t="n">
        <v>8</v>
      </c>
      <c r="I12" s="398" t="n">
        <v>9</v>
      </c>
      <c r="J12" s="398" t="n">
        <v>10</v>
      </c>
      <c r="K12" s="317" t="n"/>
      <c r="L12" s="317" t="n"/>
      <c r="M12" s="317" t="n"/>
      <c r="N12" s="317" t="n"/>
    </row>
    <row r="13">
      <c r="A13" s="393" t="n"/>
      <c r="B13" s="391" t="inlineStr">
        <is>
          <t>Затраты труда рабочих-строителей</t>
        </is>
      </c>
      <c r="C13" s="467" t="n"/>
      <c r="D13" s="467" t="n"/>
      <c r="E13" s="467" t="n"/>
      <c r="F13" s="467" t="n"/>
      <c r="G13" s="467" t="n"/>
      <c r="H13" s="468" t="n"/>
      <c r="I13" s="253" t="n"/>
      <c r="J13" s="253" t="n"/>
    </row>
    <row r="14" ht="25.5" customHeight="1" s="319">
      <c r="A14" s="393" t="n">
        <v>1</v>
      </c>
      <c r="B14" s="189" t="inlineStr">
        <is>
          <t>1-3-5</t>
        </is>
      </c>
      <c r="C14" s="392" t="inlineStr">
        <is>
          <t>Затраты труда рабочих-строителей среднего разряда (3,5)</t>
        </is>
      </c>
      <c r="D14" s="393" t="inlineStr">
        <is>
          <t>чел.-ч.</t>
        </is>
      </c>
      <c r="E14" s="476">
        <f>G14/F14</f>
        <v/>
      </c>
      <c r="F14" s="186" t="n">
        <v>9.07</v>
      </c>
      <c r="G14" s="186">
        <f>Прил.3!H10</f>
        <v/>
      </c>
      <c r="H14" s="188">
        <f>G14/G15</f>
        <v/>
      </c>
      <c r="I14" s="186">
        <f>ФОТр.тек.!E13</f>
        <v/>
      </c>
      <c r="J14" s="186">
        <f>ROUND(I14*E14,2)</f>
        <v/>
      </c>
    </row>
    <row r="15" ht="25.5" customFormat="1" customHeight="1" s="317">
      <c r="A15" s="393" t="n"/>
      <c r="B15" s="393" t="n"/>
      <c r="C15" s="391" t="inlineStr">
        <is>
          <t>Итого по разделу "Затраты труда рабочих-строителей"</t>
        </is>
      </c>
      <c r="D15" s="393" t="inlineStr">
        <is>
          <t>чел.-ч.</t>
        </is>
      </c>
      <c r="E15" s="476">
        <f>SUM(E14:E14)</f>
        <v/>
      </c>
      <c r="F15" s="186" t="n"/>
      <c r="G15" s="186">
        <f>SUM(G14:G14)</f>
        <v/>
      </c>
      <c r="H15" s="396" t="n">
        <v>1</v>
      </c>
      <c r="I15" s="253" t="n"/>
      <c r="J15" s="186">
        <f>SUM(J14:J14)</f>
        <v/>
      </c>
    </row>
    <row r="16" ht="14.25" customFormat="1" customHeight="1" s="317">
      <c r="A16" s="393" t="n"/>
      <c r="B16" s="392" t="inlineStr">
        <is>
          <t>Затраты труда машинистов</t>
        </is>
      </c>
      <c r="C16" s="467" t="n"/>
      <c r="D16" s="467" t="n"/>
      <c r="E16" s="467" t="n"/>
      <c r="F16" s="467" t="n"/>
      <c r="G16" s="467" t="n"/>
      <c r="H16" s="468" t="n"/>
      <c r="I16" s="253" t="n"/>
      <c r="J16" s="253" t="n"/>
    </row>
    <row r="17" ht="14.25" customFormat="1" customHeight="1" s="317">
      <c r="A17" s="393" t="n">
        <v>2</v>
      </c>
      <c r="B17" s="393" t="n">
        <v>2</v>
      </c>
      <c r="C17" s="392" t="inlineStr">
        <is>
          <t>Затраты труда машинистов</t>
        </is>
      </c>
      <c r="D17" s="393" t="inlineStr">
        <is>
          <t>чел.-ч.</t>
        </is>
      </c>
      <c r="E17" s="476" t="n">
        <v>17.5132424</v>
      </c>
      <c r="F17" s="186">
        <f>G17/E17</f>
        <v/>
      </c>
      <c r="G17" s="186">
        <f>Прил.3!H22</f>
        <v/>
      </c>
      <c r="H17" s="396" t="n">
        <v>1</v>
      </c>
      <c r="I17" s="186">
        <f>ROUND(F17*Прил.10!D11,2)</f>
        <v/>
      </c>
      <c r="J17" s="186">
        <f>ROUND(I17*E17,2)</f>
        <v/>
      </c>
    </row>
    <row r="18" ht="14.25" customFormat="1" customHeight="1" s="317">
      <c r="A18" s="393" t="n"/>
      <c r="B18" s="391" t="inlineStr">
        <is>
          <t>Машины и механизмы</t>
        </is>
      </c>
      <c r="C18" s="467" t="n"/>
      <c r="D18" s="467" t="n"/>
      <c r="E18" s="467" t="n"/>
      <c r="F18" s="467" t="n"/>
      <c r="G18" s="467" t="n"/>
      <c r="H18" s="468" t="n"/>
      <c r="I18" s="253" t="n"/>
      <c r="J18" s="253" t="n"/>
    </row>
    <row r="19" ht="14.25" customFormat="1" customHeight="1" s="317">
      <c r="A19" s="393" t="n"/>
      <c r="B19" s="397" t="inlineStr">
        <is>
          <t>Основные машины и механизмы</t>
        </is>
      </c>
      <c r="C19" s="477" t="n"/>
      <c r="D19" s="477" t="n"/>
      <c r="E19" s="477" t="n"/>
      <c r="F19" s="477" t="n"/>
      <c r="G19" s="477" t="n"/>
      <c r="H19" s="478" t="n"/>
      <c r="I19" s="254" t="n"/>
      <c r="J19" s="254" t="n"/>
    </row>
    <row r="20" ht="25.5" customFormat="1" customHeight="1" s="317">
      <c r="A20" s="412" t="n">
        <v>3</v>
      </c>
      <c r="B20" s="288" t="inlineStr">
        <is>
          <t>91.05.05-015</t>
        </is>
      </c>
      <c r="C20" s="277" t="inlineStr">
        <is>
          <t>Краны на автомобильном ходу, грузоподъемность 16 т</t>
        </is>
      </c>
      <c r="D20" s="288" t="inlineStr">
        <is>
          <t>маш.-ч.</t>
        </is>
      </c>
      <c r="E20" s="479" t="n">
        <v>6.5939024</v>
      </c>
      <c r="F20" s="277" t="n">
        <v>115.4</v>
      </c>
      <c r="G20" s="395">
        <f>ROUND(E20*F20,2)</f>
        <v/>
      </c>
      <c r="H20" s="188">
        <f>G20/$G$43</f>
        <v/>
      </c>
      <c r="I20" s="241">
        <f>ROUND(F20*Прил.10!$D$12,2)</f>
        <v/>
      </c>
      <c r="J20" s="241">
        <f>ROUND(I20*E20,2)</f>
        <v/>
      </c>
    </row>
    <row r="21" ht="25.5" customFormat="1" customHeight="1" s="317">
      <c r="A21" s="412" t="n">
        <v>4</v>
      </c>
      <c r="B21" s="288" t="inlineStr">
        <is>
          <t>91.14.03-002</t>
        </is>
      </c>
      <c r="C21" s="277" t="inlineStr">
        <is>
          <t>Автомобили-самосвалы, грузоподъемность до 10 т</t>
        </is>
      </c>
      <c r="D21" s="288" t="inlineStr">
        <is>
          <t>маш.-ч.</t>
        </is>
      </c>
      <c r="E21" s="479" t="n">
        <v>4.1</v>
      </c>
      <c r="F21" s="277" t="n">
        <v>87.48999999999999</v>
      </c>
      <c r="G21" s="395">
        <f>ROUND(E21*F21,2)</f>
        <v/>
      </c>
      <c r="H21" s="188">
        <f>G21/$G$43</f>
        <v/>
      </c>
      <c r="I21" s="241">
        <f>ROUND(F21*Прил.10!$D$12,2)</f>
        <v/>
      </c>
      <c r="J21" s="241">
        <f>ROUND(I21*E21,2)</f>
        <v/>
      </c>
      <c r="L21" s="26" t="n"/>
    </row>
    <row r="22" ht="25.5" customFormat="1" customHeight="1" s="317">
      <c r="A22" s="412" t="n">
        <v>5</v>
      </c>
      <c r="B22" s="288" t="inlineStr">
        <is>
          <t>91.01.05-085</t>
        </is>
      </c>
      <c r="C22" s="277" t="inlineStr">
        <is>
          <t>Экскаваторы одноковшовые дизельные на гусеничном ходу, емкость ковша 0,5 м3</t>
        </is>
      </c>
      <c r="D22" s="288" t="inlineStr">
        <is>
          <t>маш.-ч.</t>
        </is>
      </c>
      <c r="E22" s="479" t="n">
        <v>2.4324</v>
      </c>
      <c r="F22" s="277" t="n">
        <v>100</v>
      </c>
      <c r="G22" s="395">
        <f>ROUND(E22*F22,2)</f>
        <v/>
      </c>
      <c r="H22" s="188">
        <f>G22/$G$43</f>
        <v/>
      </c>
      <c r="I22" s="241">
        <f>ROUND(F22*Прил.10!$D$12,2)</f>
        <v/>
      </c>
      <c r="J22" s="241">
        <f>ROUND(I22*E22,2)</f>
        <v/>
      </c>
    </row>
    <row r="23" ht="25.5" customFormat="1" customHeight="1" s="317">
      <c r="A23" s="412" t="n">
        <v>6</v>
      </c>
      <c r="B23" s="288" t="inlineStr">
        <is>
          <t>91.06.06-012</t>
        </is>
      </c>
      <c r="C23" s="277" t="inlineStr">
        <is>
          <t>Автогидроподъемники, высота подъема 18 м</t>
        </is>
      </c>
      <c r="D23" s="288" t="inlineStr">
        <is>
          <t>маш.-ч.</t>
        </is>
      </c>
      <c r="E23" s="479" t="n">
        <v>2.04</v>
      </c>
      <c r="F23" s="277" t="n">
        <v>113.14</v>
      </c>
      <c r="G23" s="395">
        <f>ROUND(E23*F23,2)</f>
        <v/>
      </c>
      <c r="H23" s="188">
        <f>G23/$G$43</f>
        <v/>
      </c>
      <c r="I23" s="241">
        <f>ROUND(F23*Прил.10!$D$12,2)</f>
        <v/>
      </c>
      <c r="J23" s="241">
        <f>ROUND(I23*E23,2)</f>
        <v/>
      </c>
    </row>
    <row r="24" ht="25.5" customFormat="1" customHeight="1" s="317">
      <c r="A24" s="412" t="n">
        <v>7</v>
      </c>
      <c r="B24" s="288" t="inlineStr">
        <is>
          <t>91.14.02-001</t>
        </is>
      </c>
      <c r="C24" s="277" t="inlineStr">
        <is>
          <t>Автомобили бортовые, грузоподъемность до 5 т</t>
        </is>
      </c>
      <c r="D24" s="288" t="inlineStr">
        <is>
          <t>маш.-ч.</t>
        </is>
      </c>
      <c r="E24" s="479" t="n">
        <v>3.1137288</v>
      </c>
      <c r="F24" s="277" t="n">
        <v>65.7</v>
      </c>
      <c r="G24" s="395">
        <f>ROUND(E24*F24,2)</f>
        <v/>
      </c>
      <c r="H24" s="188">
        <f>G24/$G$43</f>
        <v/>
      </c>
      <c r="I24" s="241">
        <f>ROUND(F24*Прил.10!$D$12,2)</f>
        <v/>
      </c>
      <c r="J24" s="241">
        <f>ROUND(I24*E24,2)</f>
        <v/>
      </c>
    </row>
    <row r="25" ht="51" customFormat="1" customHeight="1" s="317">
      <c r="A25" s="412" t="n">
        <v>8</v>
      </c>
      <c r="B25" s="288" t="inlineStr">
        <is>
          <t>91.18.01-007</t>
        </is>
      </c>
      <c r="C25" s="277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5" s="288" t="inlineStr">
        <is>
          <t>маш.-ч.</t>
        </is>
      </c>
      <c r="E25" s="479" t="n">
        <v>1.358208</v>
      </c>
      <c r="F25" s="277" t="n">
        <v>90</v>
      </c>
      <c r="G25" s="395">
        <f>ROUND(E25*F25,2)</f>
        <v/>
      </c>
      <c r="H25" s="188">
        <f>G25/$G$43</f>
        <v/>
      </c>
      <c r="I25" s="241">
        <f>ROUND(F25*Прил.10!$D$12,2)</f>
        <v/>
      </c>
      <c r="J25" s="241">
        <f>ROUND(I25*E25,2)</f>
        <v/>
      </c>
    </row>
    <row r="26" ht="14.25" customFormat="1" customHeight="1" s="317">
      <c r="A26" s="414" t="n"/>
      <c r="B26" s="414" t="n"/>
      <c r="C26" s="239" t="inlineStr">
        <is>
          <t>Итого основные машины и механизмы</t>
        </is>
      </c>
      <c r="D26" s="414" t="n"/>
      <c r="E26" s="480" t="n"/>
      <c r="F26" s="243" t="n"/>
      <c r="G26" s="243">
        <f>SUM(G20:G25)</f>
        <v/>
      </c>
      <c r="H26" s="179">
        <f>G26/G43</f>
        <v/>
      </c>
      <c r="I26" s="180" t="n"/>
      <c r="J26" s="243">
        <f>SUM(J20:J25)</f>
        <v/>
      </c>
    </row>
    <row r="27" outlineLevel="1" ht="25.5" customFormat="1" customHeight="1" s="317">
      <c r="A27" s="393" t="n">
        <v>9</v>
      </c>
      <c r="B27" s="288" t="inlineStr">
        <is>
          <t>91.05.06-012</t>
        </is>
      </c>
      <c r="C27" s="277" t="inlineStr">
        <is>
          <t>Краны на гусеничном ходу, грузоподъемность до 16 т</t>
        </is>
      </c>
      <c r="D27" s="288" t="inlineStr">
        <is>
          <t>маш.-ч.</t>
        </is>
      </c>
      <c r="E27" s="479" t="n">
        <v>1.230656</v>
      </c>
      <c r="F27" s="277" t="n">
        <v>96.89</v>
      </c>
      <c r="G27" s="186">
        <f>ROUND(E27*F27,2)</f>
        <v/>
      </c>
      <c r="H27" s="188">
        <f>G27/$G$43</f>
        <v/>
      </c>
      <c r="I27" s="186">
        <f>ROUND(F27*Прил.10!$D$12,2)</f>
        <v/>
      </c>
      <c r="J27" s="186">
        <f>ROUND(I27*E27,2)</f>
        <v/>
      </c>
    </row>
    <row r="28" outlineLevel="1" ht="25.5" customFormat="1" customHeight="1" s="317">
      <c r="A28" s="393" t="n">
        <v>10</v>
      </c>
      <c r="B28" s="288" t="inlineStr">
        <is>
          <t>91.17.04-233</t>
        </is>
      </c>
      <c r="C28" s="277" t="inlineStr">
        <is>
          <t>Установки для сварки ручной дуговой (постоянного тока)</t>
        </is>
      </c>
      <c r="D28" s="288" t="inlineStr">
        <is>
          <t>маш.-ч.</t>
        </is>
      </c>
      <c r="E28" s="479" t="n">
        <v>10.0516128</v>
      </c>
      <c r="F28" s="277" t="n">
        <v>8.1</v>
      </c>
      <c r="G28" s="186">
        <f>ROUND(E28*F28,2)</f>
        <v/>
      </c>
      <c r="H28" s="188">
        <f>G28/$G$43</f>
        <v/>
      </c>
      <c r="I28" s="186">
        <f>ROUND(F28*Прил.10!$D$12,2)</f>
        <v/>
      </c>
      <c r="J28" s="186">
        <f>ROUND(I28*E28,2)</f>
        <v/>
      </c>
    </row>
    <row r="29" outlineLevel="1" ht="38.25" customFormat="1" customHeight="1" s="317">
      <c r="A29" s="393" t="n">
        <v>11</v>
      </c>
      <c r="B29" s="288" t="inlineStr">
        <is>
          <t>91.06.05-057</t>
        </is>
      </c>
      <c r="C29" s="277" t="inlineStr">
        <is>
          <t>Погрузчики одноковшовые универсальные фронтальные пневмоколесные, грузоподъемность 3 т</t>
        </is>
      </c>
      <c r="D29" s="288" t="inlineStr">
        <is>
          <t>маш.-ч.</t>
        </is>
      </c>
      <c r="E29" s="479" t="n">
        <v>0.35</v>
      </c>
      <c r="F29" s="277" t="n">
        <v>90.43000000000001</v>
      </c>
      <c r="G29" s="186">
        <f>ROUND(E29*F29,2)</f>
        <v/>
      </c>
      <c r="H29" s="188">
        <f>G29/$G$43</f>
        <v/>
      </c>
      <c r="I29" s="186">
        <f>ROUND(F29*Прил.10!$D$12,2)</f>
        <v/>
      </c>
      <c r="J29" s="186">
        <f>ROUND(I29*E29,2)</f>
        <v/>
      </c>
    </row>
    <row r="30" outlineLevel="1" ht="25.5" customFormat="1" customHeight="1" s="317">
      <c r="A30" s="393" t="n">
        <v>12</v>
      </c>
      <c r="B30" s="288" t="inlineStr">
        <is>
          <t>91.06.03-061</t>
        </is>
      </c>
      <c r="C30" s="277" t="inlineStr">
        <is>
          <t>Лебедки электрические тяговым усилием до 12,26 кН (1,25 т)</t>
        </is>
      </c>
      <c r="D30" s="288" t="inlineStr">
        <is>
          <t>маш.-ч.</t>
        </is>
      </c>
      <c r="E30" s="479" t="n">
        <v>7.68</v>
      </c>
      <c r="F30" s="277" t="n">
        <v>3.28</v>
      </c>
      <c r="G30" s="186">
        <f>ROUND(E30*F30,2)</f>
        <v/>
      </c>
      <c r="H30" s="188">
        <f>G30/$G$43</f>
        <v/>
      </c>
      <c r="I30" s="186">
        <f>ROUND(F30*Прил.10!$D$12,2)</f>
        <v/>
      </c>
      <c r="J30" s="186">
        <f>ROUND(I30*E30,2)</f>
        <v/>
      </c>
    </row>
    <row r="31" outlineLevel="1" ht="14.25" customFormat="1" customHeight="1" s="317">
      <c r="A31" s="393" t="n">
        <v>13</v>
      </c>
      <c r="B31" s="288" t="inlineStr">
        <is>
          <t>91.05.01-017</t>
        </is>
      </c>
      <c r="C31" s="277" t="inlineStr">
        <is>
          <t>Краны башенные, грузоподъемность 8 т</t>
        </is>
      </c>
      <c r="D31" s="288" t="inlineStr">
        <is>
          <t>маш.-ч.</t>
        </is>
      </c>
      <c r="E31" s="479" t="n">
        <v>0.216</v>
      </c>
      <c r="F31" s="277" t="n">
        <v>86.39</v>
      </c>
      <c r="G31" s="186">
        <f>ROUND(E31*F31,2)</f>
        <v/>
      </c>
      <c r="H31" s="188">
        <f>G31/$G$43</f>
        <v/>
      </c>
      <c r="I31" s="186">
        <f>ROUND(F31*Прил.10!$D$12,2)</f>
        <v/>
      </c>
      <c r="J31" s="186">
        <f>ROUND(I31*E31,2)</f>
        <v/>
      </c>
    </row>
    <row r="32" outlineLevel="1" ht="14.25" customFormat="1" customHeight="1" s="317">
      <c r="A32" s="393" t="n">
        <v>14</v>
      </c>
      <c r="B32" s="288" t="inlineStr">
        <is>
          <t>91.08.04-021</t>
        </is>
      </c>
      <c r="C32" s="277" t="inlineStr">
        <is>
          <t>Котлы битумные передвижные 400 л</t>
        </is>
      </c>
      <c r="D32" s="288" t="inlineStr">
        <is>
          <t>маш.-ч.</t>
        </is>
      </c>
      <c r="E32" s="479" t="n">
        <v>0.57252</v>
      </c>
      <c r="F32" s="277" t="n">
        <v>30.01</v>
      </c>
      <c r="G32" s="186">
        <f>ROUND(E32*F32,2)</f>
        <v/>
      </c>
      <c r="H32" s="188">
        <f>G32/$G$43</f>
        <v/>
      </c>
      <c r="I32" s="186">
        <f>ROUND(F32*Прил.10!$D$12,2)</f>
        <v/>
      </c>
      <c r="J32" s="186">
        <f>ROUND(I32*E32,2)</f>
        <v/>
      </c>
    </row>
    <row r="33" outlineLevel="1" ht="14.25" customFormat="1" customHeight="1" s="317">
      <c r="A33" s="393" t="n">
        <v>15</v>
      </c>
      <c r="B33" s="288" t="inlineStr">
        <is>
          <t>91.01.01-035</t>
        </is>
      </c>
      <c r="C33" s="277" t="inlineStr">
        <is>
          <t>Бульдозеры, мощность 79 кВт (108 л.с.)</t>
        </is>
      </c>
      <c r="D33" s="288" t="inlineStr">
        <is>
          <t>маш.-ч.</t>
        </is>
      </c>
      <c r="E33" s="479" t="n">
        <v>0.1648512</v>
      </c>
      <c r="F33" s="277" t="n">
        <v>79.04000000000001</v>
      </c>
      <c r="G33" s="186">
        <f>ROUND(E33*F33,2)</f>
        <v/>
      </c>
      <c r="H33" s="188">
        <f>G33/$G$43</f>
        <v/>
      </c>
      <c r="I33" s="186">
        <f>ROUND(F33*Прил.10!$D$12,2)</f>
        <v/>
      </c>
      <c r="J33" s="186">
        <f>ROUND(I33*E33,2)</f>
        <v/>
      </c>
    </row>
    <row r="34" outlineLevel="1" ht="25.5" customFormat="1" customHeight="1" s="317">
      <c r="A34" s="393" t="n">
        <v>16</v>
      </c>
      <c r="B34" s="288" t="inlineStr">
        <is>
          <t>91.08.09-024</t>
        </is>
      </c>
      <c r="C34" s="277" t="inlineStr">
        <is>
          <t>Трамбовки пневматические при работе от стационарного компрессора</t>
        </is>
      </c>
      <c r="D34" s="288" t="inlineStr">
        <is>
          <t>маш.-ч.</t>
        </is>
      </c>
      <c r="E34" s="479" t="n">
        <v>2</v>
      </c>
      <c r="F34" s="277" t="n">
        <v>4.9</v>
      </c>
      <c r="G34" s="186">
        <f>ROUND(E34*F34,2)</f>
        <v/>
      </c>
      <c r="H34" s="188">
        <f>G34/$G$43</f>
        <v/>
      </c>
      <c r="I34" s="186">
        <f>ROUND(F34*Прил.10!$D$12,2)</f>
        <v/>
      </c>
      <c r="J34" s="186">
        <f>ROUND(I34*E34,2)</f>
        <v/>
      </c>
    </row>
    <row r="35" outlineLevel="1" ht="25.5" customFormat="1" customHeight="1" s="317">
      <c r="A35" s="393" t="n">
        <v>17</v>
      </c>
      <c r="B35" s="288" t="inlineStr">
        <is>
          <t>91.06.01-003</t>
        </is>
      </c>
      <c r="C35" s="277" t="inlineStr">
        <is>
          <t>Домкраты гидравлические, грузоподъемность 63-100 т</t>
        </is>
      </c>
      <c r="D35" s="288" t="inlineStr">
        <is>
          <t>маш.-ч.</t>
        </is>
      </c>
      <c r="E35" s="479" t="n">
        <v>7.68</v>
      </c>
      <c r="F35" s="277" t="n">
        <v>0.9</v>
      </c>
      <c r="G35" s="186">
        <f>ROUND(E35*F35,2)</f>
        <v/>
      </c>
      <c r="H35" s="188">
        <f>G35/$G$43</f>
        <v/>
      </c>
      <c r="I35" s="186">
        <f>ROUND(F35*Прил.10!$D$12,2)</f>
        <v/>
      </c>
      <c r="J35" s="186">
        <f>ROUND(I35*E35,2)</f>
        <v/>
      </c>
    </row>
    <row r="36" outlineLevel="1" ht="25.5" customFormat="1" customHeight="1" s="317">
      <c r="A36" s="393" t="n">
        <v>18</v>
      </c>
      <c r="B36" s="288" t="inlineStr">
        <is>
          <t>91.06.03-060</t>
        </is>
      </c>
      <c r="C36" s="277" t="inlineStr">
        <is>
          <t>Лебедки электрические тяговым усилием до 5,79 кН (0,59 т)</t>
        </is>
      </c>
      <c r="D36" s="288" t="inlineStr">
        <is>
          <t>маш.-ч.</t>
        </is>
      </c>
      <c r="E36" s="479" t="n">
        <v>2.040144</v>
      </c>
      <c r="F36" s="277" t="n">
        <v>1.7</v>
      </c>
      <c r="G36" s="186">
        <f>ROUND(E36*F36,2)</f>
        <v/>
      </c>
      <c r="H36" s="188">
        <f>G36/$G$43</f>
        <v/>
      </c>
      <c r="I36" s="186">
        <f>ROUND(F36*Прил.10!$D$12,2)</f>
        <v/>
      </c>
      <c r="J36" s="186">
        <f>ROUND(I36*E36,2)</f>
        <v/>
      </c>
    </row>
    <row r="37" outlineLevel="1" ht="25.5" customFormat="1" customHeight="1" s="317">
      <c r="A37" s="393" t="n">
        <v>19</v>
      </c>
      <c r="B37" s="288" t="inlineStr">
        <is>
          <t>91.08.09-023</t>
        </is>
      </c>
      <c r="C37" s="277" t="inlineStr">
        <is>
          <t>Трамбовки пневматические при работе от передвижных компрессорных станций</t>
        </is>
      </c>
      <c r="D37" s="288" t="inlineStr">
        <is>
          <t>маш.-ч.</t>
        </is>
      </c>
      <c r="E37" s="479" t="n">
        <v>5.4432</v>
      </c>
      <c r="F37" s="277" t="n">
        <v>0.55</v>
      </c>
      <c r="G37" s="186">
        <f>ROUND(E37*F37,2)</f>
        <v/>
      </c>
      <c r="H37" s="188">
        <f>G37/$G$43</f>
        <v/>
      </c>
      <c r="I37" s="186">
        <f>ROUND(F37*Прил.10!$D$12,2)</f>
        <v/>
      </c>
      <c r="J37" s="186">
        <f>ROUND(I37*E37,2)</f>
        <v/>
      </c>
    </row>
    <row r="38" outlineLevel="1" ht="14.25" customFormat="1" customHeight="1" s="317">
      <c r="A38" s="393" t="n">
        <v>20</v>
      </c>
      <c r="B38" s="288" t="inlineStr">
        <is>
          <t>91.07.04-001</t>
        </is>
      </c>
      <c r="C38" s="277" t="inlineStr">
        <is>
          <t>Вибраторы глубинные</t>
        </is>
      </c>
      <c r="D38" s="288" t="inlineStr">
        <is>
          <t>маш.-ч.</t>
        </is>
      </c>
      <c r="E38" s="479" t="n">
        <v>0.9112</v>
      </c>
      <c r="F38" s="277" t="n">
        <v>1.9</v>
      </c>
      <c r="G38" s="186">
        <f>ROUND(E38*F38,2)</f>
        <v/>
      </c>
      <c r="H38" s="188">
        <f>G38/$G$43</f>
        <v/>
      </c>
      <c r="I38" s="186">
        <f>ROUND(F38*Прил.10!$D$12,2)</f>
        <v/>
      </c>
      <c r="J38" s="186">
        <f>ROUND(I38*E38,2)</f>
        <v/>
      </c>
    </row>
    <row r="39" outlineLevel="1" ht="14.25" customFormat="1" customHeight="1" s="317">
      <c r="A39" s="393" t="n">
        <v>21</v>
      </c>
      <c r="B39" s="288" t="inlineStr">
        <is>
          <t>91.06.05-011</t>
        </is>
      </c>
      <c r="C39" s="277" t="inlineStr">
        <is>
          <t>Погрузчики, грузоподъемность 5 т</t>
        </is>
      </c>
      <c r="D39" s="288" t="inlineStr">
        <is>
          <t>маш.-ч.</t>
        </is>
      </c>
      <c r="E39" s="479" t="n">
        <v>0.013496</v>
      </c>
      <c r="F39" s="277" t="n">
        <v>89.66</v>
      </c>
      <c r="G39" s="186">
        <f>ROUND(E39*F39,2)</f>
        <v/>
      </c>
      <c r="H39" s="188">
        <f>G39/$G$43</f>
        <v/>
      </c>
      <c r="I39" s="186">
        <f>ROUND(F39*Прил.10!$D$12,2)</f>
        <v/>
      </c>
      <c r="J39" s="186">
        <f>ROUND(I39*E39,2)</f>
        <v/>
      </c>
    </row>
    <row r="40" outlineLevel="1" ht="38.25" customFormat="1" customHeight="1" s="317">
      <c r="A40" s="393" t="n">
        <v>22</v>
      </c>
      <c r="B40" s="288" t="inlineStr">
        <is>
          <t>91.21.01-012</t>
        </is>
      </c>
      <c r="C40" s="277" t="inlineStr">
        <is>
          <t>Агрегаты окрасочные высокого давления для окраски поверхностей конструкций, мощность 1 кВт</t>
        </is>
      </c>
      <c r="D40" s="288" t="inlineStr">
        <is>
          <t>маш.-ч.</t>
        </is>
      </c>
      <c r="E40" s="479" t="n">
        <v>0.01416</v>
      </c>
      <c r="F40" s="277" t="n">
        <v>7.06</v>
      </c>
      <c r="G40" s="186">
        <f>ROUND(E40*F40,2)</f>
        <v/>
      </c>
      <c r="H40" s="188">
        <f>G40/$G$43</f>
        <v/>
      </c>
      <c r="I40" s="186">
        <f>ROUND(F40*Прил.10!$D$12,2)</f>
        <v/>
      </c>
      <c r="J40" s="186">
        <f>ROUND(I40*E40,2)</f>
        <v/>
      </c>
    </row>
    <row r="41" outlineLevel="1" ht="14.25" customFormat="1" customHeight="1" s="317">
      <c r="A41" s="393" t="n">
        <v>23</v>
      </c>
      <c r="B41" s="288" t="inlineStr">
        <is>
          <t>91.07.04-002</t>
        </is>
      </c>
      <c r="C41" s="277" t="inlineStr">
        <is>
          <t>Вибраторы поверхностные</t>
        </is>
      </c>
      <c r="D41" s="288" t="inlineStr">
        <is>
          <t>маш.-ч.</t>
        </is>
      </c>
      <c r="E41" s="479" t="n">
        <v>0.132704</v>
      </c>
      <c r="F41" s="277" t="n">
        <v>0.53</v>
      </c>
      <c r="G41" s="186">
        <f>ROUND(E41*F41,2)</f>
        <v/>
      </c>
      <c r="H41" s="188">
        <f>G41/$G$43</f>
        <v/>
      </c>
      <c r="I41" s="186">
        <f>ROUND(F41*Прил.10!$D$12,2)</f>
        <v/>
      </c>
      <c r="J41" s="186">
        <f>ROUND(I41*E41,2)</f>
        <v/>
      </c>
    </row>
    <row r="42" ht="14.25" customFormat="1" customHeight="1" s="317">
      <c r="A42" s="393" t="n"/>
      <c r="B42" s="393" t="n"/>
      <c r="C42" s="392" t="inlineStr">
        <is>
          <t>Итого прочие машины и механизмы</t>
        </is>
      </c>
      <c r="D42" s="393" t="n"/>
      <c r="E42" s="394" t="n"/>
      <c r="F42" s="186" t="n"/>
      <c r="G42" s="180">
        <f>SUM(G27:G41)</f>
        <v/>
      </c>
      <c r="H42" s="242">
        <f>G42/G43</f>
        <v/>
      </c>
      <c r="I42" s="243" t="n"/>
      <c r="J42" s="243">
        <f>SUM(J27:J41)</f>
        <v/>
      </c>
    </row>
    <row r="43" ht="25.5" customFormat="1" customHeight="1" s="317">
      <c r="A43" s="393" t="n"/>
      <c r="B43" s="393" t="n"/>
      <c r="C43" s="391" t="inlineStr">
        <is>
          <t>Итого по разделу «Машины и механизмы»</t>
        </is>
      </c>
      <c r="D43" s="393" t="n"/>
      <c r="E43" s="394" t="n"/>
      <c r="F43" s="186" t="n"/>
      <c r="G43" s="186">
        <f>G26+G42</f>
        <v/>
      </c>
      <c r="H43" s="179" t="n">
        <v>1</v>
      </c>
      <c r="I43" s="180" t="n"/>
      <c r="J43" s="243">
        <f>J42+J26</f>
        <v/>
      </c>
    </row>
    <row r="44" ht="14.25" customFormat="1" customHeight="1" s="317">
      <c r="A44" s="393" t="n"/>
      <c r="B44" s="391" t="inlineStr">
        <is>
          <t>Оборудование</t>
        </is>
      </c>
      <c r="C44" s="467" t="n"/>
      <c r="D44" s="467" t="n"/>
      <c r="E44" s="467" t="n"/>
      <c r="F44" s="467" t="n"/>
      <c r="G44" s="467" t="n"/>
      <c r="H44" s="468" t="n"/>
      <c r="I44" s="253" t="n"/>
      <c r="J44" s="253" t="n"/>
    </row>
    <row r="45">
      <c r="A45" s="393" t="n">
        <v>24</v>
      </c>
      <c r="B45" s="288" t="inlineStr">
        <is>
          <t>БЦ.42.129</t>
        </is>
      </c>
      <c r="C45" s="280" t="inlineStr">
        <is>
          <t>ВЧ заградитель 2000А, 0,5 мГн</t>
        </is>
      </c>
      <c r="D45" s="288" t="inlineStr">
        <is>
          <t>шт</t>
        </is>
      </c>
      <c r="E45" s="481" t="n">
        <v>3</v>
      </c>
      <c r="F45" s="283">
        <f>ROUND(I45/Прил.10!$D$14,2)</f>
        <v/>
      </c>
      <c r="G45" s="284">
        <f>ROUND(E45*F45,2)</f>
        <v/>
      </c>
      <c r="H45" s="300">
        <f>G45/$G$48</f>
        <v/>
      </c>
      <c r="I45" s="286" t="n">
        <v>1310257.91</v>
      </c>
      <c r="J45" s="286">
        <f>ROUND(I45*E45,2)</f>
        <v/>
      </c>
      <c r="K45" s="297" t="n"/>
      <c r="L45" s="317" t="n"/>
    </row>
    <row r="46">
      <c r="A46" s="393" t="n">
        <v>25</v>
      </c>
      <c r="B46" s="288" t="inlineStr">
        <is>
          <t>БЦ.41.73</t>
        </is>
      </c>
      <c r="C46" s="280" t="inlineStr">
        <is>
          <t>Конденсатор связи СМА 166кВ 14000 пФ</t>
        </is>
      </c>
      <c r="D46" s="288" t="inlineStr">
        <is>
          <t>шт</t>
        </is>
      </c>
      <c r="E46" s="481" t="n">
        <v>3</v>
      </c>
      <c r="F46" s="283">
        <f>ROUND(I46/Прил.10!$D$14,2)</f>
        <v/>
      </c>
      <c r="G46" s="284">
        <f>ROUND(E46*F46,2)</f>
        <v/>
      </c>
      <c r="H46" s="300">
        <f>G46/$G$48</f>
        <v/>
      </c>
      <c r="I46" s="286" t="n">
        <v>2300000</v>
      </c>
      <c r="J46" s="286">
        <f>ROUND(I46*E46,2)</f>
        <v/>
      </c>
      <c r="K46" s="297" t="n"/>
      <c r="L46" s="317" t="n"/>
    </row>
    <row r="47">
      <c r="A47" s="393" t="n">
        <v>26</v>
      </c>
      <c r="B47" s="288" t="inlineStr">
        <is>
          <t>БЦ.45.16</t>
        </is>
      </c>
      <c r="C47" s="280" t="inlineStr">
        <is>
          <t>Фильтр присоединения</t>
        </is>
      </c>
      <c r="D47" s="288" t="inlineStr">
        <is>
          <t>шт</t>
        </is>
      </c>
      <c r="E47" s="481" t="n">
        <v>3</v>
      </c>
      <c r="F47" s="283">
        <f>ROUND(I47/Прил.10!$D$14,2)</f>
        <v/>
      </c>
      <c r="G47" s="284">
        <f>ROUND(E47*F47,2)</f>
        <v/>
      </c>
      <c r="H47" s="300">
        <f>G47/$G$48</f>
        <v/>
      </c>
      <c r="I47" s="286" t="n">
        <v>89800</v>
      </c>
      <c r="J47" s="286">
        <f>ROUND(I47*E47,2)</f>
        <v/>
      </c>
      <c r="K47" s="297" t="n"/>
      <c r="L47" s="317" t="n"/>
    </row>
    <row r="48">
      <c r="A48" s="393" t="n"/>
      <c r="B48" s="288" t="n"/>
      <c r="C48" s="406" t="inlineStr">
        <is>
          <t>Итого по разделу «Оборудование»</t>
        </is>
      </c>
      <c r="D48" s="288" t="n"/>
      <c r="E48" s="290" t="n"/>
      <c r="F48" s="283" t="n"/>
      <c r="G48" s="301">
        <f>SUM(G45:G47)</f>
        <v/>
      </c>
      <c r="H48" s="300">
        <f>G48/$G$48</f>
        <v/>
      </c>
      <c r="I48" s="292" t="n"/>
      <c r="J48" s="301">
        <f>SUM(J45:J47)</f>
        <v/>
      </c>
      <c r="K48" s="297" t="n"/>
      <c r="L48" s="317" t="n"/>
    </row>
    <row r="49" ht="25.5" customHeight="1" s="319">
      <c r="A49" s="393" t="n"/>
      <c r="B49" s="288" t="n"/>
      <c r="C49" s="293" t="inlineStr">
        <is>
          <t>в том числе технологическое оборудование</t>
        </is>
      </c>
      <c r="D49" s="288" t="n"/>
      <c r="E49" s="479" t="n"/>
      <c r="F49" s="283" t="n"/>
      <c r="G49" s="301">
        <f>'Прил.6 Расчет ОБ'!G15</f>
        <v/>
      </c>
      <c r="H49" s="295" t="n"/>
      <c r="I49" s="292" t="n"/>
      <c r="J49" s="301" t="n">
        <v>1</v>
      </c>
      <c r="K49" s="297" t="n"/>
      <c r="L49" s="317" t="n"/>
    </row>
    <row r="50" ht="14.25" customFormat="1" customHeight="1" s="317">
      <c r="A50" s="393" t="n"/>
      <c r="B50" s="406" t="inlineStr">
        <is>
          <t>Материалы</t>
        </is>
      </c>
      <c r="C50" s="467" t="n"/>
      <c r="D50" s="467" t="n"/>
      <c r="E50" s="467" t="n"/>
      <c r="F50" s="467" t="n"/>
      <c r="G50" s="467" t="n"/>
      <c r="H50" s="468" t="n"/>
      <c r="I50" s="296" t="n"/>
      <c r="J50" s="296" t="n"/>
      <c r="K50" s="297" t="n"/>
    </row>
    <row r="51" ht="14.25" customFormat="1" customHeight="1" s="317">
      <c r="A51" s="393" t="n"/>
      <c r="B51" s="386" t="inlineStr">
        <is>
          <t>Основные материалы</t>
        </is>
      </c>
      <c r="C51" s="477" t="n"/>
      <c r="D51" s="477" t="n"/>
      <c r="E51" s="477" t="n"/>
      <c r="F51" s="477" t="n"/>
      <c r="G51" s="477" t="n"/>
      <c r="H51" s="478" t="n"/>
      <c r="I51" s="298" t="n"/>
      <c r="J51" s="298" t="n"/>
      <c r="K51" s="297" t="n"/>
    </row>
    <row r="52" ht="25.5" customFormat="1" customHeight="1" s="317">
      <c r="A52" s="393" t="n">
        <v>27</v>
      </c>
      <c r="B52" s="288" t="inlineStr">
        <is>
          <t>21.1.03.02-0003</t>
        </is>
      </c>
      <c r="C52" s="277" t="inlineStr">
        <is>
          <t>Кабель коаксиальный радиочастотный РК 75-9-13</t>
        </is>
      </c>
      <c r="D52" s="288" t="inlineStr">
        <is>
          <t>1000 м</t>
        </is>
      </c>
      <c r="E52" s="479" t="n">
        <v>0.5</v>
      </c>
      <c r="F52" s="277" t="n">
        <v>9110.52</v>
      </c>
      <c r="G52" s="299">
        <f>ROUND(E52*F52,2)</f>
        <v/>
      </c>
      <c r="H52" s="300">
        <f>G52/$G$112</f>
        <v/>
      </c>
      <c r="I52" s="301">
        <f>ROUND(F52*Прил.10!$D$13,2)</f>
        <v/>
      </c>
      <c r="J52" s="301">
        <f>ROUND(I52*E52,2)</f>
        <v/>
      </c>
      <c r="K52" s="297" t="n"/>
    </row>
    <row r="53" ht="25.5" customFormat="1" customHeight="1" s="317">
      <c r="A53" s="393" t="n">
        <v>28</v>
      </c>
      <c r="B53" s="288" t="inlineStr">
        <is>
          <t>04.1.02.05-0046</t>
        </is>
      </c>
      <c r="C53" s="277" t="inlineStr">
        <is>
          <t>Бетон тяжелый, крупность заполнителя 20 мм, класс В25 (М350)</t>
        </is>
      </c>
      <c r="D53" s="288" t="inlineStr">
        <is>
          <t>м3</t>
        </is>
      </c>
      <c r="E53" s="479" t="n">
        <v>5.4404</v>
      </c>
      <c r="F53" s="277" t="n">
        <v>720</v>
      </c>
      <c r="G53" s="299">
        <f>ROUND(E53*F53,2)</f>
        <v/>
      </c>
      <c r="H53" s="300">
        <f>G53/$G$112</f>
        <v/>
      </c>
      <c r="I53" s="301">
        <f>ROUND(F53*Прил.10!$D$13,2)</f>
        <v/>
      </c>
      <c r="J53" s="301">
        <f>ROUND(I53*E53,2)</f>
        <v/>
      </c>
      <c r="K53" s="297" t="n"/>
    </row>
    <row r="54" ht="51" customFormat="1" customHeight="1" s="317">
      <c r="A54" s="393" t="n">
        <v>29</v>
      </c>
      <c r="B54" s="288" t="inlineStr">
        <is>
          <t>04.3.02.04-0316</t>
        </is>
      </c>
      <c r="C54" s="277" t="inlineStr">
        <is>
          <t>Смесь сухая безусадочная быстротвердеющая EMACO FAST TIXO тиксотропного типа (расход смеси 2000 кг на 1 м3)</t>
        </is>
      </c>
      <c r="D54" s="288" t="inlineStr">
        <is>
          <t>кг</t>
        </is>
      </c>
      <c r="E54" s="479" t="n">
        <v>160</v>
      </c>
      <c r="F54" s="277" t="n">
        <v>11.35</v>
      </c>
      <c r="G54" s="299">
        <f>ROUND(E54*F54,2)</f>
        <v/>
      </c>
      <c r="H54" s="300">
        <f>G54/$G$112</f>
        <v/>
      </c>
      <c r="I54" s="301">
        <f>ROUND(F54*Прил.10!$D$13,2)</f>
        <v/>
      </c>
      <c r="J54" s="301">
        <f>ROUND(I54*E54,2)</f>
        <v/>
      </c>
      <c r="K54" s="297" t="n"/>
    </row>
    <row r="55" ht="25.5" customFormat="1" customHeight="1" s="317">
      <c r="A55" s="393" t="n">
        <v>30</v>
      </c>
      <c r="B55" s="288" t="inlineStr">
        <is>
          <t>08.4.03.03-0004</t>
        </is>
      </c>
      <c r="C55" s="277" t="inlineStr">
        <is>
          <t>Горячекатанная арматурная сталь класса А500 С, диаметром 12 мм</t>
        </is>
      </c>
      <c r="D55" s="288" t="inlineStr">
        <is>
          <t>т</t>
        </is>
      </c>
      <c r="E55" s="479" t="n">
        <v>0.2416</v>
      </c>
      <c r="F55" s="277" t="n">
        <v>5584.56</v>
      </c>
      <c r="G55" s="299">
        <f>ROUND(E55*F55,2)</f>
        <v/>
      </c>
      <c r="H55" s="300">
        <f>G55/$G$112</f>
        <v/>
      </c>
      <c r="I55" s="301">
        <f>ROUND(F55*Прил.10!$D$13,2)</f>
        <v/>
      </c>
      <c r="J55" s="301">
        <f>ROUND(I55*E55,2)</f>
        <v/>
      </c>
      <c r="K55" s="297" t="n"/>
    </row>
    <row r="56" ht="25.5" customFormat="1" customHeight="1" s="317">
      <c r="A56" s="393" t="n">
        <v>31</v>
      </c>
      <c r="B56" s="288" t="inlineStr">
        <is>
          <t>04.1.02.05-0041</t>
        </is>
      </c>
      <c r="C56" s="277" t="inlineStr">
        <is>
          <t>Бетон тяжелый, крупность заполнителя 20 мм, класс В10 (М150)</t>
        </is>
      </c>
      <c r="D56" s="288" t="inlineStr">
        <is>
          <t>м3</t>
        </is>
      </c>
      <c r="E56" s="479" t="n">
        <v>1.224</v>
      </c>
      <c r="F56" s="277" t="n">
        <v>542.24</v>
      </c>
      <c r="G56" s="258">
        <f>ROUND(E56*F56,2)</f>
        <v/>
      </c>
      <c r="H56" s="188">
        <f>G56/$G$112</f>
        <v/>
      </c>
      <c r="I56" s="186">
        <f>ROUND(F56*Прил.10!$D$13,2)</f>
        <v/>
      </c>
      <c r="J56" s="186">
        <f>ROUND(I56*E56,2)</f>
        <v/>
      </c>
    </row>
    <row r="57" ht="25.5" customFormat="1" customHeight="1" s="317">
      <c r="A57" s="393" t="n">
        <v>32</v>
      </c>
      <c r="B57" s="288" t="inlineStr">
        <is>
          <t>08.4.01.01-0022</t>
        </is>
      </c>
      <c r="C57" s="277" t="inlineStr">
        <is>
          <t>Детали анкерные с резьбой из прямых или гнутых круглых стержней</t>
        </is>
      </c>
      <c r="D57" s="288" t="inlineStr">
        <is>
          <t>т</t>
        </is>
      </c>
      <c r="E57" s="479" t="n">
        <v>0.05472</v>
      </c>
      <c r="F57" s="277" t="n">
        <v>10099.96</v>
      </c>
      <c r="G57" s="258">
        <f>ROUND(E57*F57,2)</f>
        <v/>
      </c>
      <c r="H57" s="188">
        <f>G57/$G$112</f>
        <v/>
      </c>
      <c r="I57" s="186">
        <f>ROUND(F57*Прил.10!$D$13,2)</f>
        <v/>
      </c>
      <c r="J57" s="186">
        <f>ROUND(I57*E57,2)</f>
        <v/>
      </c>
    </row>
    <row r="58" ht="25.5" customFormat="1" customHeight="1" s="317">
      <c r="A58" s="393" t="n">
        <v>33</v>
      </c>
      <c r="B58" s="288" t="inlineStr">
        <is>
          <t>02.2.05.04-1777</t>
        </is>
      </c>
      <c r="C58" s="277" t="inlineStr">
        <is>
          <t>Щебень М 800, фракция 20-40 мм, группа 2</t>
        </is>
      </c>
      <c r="D58" s="288" t="inlineStr">
        <is>
          <t>м3</t>
        </is>
      </c>
      <c r="E58" s="479" t="n">
        <v>5</v>
      </c>
      <c r="F58" s="277" t="n">
        <v>108.4</v>
      </c>
      <c r="G58" s="258">
        <f>ROUND(E58*F58,2)</f>
        <v/>
      </c>
      <c r="H58" s="188">
        <f>G58/$G$112</f>
        <v/>
      </c>
      <c r="I58" s="186">
        <f>ROUND(F58*Прил.10!$D$13,2)</f>
        <v/>
      </c>
      <c r="J58" s="186">
        <f>ROUND(I58*E58,2)</f>
        <v/>
      </c>
    </row>
    <row r="59" ht="25.5" customFormat="1" customHeight="1" s="317">
      <c r="A59" s="393" t="n">
        <v>34</v>
      </c>
      <c r="B59" s="288" t="inlineStr">
        <is>
          <t>01.2.03.03-0103</t>
        </is>
      </c>
      <c r="C59" s="277" t="inlineStr">
        <is>
          <t>Мастика гидроизоляционная холодная ТЕХНОНИКОЛЬ №24 (МГТН)</t>
        </is>
      </c>
      <c r="D59" s="288" t="inlineStr">
        <is>
          <t>кг</t>
        </is>
      </c>
      <c r="E59" s="479" t="n">
        <v>58.8</v>
      </c>
      <c r="F59" s="277" t="n">
        <v>9.15</v>
      </c>
      <c r="G59" s="258">
        <f>ROUND(E59*F59,2)</f>
        <v/>
      </c>
      <c r="H59" s="188">
        <f>G59/$G$112</f>
        <v/>
      </c>
      <c r="I59" s="186">
        <f>ROUND(F59*Прил.10!$D$13,2)</f>
        <v/>
      </c>
      <c r="J59" s="186">
        <f>ROUND(I59*E59,2)</f>
        <v/>
      </c>
    </row>
    <row r="60" ht="14.25" customFormat="1" customHeight="1" s="317">
      <c r="A60" s="393" t="n">
        <v>35</v>
      </c>
      <c r="B60" s="288" t="inlineStr">
        <is>
          <t>20.1.01.12-0016</t>
        </is>
      </c>
      <c r="C60" s="277" t="inlineStr">
        <is>
          <t>Зажим поддерживающий глухой ПГН-5-3</t>
        </is>
      </c>
      <c r="D60" s="288" t="inlineStr">
        <is>
          <t>шт</t>
        </is>
      </c>
      <c r="E60" s="479" t="n">
        <v>2</v>
      </c>
      <c r="F60" s="277" t="n">
        <v>266.27</v>
      </c>
      <c r="G60" s="258">
        <f>ROUND(E60*F60,2)</f>
        <v/>
      </c>
      <c r="H60" s="188">
        <f>G60/$G$112</f>
        <v/>
      </c>
      <c r="I60" s="186">
        <f>ROUND(F60*Прил.10!$D$13,2)</f>
        <v/>
      </c>
      <c r="J60" s="186">
        <f>ROUND(I60*E60,2)</f>
        <v/>
      </c>
    </row>
    <row r="61" ht="14.25" customFormat="1" customHeight="1" s="317">
      <c r="A61" s="393" t="n"/>
      <c r="B61" s="193" t="n"/>
      <c r="C61" s="239" t="inlineStr">
        <is>
          <t>Итого основные материалы</t>
        </is>
      </c>
      <c r="D61" s="414" t="n"/>
      <c r="E61" s="480" t="n"/>
      <c r="F61" s="243" t="n"/>
      <c r="G61" s="243">
        <f>SUM(G52:G60)</f>
        <v/>
      </c>
      <c r="H61" s="188">
        <f>G61/$G$112</f>
        <v/>
      </c>
      <c r="I61" s="186" t="n"/>
      <c r="J61" s="243">
        <f>SUM(J52:J60)</f>
        <v/>
      </c>
    </row>
    <row r="62" outlineLevel="1" ht="25.5" customFormat="1" customHeight="1" s="317">
      <c r="A62" s="238" t="n">
        <v>36</v>
      </c>
      <c r="B62" s="288" t="inlineStr">
        <is>
          <t>02.2.05.04-1577</t>
        </is>
      </c>
      <c r="C62" s="277" t="inlineStr">
        <is>
          <t>Щебень М 800, фракция 5(3)-10 мм, группа 2</t>
        </is>
      </c>
      <c r="D62" s="288" t="inlineStr">
        <is>
          <t>м3</t>
        </is>
      </c>
      <c r="E62" s="479" t="n">
        <v>1.52</v>
      </c>
      <c r="F62" s="277" t="n">
        <v>155.94</v>
      </c>
      <c r="G62" s="258">
        <f>ROUND(E62*F62,2)</f>
        <v/>
      </c>
      <c r="H62" s="188">
        <f>G62/$G$112</f>
        <v/>
      </c>
      <c r="I62" s="186">
        <f>ROUND(F62*Прил.10!$D$13,2)</f>
        <v/>
      </c>
      <c r="J62" s="186">
        <f>ROUND(I62*E62,2)</f>
        <v/>
      </c>
    </row>
    <row r="63" outlineLevel="1" ht="25.5" customFormat="1" customHeight="1" s="317">
      <c r="A63" s="238" t="n">
        <v>37</v>
      </c>
      <c r="B63" s="288" t="inlineStr">
        <is>
          <t>22.2.02.04-0036</t>
        </is>
      </c>
      <c r="C63" s="277" t="inlineStr">
        <is>
          <t>Звено промежуточное регулируемое ПРР-12-1</t>
        </is>
      </c>
      <c r="D63" s="288" t="inlineStr">
        <is>
          <t>шт</t>
        </is>
      </c>
      <c r="E63" s="479" t="n">
        <v>1</v>
      </c>
      <c r="F63" s="277" t="n">
        <v>193.24</v>
      </c>
      <c r="G63" s="258">
        <f>ROUND(E63*F63,2)</f>
        <v/>
      </c>
      <c r="H63" s="188">
        <f>G63/$G$112</f>
        <v/>
      </c>
      <c r="I63" s="186">
        <f>ROUND(F63*Прил.10!$D$13,2)</f>
        <v/>
      </c>
      <c r="J63" s="186">
        <f>ROUND(I63*E63,2)</f>
        <v/>
      </c>
    </row>
    <row r="64" outlineLevel="1" ht="25.5" customFormat="1" customHeight="1" s="317">
      <c r="A64" s="393" t="n">
        <v>38</v>
      </c>
      <c r="B64" s="288" t="inlineStr">
        <is>
          <t>08.4.03.02-0001</t>
        </is>
      </c>
      <c r="C64" s="277" t="inlineStr">
        <is>
          <t>Горячекатаная арматурная сталь гладкая класса А-I, диаметром 6 мм</t>
        </is>
      </c>
      <c r="D64" s="288" t="inlineStr">
        <is>
          <t>т</t>
        </is>
      </c>
      <c r="E64" s="479" t="n">
        <v>0.024</v>
      </c>
      <c r="F64" s="277" t="n">
        <v>7418.75</v>
      </c>
      <c r="G64" s="258">
        <f>ROUND(E64*F64,2)</f>
        <v/>
      </c>
      <c r="H64" s="188">
        <f>G64/$G$112</f>
        <v/>
      </c>
      <c r="I64" s="186">
        <f>ROUND(F64*Прил.10!$D$13,2)</f>
        <v/>
      </c>
      <c r="J64" s="186">
        <f>ROUND(I64*E64,2)</f>
        <v/>
      </c>
    </row>
    <row r="65" outlineLevel="1" ht="25.5" customFormat="1" customHeight="1" s="317">
      <c r="A65" s="238" t="n">
        <v>39</v>
      </c>
      <c r="B65" s="288" t="inlineStr">
        <is>
          <t>10.3.02.03-0011</t>
        </is>
      </c>
      <c r="C65" s="277" t="inlineStr">
        <is>
          <t>Припои оловянно-свинцовые бессурьмянистые, марка ПОС30</t>
        </is>
      </c>
      <c r="D65" s="288" t="inlineStr">
        <is>
          <t>т</t>
        </is>
      </c>
      <c r="E65" s="479" t="n">
        <v>0.00226</v>
      </c>
      <c r="F65" s="277" t="n">
        <v>68057.52</v>
      </c>
      <c r="G65" s="258">
        <f>ROUND(E65*F65,2)</f>
        <v/>
      </c>
      <c r="H65" s="188">
        <f>G65/$G$112</f>
        <v/>
      </c>
      <c r="I65" s="186">
        <f>ROUND(F65*Прил.10!$D$13,2)</f>
        <v/>
      </c>
      <c r="J65" s="186">
        <f>ROUND(I65*E65,2)</f>
        <v/>
      </c>
    </row>
    <row r="66" outlineLevel="1" ht="14.25" customFormat="1" customHeight="1" s="317">
      <c r="A66" s="393" t="n">
        <v>40</v>
      </c>
      <c r="B66" s="288" t="inlineStr">
        <is>
          <t>20.1.02.22-0006</t>
        </is>
      </c>
      <c r="C66" s="277" t="inlineStr">
        <is>
          <t>Ушко однолапчатое У1-12-16</t>
        </is>
      </c>
      <c r="D66" s="288" t="inlineStr">
        <is>
          <t>шт</t>
        </is>
      </c>
      <c r="E66" s="479" t="n">
        <v>1</v>
      </c>
      <c r="F66" s="277" t="n">
        <v>137.86</v>
      </c>
      <c r="G66" s="258">
        <f>ROUND(E66*F66,2)</f>
        <v/>
      </c>
      <c r="H66" s="188">
        <f>G66/$G$112</f>
        <v/>
      </c>
      <c r="I66" s="186">
        <f>ROUND(F66*Прил.10!$D$13,2)</f>
        <v/>
      </c>
      <c r="J66" s="186">
        <f>ROUND(I66*E66,2)</f>
        <v/>
      </c>
    </row>
    <row r="67" outlineLevel="1" ht="14.25" customFormat="1" customHeight="1" s="317">
      <c r="A67" s="238" t="n">
        <v>41</v>
      </c>
      <c r="B67" s="288" t="inlineStr">
        <is>
          <t>01.7.15.03-0042</t>
        </is>
      </c>
      <c r="C67" s="277" t="inlineStr">
        <is>
          <t>Болты с гайками и шайбами строительные</t>
        </is>
      </c>
      <c r="D67" s="288" t="inlineStr">
        <is>
          <t>кг</t>
        </is>
      </c>
      <c r="E67" s="479" t="n">
        <v>13.76942</v>
      </c>
      <c r="F67" s="277" t="n">
        <v>9.039999999999999</v>
      </c>
      <c r="G67" s="258">
        <f>ROUND(E67*F67,2)</f>
        <v/>
      </c>
      <c r="H67" s="188">
        <f>G67/$G$112</f>
        <v/>
      </c>
      <c r="I67" s="186">
        <f>ROUND(F67*Прил.10!$D$13,2)</f>
        <v/>
      </c>
      <c r="J67" s="186">
        <f>ROUND(I67*E67,2)</f>
        <v/>
      </c>
    </row>
    <row r="68" outlineLevel="1" ht="25.5" customFormat="1" customHeight="1" s="317">
      <c r="A68" s="393" t="n">
        <v>42</v>
      </c>
      <c r="B68" s="288" t="inlineStr">
        <is>
          <t>08.4.03.03-0002</t>
        </is>
      </c>
      <c r="C68" s="277" t="inlineStr">
        <is>
          <t>Горячекатанная арматурная сталь класса А500 С, диаметром 8 мм</t>
        </is>
      </c>
      <c r="D68" s="288" t="inlineStr">
        <is>
          <t>т</t>
        </is>
      </c>
      <c r="E68" s="479" t="n">
        <v>0.0192</v>
      </c>
      <c r="F68" s="277" t="n">
        <v>6213.54</v>
      </c>
      <c r="G68" s="258">
        <f>ROUND(E68*F68,2)</f>
        <v/>
      </c>
      <c r="H68" s="188">
        <f>G68/$G$112</f>
        <v/>
      </c>
      <c r="I68" s="186">
        <f>ROUND(F68*Прил.10!$D$13,2)</f>
        <v/>
      </c>
      <c r="J68" s="186">
        <f>ROUND(I68*E68,2)</f>
        <v/>
      </c>
    </row>
    <row r="69" outlineLevel="1" ht="25.5" customFormat="1" customHeight="1" s="317">
      <c r="A69" s="238" t="n">
        <v>43</v>
      </c>
      <c r="B69" s="288" t="inlineStr">
        <is>
          <t>22.2.02.04-0009</t>
        </is>
      </c>
      <c r="C69" s="277" t="inlineStr">
        <is>
          <t>Звено промежуточное монтажное ПТМ-12-3</t>
        </is>
      </c>
      <c r="D69" s="288" t="inlineStr">
        <is>
          <t>шт</t>
        </is>
      </c>
      <c r="E69" s="479" t="n">
        <v>1</v>
      </c>
      <c r="F69" s="277" t="n">
        <v>103.63</v>
      </c>
      <c r="G69" s="258">
        <f>ROUND(E69*F69,2)</f>
        <v/>
      </c>
      <c r="H69" s="188">
        <f>G69/$G$112</f>
        <v/>
      </c>
      <c r="I69" s="186">
        <f>ROUND(F69*Прил.10!$D$13,2)</f>
        <v/>
      </c>
      <c r="J69" s="186">
        <f>ROUND(I69*E69,2)</f>
        <v/>
      </c>
    </row>
    <row r="70" outlineLevel="1" ht="14.25" customFormat="1" customHeight="1" s="317">
      <c r="A70" s="393" t="n">
        <v>44</v>
      </c>
      <c r="B70" s="288" t="inlineStr">
        <is>
          <t>11.2.13.04-0011</t>
        </is>
      </c>
      <c r="C70" s="277" t="inlineStr">
        <is>
          <t>Щиты из досок, толщина 25 мм</t>
        </is>
      </c>
      <c r="D70" s="288" t="inlineStr">
        <is>
          <t>м2</t>
        </is>
      </c>
      <c r="E70" s="479" t="n">
        <v>2.6532</v>
      </c>
      <c r="F70" s="277" t="n">
        <v>35.53</v>
      </c>
      <c r="G70" s="258">
        <f>ROUND(E70*F70,2)</f>
        <v/>
      </c>
      <c r="H70" s="188">
        <f>G70/$G$112</f>
        <v/>
      </c>
      <c r="I70" s="186">
        <f>ROUND(F70*Прил.10!$D$13,2)</f>
        <v/>
      </c>
      <c r="J70" s="186">
        <f>ROUND(I70*E70,2)</f>
        <v/>
      </c>
    </row>
    <row r="71" outlineLevel="1" ht="14.25" customFormat="1" customHeight="1" s="317">
      <c r="A71" s="238" t="n">
        <v>45</v>
      </c>
      <c r="B71" s="288" t="inlineStr">
        <is>
          <t>01.2.03.05-0011</t>
        </is>
      </c>
      <c r="C71" s="277" t="inlineStr">
        <is>
          <t>Праймер битумный ТЕХНОНИКОЛЬ №01</t>
        </is>
      </c>
      <c r="D71" s="288" t="inlineStr">
        <is>
          <t>л</t>
        </is>
      </c>
      <c r="E71" s="479" t="n">
        <v>10.4</v>
      </c>
      <c r="F71" s="277" t="n">
        <v>8.44</v>
      </c>
      <c r="G71" s="258">
        <f>ROUND(E71*F71,2)</f>
        <v/>
      </c>
      <c r="H71" s="188">
        <f>G71/$G$112</f>
        <v/>
      </c>
      <c r="I71" s="186">
        <f>ROUND(F71*Прил.10!$D$13,2)</f>
        <v/>
      </c>
      <c r="J71" s="186">
        <f>ROUND(I71*E71,2)</f>
        <v/>
      </c>
    </row>
    <row r="72" outlineLevel="1" ht="25.5" customFormat="1" customHeight="1" s="317">
      <c r="A72" s="393" t="n">
        <v>46</v>
      </c>
      <c r="B72" s="288" t="inlineStr">
        <is>
          <t>22.2.02.04-0018</t>
        </is>
      </c>
      <c r="C72" s="277" t="inlineStr">
        <is>
          <t>Звено промежуточное прямое двойное 2ПР-12-1</t>
        </is>
      </c>
      <c r="D72" s="288" t="inlineStr">
        <is>
          <t>шт</t>
        </is>
      </c>
      <c r="E72" s="479" t="n">
        <v>1</v>
      </c>
      <c r="F72" s="277" t="n">
        <v>83.27</v>
      </c>
      <c r="G72" s="258">
        <f>ROUND(E72*F72,2)</f>
        <v/>
      </c>
      <c r="H72" s="188">
        <f>G72/$G$112</f>
        <v/>
      </c>
      <c r="I72" s="186">
        <f>ROUND(F72*Прил.10!$D$13,2)</f>
        <v/>
      </c>
      <c r="J72" s="186">
        <f>ROUND(I72*E72,2)</f>
        <v/>
      </c>
    </row>
    <row r="73" outlineLevel="1" ht="14.25" customFormat="1" customHeight="1" s="317">
      <c r="A73" s="238" t="n">
        <v>47</v>
      </c>
      <c r="B73" s="288" t="inlineStr">
        <is>
          <t>01.7.15.07-0031</t>
        </is>
      </c>
      <c r="C73" s="277" t="inlineStr">
        <is>
          <t>Дюбели распорные с гайкой</t>
        </is>
      </c>
      <c r="D73" s="288" t="inlineStr">
        <is>
          <t>100 шт</t>
        </is>
      </c>
      <c r="E73" s="479" t="n">
        <v>0.384</v>
      </c>
      <c r="F73" s="277" t="n">
        <v>110</v>
      </c>
      <c r="G73" s="258">
        <f>ROUND(E73*F73,2)</f>
        <v/>
      </c>
      <c r="H73" s="188">
        <f>G73/$G$112</f>
        <v/>
      </c>
      <c r="I73" s="186">
        <f>ROUND(F73*Прил.10!$D$13,2)</f>
        <v/>
      </c>
      <c r="J73" s="186">
        <f>ROUND(I73*E73,2)</f>
        <v/>
      </c>
    </row>
    <row r="74" outlineLevel="1" ht="38.25" customFormat="1" customHeight="1" s="317">
      <c r="A74" s="393" t="n">
        <v>48</v>
      </c>
      <c r="B74" s="288" t="inlineStr">
        <is>
          <t>03.2.01.01-0003</t>
        </is>
      </c>
      <c r="C74" s="277" t="inlineStr">
        <is>
          <t>Портландцемент общестроительного назначения бездобавочный М500 Д0 (ЦЕМ I 42,5Н)</t>
        </is>
      </c>
      <c r="D74" s="288" t="inlineStr">
        <is>
          <t>т</t>
        </is>
      </c>
      <c r="E74" s="479" t="n">
        <v>0.0864</v>
      </c>
      <c r="F74" s="277" t="n">
        <v>479.98</v>
      </c>
      <c r="G74" s="258">
        <f>ROUND(E74*F74,2)</f>
        <v/>
      </c>
      <c r="H74" s="188">
        <f>G74/$G$112</f>
        <v/>
      </c>
      <c r="I74" s="186">
        <f>ROUND(F74*Прил.10!$D$13,2)</f>
        <v/>
      </c>
      <c r="J74" s="186">
        <f>ROUND(I74*E74,2)</f>
        <v/>
      </c>
    </row>
    <row r="75" outlineLevel="1" ht="25.5" customFormat="1" customHeight="1" s="317">
      <c r="A75" s="238" t="n">
        <v>49</v>
      </c>
      <c r="B75" s="288" t="inlineStr">
        <is>
          <t>22.2.02.04-0017</t>
        </is>
      </c>
      <c r="C75" s="277" t="inlineStr">
        <is>
          <t>Звено промежуточное прямое двойное 2ПР-7-1</t>
        </is>
      </c>
      <c r="D75" s="288" t="inlineStr">
        <is>
          <t>шт</t>
        </is>
      </c>
      <c r="E75" s="479" t="n">
        <v>1</v>
      </c>
      <c r="F75" s="277" t="n">
        <v>41.1</v>
      </c>
      <c r="G75" s="258">
        <f>ROUND(E75*F75,2)</f>
        <v/>
      </c>
      <c r="H75" s="188">
        <f>G75/$G$112</f>
        <v/>
      </c>
      <c r="I75" s="186">
        <f>ROUND(F75*Прил.10!$D$13,2)</f>
        <v/>
      </c>
      <c r="J75" s="186">
        <f>ROUND(I75*E75,2)</f>
        <v/>
      </c>
    </row>
    <row r="76" outlineLevel="1" ht="38.25" customFormat="1" customHeight="1" s="317">
      <c r="A76" s="393" t="n">
        <v>50</v>
      </c>
      <c r="B76" s="288" t="inlineStr">
        <is>
          <t>11.1.03.06-0095</t>
        </is>
      </c>
      <c r="C76" s="277" t="inlineStr">
        <is>
          <t>Доска обрезная, хвойных пород, ширина 75-150 мм, толщина 44 мм и более, длина 4-6,5 м, сорт III</t>
        </is>
      </c>
      <c r="D76" s="288" t="inlineStr">
        <is>
          <t>м3</t>
        </is>
      </c>
      <c r="E76" s="479" t="n">
        <v>0.037964</v>
      </c>
      <c r="F76" s="277" t="n">
        <v>1056.26</v>
      </c>
      <c r="G76" s="258">
        <f>ROUND(E76*F76,2)</f>
        <v/>
      </c>
      <c r="H76" s="188">
        <f>G76/$G$112</f>
        <v/>
      </c>
      <c r="I76" s="186">
        <f>ROUND(F76*Прил.10!$D$13,2)</f>
        <v/>
      </c>
      <c r="J76" s="186">
        <f>ROUND(I76*E76,2)</f>
        <v/>
      </c>
    </row>
    <row r="77" outlineLevel="1" ht="14.25" customFormat="1" customHeight="1" s="317">
      <c r="A77" s="238" t="n">
        <v>51</v>
      </c>
      <c r="B77" s="288" t="inlineStr">
        <is>
          <t>01.7.20.08-0102</t>
        </is>
      </c>
      <c r="C77" s="277" t="inlineStr">
        <is>
          <t>Миткаль суровый</t>
        </is>
      </c>
      <c r="D77" s="288" t="inlineStr">
        <is>
          <t>10 м</t>
        </is>
      </c>
      <c r="E77" s="479" t="n">
        <v>0.52</v>
      </c>
      <c r="F77" s="277" t="n">
        <v>73.65000000000001</v>
      </c>
      <c r="G77" s="258">
        <f>ROUND(E77*F77,2)</f>
        <v/>
      </c>
      <c r="H77" s="188">
        <f>G77/$G$112</f>
        <v/>
      </c>
      <c r="I77" s="186">
        <f>ROUND(F77*Прил.10!$D$13,2)</f>
        <v/>
      </c>
      <c r="J77" s="186">
        <f>ROUND(I77*E77,2)</f>
        <v/>
      </c>
    </row>
    <row r="78" outlineLevel="1" ht="25.5" customFormat="1" customHeight="1" s="317">
      <c r="A78" s="393" t="n">
        <v>52</v>
      </c>
      <c r="B78" s="288" t="inlineStr">
        <is>
          <t>01.7.11.07-0034</t>
        </is>
      </c>
      <c r="C78" s="277" t="inlineStr">
        <is>
          <t>Электроды сварочные Э42А, диаметр 4 мм</t>
        </is>
      </c>
      <c r="D78" s="288" t="inlineStr">
        <is>
          <t>кг</t>
        </is>
      </c>
      <c r="E78" s="479" t="n">
        <v>3.616</v>
      </c>
      <c r="F78" s="277" t="n">
        <v>10.57</v>
      </c>
      <c r="G78" s="258">
        <f>ROUND(E78*F78,2)</f>
        <v/>
      </c>
      <c r="H78" s="188">
        <f>G78/$G$112</f>
        <v/>
      </c>
      <c r="I78" s="186">
        <f>ROUND(F78*Прил.10!$D$13,2)</f>
        <v/>
      </c>
      <c r="J78" s="186">
        <f>ROUND(I78*E78,2)</f>
        <v/>
      </c>
    </row>
    <row r="79" outlineLevel="1" ht="38.25" customFormat="1" customHeight="1" s="317">
      <c r="A79" s="238" t="n">
        <v>53</v>
      </c>
      <c r="B79" s="288" t="inlineStr">
        <is>
          <t>20.2.03.17-0001</t>
        </is>
      </c>
      <c r="C79" s="277" t="inlineStr">
        <is>
          <t>Скоба для крепления кабельной трассы верхняя с основанием 50 мм, из оцинкованной стали</t>
        </is>
      </c>
      <c r="D79" s="288" t="inlineStr">
        <is>
          <t>шт</t>
        </is>
      </c>
      <c r="E79" s="479" t="n">
        <v>1</v>
      </c>
      <c r="F79" s="277" t="n">
        <v>29.54</v>
      </c>
      <c r="G79" s="258">
        <f>ROUND(E79*F79,2)</f>
        <v/>
      </c>
      <c r="H79" s="188">
        <f>G79/$G$112</f>
        <v/>
      </c>
      <c r="I79" s="186">
        <f>ROUND(F79*Прил.10!$D$13,2)</f>
        <v/>
      </c>
      <c r="J79" s="186">
        <f>ROUND(I79*E79,2)</f>
        <v/>
      </c>
    </row>
    <row r="80" outlineLevel="1" ht="14.25" customFormat="1" customHeight="1" s="317">
      <c r="A80" s="393" t="n">
        <v>54</v>
      </c>
      <c r="B80" s="288" t="inlineStr">
        <is>
          <t>01.7.06.07-0002</t>
        </is>
      </c>
      <c r="C80" s="277" t="inlineStr">
        <is>
          <t>Лента монтажная, тип ЛМ-5</t>
        </is>
      </c>
      <c r="D80" s="288" t="inlineStr">
        <is>
          <t>10 м</t>
        </is>
      </c>
      <c r="E80" s="479" t="n">
        <v>4.085</v>
      </c>
      <c r="F80" s="277" t="n">
        <v>6.9</v>
      </c>
      <c r="G80" s="258">
        <f>ROUND(E80*F80,2)</f>
        <v/>
      </c>
      <c r="H80" s="188">
        <f>G80/$G$112</f>
        <v/>
      </c>
      <c r="I80" s="186">
        <f>ROUND(F80*Прил.10!$D$13,2)</f>
        <v/>
      </c>
      <c r="J80" s="186">
        <f>ROUND(I80*E80,2)</f>
        <v/>
      </c>
    </row>
    <row r="81" outlineLevel="1" ht="14.25" customFormat="1" customHeight="1" s="317">
      <c r="A81" s="238" t="n">
        <v>55</v>
      </c>
      <c r="B81" s="288" t="inlineStr">
        <is>
          <t>07.2.07.13-0171</t>
        </is>
      </c>
      <c r="C81" s="277" t="inlineStr">
        <is>
          <t>Подкладки металлические</t>
        </is>
      </c>
      <c r="D81" s="288" t="inlineStr">
        <is>
          <t>кг</t>
        </is>
      </c>
      <c r="E81" s="479" t="n">
        <v>2</v>
      </c>
      <c r="F81" s="277" t="n">
        <v>12.6</v>
      </c>
      <c r="G81" s="258">
        <f>ROUND(E81*F81,2)</f>
        <v/>
      </c>
      <c r="H81" s="188">
        <f>G81/$G$112</f>
        <v/>
      </c>
      <c r="I81" s="186">
        <f>ROUND(F81*Прил.10!$D$13,2)</f>
        <v/>
      </c>
      <c r="J81" s="186">
        <f>ROUND(I81*E81,2)</f>
        <v/>
      </c>
    </row>
    <row r="82" outlineLevel="1" ht="14.25" customFormat="1" customHeight="1" s="317">
      <c r="A82" s="393" t="n">
        <v>56</v>
      </c>
      <c r="B82" s="288" t="inlineStr">
        <is>
          <t>01.7.15.06-0111</t>
        </is>
      </c>
      <c r="C82" s="277" t="inlineStr">
        <is>
          <t>Гвозди строительные</t>
        </is>
      </c>
      <c r="D82" s="288" t="inlineStr">
        <is>
          <t>т</t>
        </is>
      </c>
      <c r="E82" s="479" t="n">
        <v>0.002042</v>
      </c>
      <c r="F82" s="277" t="n">
        <v>11973.55</v>
      </c>
      <c r="G82" s="258">
        <f>ROUND(E82*F82,2)</f>
        <v/>
      </c>
      <c r="H82" s="188">
        <f>G82/$G$112</f>
        <v/>
      </c>
      <c r="I82" s="186">
        <f>ROUND(F82*Прил.10!$D$13,2)</f>
        <v/>
      </c>
      <c r="J82" s="186">
        <f>ROUND(I82*E82,2)</f>
        <v/>
      </c>
    </row>
    <row r="83" outlineLevel="1" ht="38.25" customFormat="1" customHeight="1" s="317">
      <c r="A83" s="238" t="n">
        <v>57</v>
      </c>
      <c r="B83" s="288" t="inlineStr">
        <is>
          <t>11.1.02.04-0031</t>
        </is>
      </c>
      <c r="C83" s="277" t="inlineStr">
        <is>
          <t>Лесоматериалы круглые, хвойных пород, для строительства, диаметр 14-24 см, длина 3-6,5 м</t>
        </is>
      </c>
      <c r="D83" s="288" t="inlineStr">
        <is>
          <t>м3</t>
        </is>
      </c>
      <c r="E83" s="479" t="n">
        <v>0.036984</v>
      </c>
      <c r="F83" s="277" t="n">
        <v>558.35</v>
      </c>
      <c r="G83" s="258">
        <f>ROUND(E83*F83,2)</f>
        <v/>
      </c>
      <c r="H83" s="188">
        <f>G83/$G$112</f>
        <v/>
      </c>
      <c r="I83" s="186">
        <f>ROUND(F83*Прил.10!$D$13,2)</f>
        <v/>
      </c>
      <c r="J83" s="186">
        <f>ROUND(I83*E83,2)</f>
        <v/>
      </c>
    </row>
    <row r="84" outlineLevel="1" ht="38.25" customFormat="1" customHeight="1" s="317">
      <c r="A84" s="393" t="n">
        <v>58</v>
      </c>
      <c r="B84" s="288" t="inlineStr">
        <is>
          <t>11.1.03.05-0089</t>
        </is>
      </c>
      <c r="C84" s="277" t="inlineStr">
        <is>
          <t>Доска необрезная, хвойных пород, длина 4-6,5 м, ширина 75-150 мм, толщина 16 мм, сорт III</t>
        </is>
      </c>
      <c r="D84" s="288" t="inlineStr">
        <is>
          <t>м3</t>
        </is>
      </c>
      <c r="E84" s="479" t="n">
        <v>0.016</v>
      </c>
      <c r="F84" s="277" t="n">
        <v>1250</v>
      </c>
      <c r="G84" s="258">
        <f>ROUND(E84*F84,2)</f>
        <v/>
      </c>
      <c r="H84" s="188">
        <f>G84/$G$112</f>
        <v/>
      </c>
      <c r="I84" s="186">
        <f>ROUND(F84*Прил.10!$D$13,2)</f>
        <v/>
      </c>
      <c r="J84" s="186">
        <f>ROUND(I84*E84,2)</f>
        <v/>
      </c>
    </row>
    <row r="85" outlineLevel="1" ht="25.5" customFormat="1" customHeight="1" s="317">
      <c r="A85" s="238" t="n">
        <v>59</v>
      </c>
      <c r="B85" s="288" t="inlineStr">
        <is>
          <t>999-9950</t>
        </is>
      </c>
      <c r="C85" s="277" t="inlineStr">
        <is>
          <t>Вспомогательные ненормируемые материальные ресурсы</t>
        </is>
      </c>
      <c r="D85" s="288" t="inlineStr">
        <is>
          <t>руб</t>
        </is>
      </c>
      <c r="E85" s="479" t="n">
        <v>18.620088</v>
      </c>
      <c r="F85" s="277" t="n">
        <v>1</v>
      </c>
      <c r="G85" s="258">
        <f>ROUND(E85*F85,2)</f>
        <v/>
      </c>
      <c r="H85" s="188">
        <f>G85/$G$112</f>
        <v/>
      </c>
      <c r="I85" s="186">
        <f>ROUND(F85*Прил.10!$D$13,2)</f>
        <v/>
      </c>
      <c r="J85" s="186">
        <f>ROUND(I85*E85,2)</f>
        <v/>
      </c>
    </row>
    <row r="86" outlineLevel="1" ht="14.25" customFormat="1" customHeight="1" s="317">
      <c r="A86" s="393" t="n">
        <v>60</v>
      </c>
      <c r="B86" s="288" t="inlineStr">
        <is>
          <t>01.3.01.03-0002</t>
        </is>
      </c>
      <c r="C86" s="277" t="inlineStr">
        <is>
          <t>Керосин для технических целей</t>
        </is>
      </c>
      <c r="D86" s="288" t="inlineStr">
        <is>
          <t>т</t>
        </is>
      </c>
      <c r="E86" s="479" t="n">
        <v>0.0070464</v>
      </c>
      <c r="F86" s="277" t="n">
        <v>2607</v>
      </c>
      <c r="G86" s="258">
        <f>ROUND(E86*F86,2)</f>
        <v/>
      </c>
      <c r="H86" s="188">
        <f>G86/$G$112</f>
        <v/>
      </c>
      <c r="I86" s="186">
        <f>ROUND(F86*Прил.10!$D$13,2)</f>
        <v/>
      </c>
      <c r="J86" s="186">
        <f>ROUND(I86*E86,2)</f>
        <v/>
      </c>
    </row>
    <row r="87" outlineLevel="1" ht="25.5" customFormat="1" customHeight="1" s="317">
      <c r="A87" s="238" t="n">
        <v>61</v>
      </c>
      <c r="B87" s="288" t="inlineStr">
        <is>
          <t>14.4.02.09-0301</t>
        </is>
      </c>
      <c r="C87" s="277" t="inlineStr">
        <is>
          <t>Композиция антикоррозионная цинкнаполненная</t>
        </is>
      </c>
      <c r="D87" s="288" t="inlineStr">
        <is>
          <t>кг</t>
        </is>
      </c>
      <c r="E87" s="479" t="n">
        <v>0.07199999999999999</v>
      </c>
      <c r="F87" s="277" t="n">
        <v>238.47</v>
      </c>
      <c r="G87" s="258">
        <f>ROUND(E87*F87,2)</f>
        <v/>
      </c>
      <c r="H87" s="188">
        <f>G87/$G$112</f>
        <v/>
      </c>
      <c r="I87" s="186">
        <f>ROUND(F87*Прил.10!$D$13,2)</f>
        <v/>
      </c>
      <c r="J87" s="186">
        <f>ROUND(I87*E87,2)</f>
        <v/>
      </c>
    </row>
    <row r="88" outlineLevel="1" ht="14.25" customFormat="1" customHeight="1" s="317">
      <c r="A88" s="393" t="n">
        <v>62</v>
      </c>
      <c r="B88" s="288" t="inlineStr">
        <is>
          <t>14.4.02.09-0001</t>
        </is>
      </c>
      <c r="C88" s="277" t="inlineStr">
        <is>
          <t>Краска</t>
        </is>
      </c>
      <c r="D88" s="288" t="inlineStr">
        <is>
          <t>кг</t>
        </is>
      </c>
      <c r="E88" s="479" t="n">
        <v>0.6</v>
      </c>
      <c r="F88" s="277" t="n">
        <v>28.6</v>
      </c>
      <c r="G88" s="258">
        <f>ROUND(E88*F88,2)</f>
        <v/>
      </c>
      <c r="H88" s="188">
        <f>G88/$G$112</f>
        <v/>
      </c>
      <c r="I88" s="186">
        <f>ROUND(F88*Прил.10!$D$13,2)</f>
        <v/>
      </c>
      <c r="J88" s="186">
        <f>ROUND(I88*E88,2)</f>
        <v/>
      </c>
    </row>
    <row r="89" outlineLevel="1" ht="38.25" customFormat="1" customHeight="1" s="317">
      <c r="A89" s="238" t="n">
        <v>63</v>
      </c>
      <c r="B89" s="288" t="inlineStr">
        <is>
          <t>11.1.03.06-0087</t>
        </is>
      </c>
      <c r="C89" s="277" t="inlineStr">
        <is>
          <t>Доска обрезная, хвойных пород, ширина 75-150 мм, толщина 25 мм, длина 4-6,5 м, сорт III</t>
        </is>
      </c>
      <c r="D89" s="288" t="inlineStr">
        <is>
          <t>м3</t>
        </is>
      </c>
      <c r="E89" s="479" t="n">
        <v>0.013072</v>
      </c>
      <c r="F89" s="277" t="n">
        <v>1100.06</v>
      </c>
      <c r="G89" s="258">
        <f>ROUND(E89*F89,2)</f>
        <v/>
      </c>
      <c r="H89" s="188">
        <f>G89/$G$112</f>
        <v/>
      </c>
      <c r="I89" s="186">
        <f>ROUND(F89*Прил.10!$D$13,2)</f>
        <v/>
      </c>
      <c r="J89" s="186">
        <f>ROUND(I89*E89,2)</f>
        <v/>
      </c>
    </row>
    <row r="90" outlineLevel="1" ht="14.25" customFormat="1" customHeight="1" s="317">
      <c r="A90" s="393" t="n">
        <v>64</v>
      </c>
      <c r="B90" s="288" t="inlineStr">
        <is>
          <t>20.1.02.14-1006</t>
        </is>
      </c>
      <c r="C90" s="277" t="inlineStr">
        <is>
          <t>Серьга СР-12-16</t>
        </is>
      </c>
      <c r="D90" s="288" t="inlineStr">
        <is>
          <t>шт</t>
        </is>
      </c>
      <c r="E90" s="479" t="n">
        <v>1</v>
      </c>
      <c r="F90" s="277" t="n">
        <v>13.29</v>
      </c>
      <c r="G90" s="258">
        <f>ROUND(E90*F90,2)</f>
        <v/>
      </c>
      <c r="H90" s="188">
        <f>G90/$G$112</f>
        <v/>
      </c>
      <c r="I90" s="186">
        <f>ROUND(F90*Прил.10!$D$13,2)</f>
        <v/>
      </c>
      <c r="J90" s="186">
        <f>ROUND(I90*E90,2)</f>
        <v/>
      </c>
    </row>
    <row r="91" outlineLevel="1" ht="14.25" customFormat="1" customHeight="1" s="317">
      <c r="A91" s="238" t="n">
        <v>65</v>
      </c>
      <c r="B91" s="288" t="inlineStr">
        <is>
          <t>01.7.07.12-0024</t>
        </is>
      </c>
      <c r="C91" s="277" t="inlineStr">
        <is>
          <t>Пленка полиэтиленовая, толщина 0,15 мм</t>
        </is>
      </c>
      <c r="D91" s="288" t="inlineStr">
        <is>
          <t>м2</t>
        </is>
      </c>
      <c r="E91" s="479" t="n">
        <v>3.54136</v>
      </c>
      <c r="F91" s="277" t="n">
        <v>3.62</v>
      </c>
      <c r="G91" s="258">
        <f>ROUND(E91*F91,2)</f>
        <v/>
      </c>
      <c r="H91" s="188">
        <f>G91/$G$112</f>
        <v/>
      </c>
      <c r="I91" s="186">
        <f>ROUND(F91*Прил.10!$D$13,2)</f>
        <v/>
      </c>
      <c r="J91" s="186">
        <f>ROUND(I91*E91,2)</f>
        <v/>
      </c>
    </row>
    <row r="92" outlineLevel="1" ht="51" customFormat="1" customHeight="1" s="317">
      <c r="A92" s="393" t="n">
        <v>66</v>
      </c>
      <c r="B92" s="288" t="inlineStr">
        <is>
          <t>01.3.01.06-0023</t>
        </is>
      </c>
      <c r="C92" s="277" t="inlineStr">
        <is>
          <t>Смазка антифрикционная пластичная для узлов трения, работающих при переменных ударных нагрузках, диапазон температур от -60 °C до +80 °C</t>
        </is>
      </c>
      <c r="D92" s="288" t="inlineStr">
        <is>
          <t>т</t>
        </is>
      </c>
      <c r="E92" s="479" t="n">
        <v>0.0005999999999999999</v>
      </c>
      <c r="F92" s="277" t="n">
        <v>20600</v>
      </c>
      <c r="G92" s="258">
        <f>ROUND(E92*F92,2)</f>
        <v/>
      </c>
      <c r="H92" s="188">
        <f>G92/$G$112</f>
        <v/>
      </c>
      <c r="I92" s="186">
        <f>ROUND(F92*Прил.10!$D$13,2)</f>
        <v/>
      </c>
      <c r="J92" s="186">
        <f>ROUND(I92*E92,2)</f>
        <v/>
      </c>
    </row>
    <row r="93" outlineLevel="1" ht="14.25" customFormat="1" customHeight="1" s="317">
      <c r="A93" s="238" t="n">
        <v>67</v>
      </c>
      <c r="B93" s="288" t="inlineStr">
        <is>
          <t>01.3.01.01-0001</t>
        </is>
      </c>
      <c r="C93" s="277" t="inlineStr">
        <is>
          <t>Бензин авиационный Б-70</t>
        </is>
      </c>
      <c r="D93" s="288" t="inlineStr">
        <is>
          <t>т</t>
        </is>
      </c>
      <c r="E93" s="479" t="n">
        <v>0.0026</v>
      </c>
      <c r="F93" s="277" t="n">
        <v>4484.62</v>
      </c>
      <c r="G93" s="258">
        <f>ROUND(E93*F93,2)</f>
        <v/>
      </c>
      <c r="H93" s="188">
        <f>G93/$G$112</f>
        <v/>
      </c>
      <c r="I93" s="186">
        <f>ROUND(F93*Прил.10!$D$13,2)</f>
        <v/>
      </c>
      <c r="J93" s="186">
        <f>ROUND(I93*E93,2)</f>
        <v/>
      </c>
    </row>
    <row r="94" outlineLevel="1" ht="14.25" customFormat="1" customHeight="1" s="317">
      <c r="A94" s="393" t="n">
        <v>68</v>
      </c>
      <c r="B94" s="288" t="inlineStr">
        <is>
          <t>01.7.17.11-0001</t>
        </is>
      </c>
      <c r="C94" s="277" t="inlineStr">
        <is>
          <t>Бумага шлифовальная</t>
        </is>
      </c>
      <c r="D94" s="288" t="inlineStr">
        <is>
          <t>кг</t>
        </is>
      </c>
      <c r="E94" s="479" t="n">
        <v>0.2</v>
      </c>
      <c r="F94" s="277" t="n">
        <v>50</v>
      </c>
      <c r="G94" s="258">
        <f>ROUND(E94*F94,2)</f>
        <v/>
      </c>
      <c r="H94" s="188">
        <f>G94/$G$112</f>
        <v/>
      </c>
      <c r="I94" s="186">
        <f>ROUND(F94*Прил.10!$D$13,2)</f>
        <v/>
      </c>
      <c r="J94" s="186">
        <f>ROUND(I94*E94,2)</f>
        <v/>
      </c>
    </row>
    <row r="95" outlineLevel="1" ht="25.5" customFormat="1" customHeight="1" s="317">
      <c r="A95" s="238" t="n">
        <v>69</v>
      </c>
      <c r="B95" s="288" t="inlineStr">
        <is>
          <t>08.3.03.06-0002</t>
        </is>
      </c>
      <c r="C95" s="277" t="inlineStr">
        <is>
          <t>Проволока горячекатаная в мотках, диаметр 6,3-6,5 мм</t>
        </is>
      </c>
      <c r="D95" s="288" t="inlineStr">
        <is>
          <t>т</t>
        </is>
      </c>
      <c r="E95" s="479" t="n">
        <v>0.002144</v>
      </c>
      <c r="F95" s="277" t="n">
        <v>4454.29</v>
      </c>
      <c r="G95" s="258">
        <f>ROUND(E95*F95,2)</f>
        <v/>
      </c>
      <c r="H95" s="188">
        <f>G95/$G$112</f>
        <v/>
      </c>
      <c r="I95" s="186">
        <f>ROUND(F95*Прил.10!$D$13,2)</f>
        <v/>
      </c>
      <c r="J95" s="186">
        <f>ROUND(I95*E95,2)</f>
        <v/>
      </c>
    </row>
    <row r="96" outlineLevel="1" ht="14.25" customFormat="1" customHeight="1" s="317">
      <c r="A96" s="393" t="n">
        <v>70</v>
      </c>
      <c r="B96" s="288" t="inlineStr">
        <is>
          <t>20.1.02.14-1014</t>
        </is>
      </c>
      <c r="C96" s="277" t="inlineStr">
        <is>
          <t>Серьга СР-7-16</t>
        </is>
      </c>
      <c r="D96" s="288" t="inlineStr">
        <is>
          <t>шт</t>
        </is>
      </c>
      <c r="E96" s="479" t="n">
        <v>1</v>
      </c>
      <c r="F96" s="277" t="n">
        <v>9.359999999999999</v>
      </c>
      <c r="G96" s="258">
        <f>ROUND(E96*F96,2)</f>
        <v/>
      </c>
      <c r="H96" s="188">
        <f>G96/$G$112</f>
        <v/>
      </c>
      <c r="I96" s="186">
        <f>ROUND(F96*Прил.10!$D$13,2)</f>
        <v/>
      </c>
      <c r="J96" s="186">
        <f>ROUND(I96*E96,2)</f>
        <v/>
      </c>
    </row>
    <row r="97" outlineLevel="1" ht="14.25" customFormat="1" customHeight="1" s="317">
      <c r="A97" s="238" t="n">
        <v>71</v>
      </c>
      <c r="B97" s="288" t="inlineStr">
        <is>
          <t>14.4.03.03-0002</t>
        </is>
      </c>
      <c r="C97" s="277" t="inlineStr">
        <is>
          <t>Лак битумный БТ-123</t>
        </is>
      </c>
      <c r="D97" s="288" t="inlineStr">
        <is>
          <t>т</t>
        </is>
      </c>
      <c r="E97" s="479" t="n">
        <v>0.00096</v>
      </c>
      <c r="F97" s="277" t="n">
        <v>7833.33</v>
      </c>
      <c r="G97" s="258">
        <f>ROUND(E97*F97,2)</f>
        <v/>
      </c>
      <c r="H97" s="188">
        <f>G97/$G$112</f>
        <v/>
      </c>
      <c r="I97" s="186">
        <f>ROUND(F97*Прил.10!$D$13,2)</f>
        <v/>
      </c>
      <c r="J97" s="186">
        <f>ROUND(I97*E97,2)</f>
        <v/>
      </c>
    </row>
    <row r="98" outlineLevel="1" ht="38.25" customFormat="1" customHeight="1" s="317">
      <c r="A98" s="393" t="n">
        <v>72</v>
      </c>
      <c r="B98" s="288" t="inlineStr">
        <is>
          <t>11.1.03.01-0079</t>
        </is>
      </c>
      <c r="C98" s="277" t="inlineStr">
        <is>
          <t>Бруски обрезные, хвойных пород, длина 4-6,5 м, ширина 75-150 мм, толщина 40-75 мм, сорт III</t>
        </is>
      </c>
      <c r="D98" s="288" t="inlineStr">
        <is>
          <t>м3</t>
        </is>
      </c>
      <c r="E98" s="479" t="n">
        <v>0.004288</v>
      </c>
      <c r="F98" s="277" t="n">
        <v>1287.31</v>
      </c>
      <c r="G98" s="258">
        <f>ROUND(E98*F98,2)</f>
        <v/>
      </c>
      <c r="H98" s="188">
        <f>G98/$G$112</f>
        <v/>
      </c>
      <c r="I98" s="186">
        <f>ROUND(F98*Прил.10!$D$13,2)</f>
        <v/>
      </c>
      <c r="J98" s="186">
        <f>ROUND(I98*E98,2)</f>
        <v/>
      </c>
    </row>
    <row r="99" outlineLevel="1" ht="25.5" customFormat="1" customHeight="1" s="317">
      <c r="A99" s="238" t="n">
        <v>73</v>
      </c>
      <c r="B99" s="288" t="inlineStr">
        <is>
          <t>14.2.01.05-0001</t>
        </is>
      </c>
      <c r="C99" s="277" t="inlineStr">
        <is>
          <t>Композиция на основе термопластичных полимеров</t>
        </is>
      </c>
      <c r="D99" s="288" t="inlineStr">
        <is>
          <t>кг</t>
        </is>
      </c>
      <c r="E99" s="479" t="n">
        <v>0.09</v>
      </c>
      <c r="F99" s="277" t="n">
        <v>55</v>
      </c>
      <c r="G99" s="258">
        <f>ROUND(E99*F99,2)</f>
        <v/>
      </c>
      <c r="H99" s="188">
        <f>G99/$G$112</f>
        <v/>
      </c>
      <c r="I99" s="186">
        <f>ROUND(F99*Прил.10!$D$13,2)</f>
        <v/>
      </c>
      <c r="J99" s="186">
        <f>ROUND(I99*E99,2)</f>
        <v/>
      </c>
    </row>
    <row r="100" outlineLevel="1" ht="25.5" customFormat="1" customHeight="1" s="317">
      <c r="A100" s="393" t="n">
        <v>74</v>
      </c>
      <c r="B100" s="288" t="inlineStr">
        <is>
          <t>02.3.01.02-1012</t>
        </is>
      </c>
      <c r="C100" s="277" t="inlineStr">
        <is>
          <t>Песок природный II класс, средний, круглые сита</t>
        </is>
      </c>
      <c r="D100" s="288" t="inlineStr">
        <is>
          <t>м3</t>
        </is>
      </c>
      <c r="E100" s="479" t="n">
        <v>0.07199999999999999</v>
      </c>
      <c r="F100" s="277" t="n">
        <v>60</v>
      </c>
      <c r="G100" s="258">
        <f>ROUND(E100*F100,2)</f>
        <v/>
      </c>
      <c r="H100" s="188">
        <f>G100/$G$112</f>
        <v/>
      </c>
      <c r="I100" s="186">
        <f>ROUND(F100*Прил.10!$D$13,2)</f>
        <v/>
      </c>
      <c r="J100" s="186">
        <f>ROUND(I100*E100,2)</f>
        <v/>
      </c>
    </row>
    <row r="101" outlineLevel="1" ht="14.25" customFormat="1" customHeight="1" s="317">
      <c r="A101" s="238" t="n">
        <v>75</v>
      </c>
      <c r="B101" s="288" t="inlineStr">
        <is>
          <t>01.7.03.01-0001</t>
        </is>
      </c>
      <c r="C101" s="277" t="inlineStr">
        <is>
          <t>Вода</t>
        </is>
      </c>
      <c r="D101" s="288" t="inlineStr">
        <is>
          <t>м3</t>
        </is>
      </c>
      <c r="E101" s="479" t="n">
        <v>0.9284232</v>
      </c>
      <c r="F101" s="277" t="n">
        <v>2.46</v>
      </c>
      <c r="G101" s="258">
        <f>ROUND(E101*F101,2)</f>
        <v/>
      </c>
      <c r="H101" s="188">
        <f>G101/$G$112</f>
        <v/>
      </c>
      <c r="I101" s="186">
        <f>ROUND(F101*Прил.10!$D$13,2)</f>
        <v/>
      </c>
      <c r="J101" s="186">
        <f>ROUND(I101*E101,2)</f>
        <v/>
      </c>
    </row>
    <row r="102" outlineLevel="1" ht="14.25" customFormat="1" customHeight="1" s="317">
      <c r="A102" s="393" t="n">
        <v>76</v>
      </c>
      <c r="B102" s="288" t="inlineStr">
        <is>
          <t>08.3.08.02-0023</t>
        </is>
      </c>
      <c r="C102" s="277" t="inlineStr">
        <is>
          <t>Уголок горячекатаный, размер 60х60 мм</t>
        </is>
      </c>
      <c r="D102" s="288" t="inlineStr">
        <is>
          <t>т</t>
        </is>
      </c>
      <c r="E102" s="479" t="n">
        <v>0.00038</v>
      </c>
      <c r="F102" s="277" t="n">
        <v>5552.63</v>
      </c>
      <c r="G102" s="258">
        <f>ROUND(E102*F102,2)</f>
        <v/>
      </c>
      <c r="H102" s="188">
        <f>G102/$G$112</f>
        <v/>
      </c>
      <c r="I102" s="186">
        <f>ROUND(F102*Прил.10!$D$13,2)</f>
        <v/>
      </c>
      <c r="J102" s="186">
        <f>ROUND(I102*E102,2)</f>
        <v/>
      </c>
    </row>
    <row r="103" outlineLevel="1" ht="14.25" customFormat="1" customHeight="1" s="317">
      <c r="A103" s="238" t="n">
        <v>77</v>
      </c>
      <c r="B103" s="288" t="inlineStr">
        <is>
          <t>01.7.11.07-0054</t>
        </is>
      </c>
      <c r="C103" s="277" t="inlineStr">
        <is>
          <t>Электроды сварочные Э42, диаметр 6 мм</t>
        </is>
      </c>
      <c r="D103" s="288" t="inlineStr">
        <is>
          <t>т</t>
        </is>
      </c>
      <c r="E103" s="479" t="n">
        <v>0.0002144</v>
      </c>
      <c r="F103" s="277" t="n">
        <v>9421.639999999999</v>
      </c>
      <c r="G103" s="258">
        <f>ROUND(E103*F103,2)</f>
        <v/>
      </c>
      <c r="H103" s="188">
        <f>G103/$G$112</f>
        <v/>
      </c>
      <c r="I103" s="186">
        <f>ROUND(F103*Прил.10!$D$13,2)</f>
        <v/>
      </c>
      <c r="J103" s="186">
        <f>ROUND(I103*E103,2)</f>
        <v/>
      </c>
    </row>
    <row r="104" outlineLevel="1" ht="25.5" customFormat="1" customHeight="1" s="317">
      <c r="A104" s="393" t="n">
        <v>78</v>
      </c>
      <c r="B104" s="288" t="inlineStr">
        <is>
          <t>03.1.02.03-0011</t>
        </is>
      </c>
      <c r="C104" s="277" t="inlineStr">
        <is>
          <t>Известь строительная негашеная комовая, сорт I</t>
        </is>
      </c>
      <c r="D104" s="288" t="inlineStr">
        <is>
          <t>т</t>
        </is>
      </c>
      <c r="E104" s="479" t="n">
        <v>0.0024656</v>
      </c>
      <c r="F104" s="277" t="n">
        <v>734.1</v>
      </c>
      <c r="G104" s="258">
        <f>ROUND(E104*F104,2)</f>
        <v/>
      </c>
      <c r="H104" s="188">
        <f>G104/$G$112</f>
        <v/>
      </c>
      <c r="I104" s="186">
        <f>ROUND(F104*Прил.10!$D$13,2)</f>
        <v/>
      </c>
      <c r="J104" s="186">
        <f>ROUND(I104*E104,2)</f>
        <v/>
      </c>
    </row>
    <row r="105" outlineLevel="1" ht="14.25" customFormat="1" customHeight="1" s="317">
      <c r="A105" s="238" t="n">
        <v>79</v>
      </c>
      <c r="B105" s="288" t="inlineStr">
        <is>
          <t>01.7.15.14-0165</t>
        </is>
      </c>
      <c r="C105" s="277" t="inlineStr">
        <is>
          <t>Шурупы с полукруглой головкой 4x40 мм</t>
        </is>
      </c>
      <c r="D105" s="288" t="inlineStr">
        <is>
          <t>т</t>
        </is>
      </c>
      <c r="E105" s="479" t="n">
        <v>0.00011</v>
      </c>
      <c r="F105" s="277" t="n">
        <v>12454.55</v>
      </c>
      <c r="G105" s="258">
        <f>ROUND(E105*F105,2)</f>
        <v/>
      </c>
      <c r="H105" s="188">
        <f>G105/$G$112</f>
        <v/>
      </c>
      <c r="I105" s="186">
        <f>ROUND(F105*Прил.10!$D$13,2)</f>
        <v/>
      </c>
      <c r="J105" s="186">
        <f>ROUND(I105*E105,2)</f>
        <v/>
      </c>
    </row>
    <row r="106" outlineLevel="1" ht="14.25" customFormat="1" customHeight="1" s="317">
      <c r="A106" s="393" t="n">
        <v>80</v>
      </c>
      <c r="B106" s="288" t="inlineStr">
        <is>
          <t>01.7.11.07-0032</t>
        </is>
      </c>
      <c r="C106" s="277" t="inlineStr">
        <is>
          <t>Электроды сварочные Э42, диаметр 4 мм</t>
        </is>
      </c>
      <c r="D106" s="288" t="inlineStr">
        <is>
          <t>т</t>
        </is>
      </c>
      <c r="E106" s="479" t="n">
        <v>0.0001094</v>
      </c>
      <c r="F106" s="277" t="n">
        <v>10329.07</v>
      </c>
      <c r="G106" s="258">
        <f>ROUND(E106*F106,2)</f>
        <v/>
      </c>
      <c r="H106" s="188">
        <f>G106/$G$112</f>
        <v/>
      </c>
      <c r="I106" s="186">
        <f>ROUND(F106*Прил.10!$D$13,2)</f>
        <v/>
      </c>
      <c r="J106" s="186">
        <f>ROUND(I106*E106,2)</f>
        <v/>
      </c>
    </row>
    <row r="107" outlineLevel="1" ht="14.25" customFormat="1" customHeight="1" s="317">
      <c r="A107" s="238" t="n">
        <v>81</v>
      </c>
      <c r="B107" s="288" t="inlineStr">
        <is>
          <t>07.2.07.02-0001</t>
        </is>
      </c>
      <c r="C107" s="277" t="inlineStr">
        <is>
          <t>Кондуктор инвентарный металлический</t>
        </is>
      </c>
      <c r="D107" s="288" t="inlineStr">
        <is>
          <t>шт</t>
        </is>
      </c>
      <c r="E107" s="479" t="n">
        <v>0.0005472</v>
      </c>
      <c r="F107" s="277" t="n">
        <v>347.22</v>
      </c>
      <c r="G107" s="258">
        <f>ROUND(E107*F107,2)</f>
        <v/>
      </c>
      <c r="H107" s="188">
        <f>G107/$G$112</f>
        <v/>
      </c>
      <c r="I107" s="186">
        <f>ROUND(F107*Прил.10!$D$13,2)</f>
        <v/>
      </c>
      <c r="J107" s="186">
        <f>ROUND(I107*E107,2)</f>
        <v/>
      </c>
    </row>
    <row r="108" outlineLevel="1" ht="14.25" customFormat="1" customHeight="1" s="317">
      <c r="A108" s="393" t="n">
        <v>82</v>
      </c>
      <c r="B108" s="288" t="inlineStr">
        <is>
          <t>14.5.09.07-0030</t>
        </is>
      </c>
      <c r="C108" s="277" t="inlineStr">
        <is>
          <t>Растворитель Р-4</t>
        </is>
      </c>
      <c r="D108" s="288" t="inlineStr">
        <is>
          <t>кг</t>
        </is>
      </c>
      <c r="E108" s="479" t="n">
        <v>0.008399999999999999</v>
      </c>
      <c r="F108" s="277" t="n">
        <v>9.52</v>
      </c>
      <c r="G108" s="258">
        <f>ROUND(E108*F108,2)</f>
        <v/>
      </c>
      <c r="H108" s="188">
        <f>G108/$G$112</f>
        <v/>
      </c>
      <c r="I108" s="186">
        <f>ROUND(F108*Прил.10!$D$13,2)</f>
        <v/>
      </c>
      <c r="J108" s="186">
        <f>ROUND(I108*E108,2)</f>
        <v/>
      </c>
    </row>
    <row r="109" outlineLevel="1" ht="14.25" customFormat="1" customHeight="1" s="317">
      <c r="A109" s="238" t="n">
        <v>83</v>
      </c>
      <c r="B109" s="288" t="inlineStr">
        <is>
          <t>01.7.15.13-0001</t>
        </is>
      </c>
      <c r="C109" s="277" t="inlineStr">
        <is>
          <t>Шплинты</t>
        </is>
      </c>
      <c r="D109" s="288" t="inlineStr">
        <is>
          <t>кг</t>
        </is>
      </c>
      <c r="E109" s="479" t="n">
        <v>0.00449</v>
      </c>
      <c r="F109" s="277" t="n">
        <v>13.36</v>
      </c>
      <c r="G109" s="258">
        <f>ROUND(E109*F109,2)</f>
        <v/>
      </c>
      <c r="H109" s="188">
        <f>G109/$G$112</f>
        <v/>
      </c>
      <c r="I109" s="186">
        <f>ROUND(F109*Прил.10!$D$13,2)</f>
        <v/>
      </c>
      <c r="J109" s="186">
        <f>ROUND(I109*E109,2)</f>
        <v/>
      </c>
    </row>
    <row r="110" outlineLevel="1" ht="14.25" customFormat="1" customHeight="1" s="317">
      <c r="A110" s="393" t="n">
        <v>84</v>
      </c>
      <c r="B110" s="288" t="inlineStr">
        <is>
          <t>01.7.20.08-0051</t>
        </is>
      </c>
      <c r="C110" s="277" t="inlineStr">
        <is>
          <t>Ветошь</t>
        </is>
      </c>
      <c r="D110" s="288" t="inlineStr">
        <is>
          <t>кг</t>
        </is>
      </c>
      <c r="E110" s="479" t="n">
        <v>0.02936</v>
      </c>
      <c r="F110" s="277" t="n">
        <v>1.7</v>
      </c>
      <c r="G110" s="258">
        <f>ROUND(E110*F110,2)</f>
        <v/>
      </c>
      <c r="H110" s="188">
        <f>G110/$G$112</f>
        <v/>
      </c>
      <c r="I110" s="186">
        <f>ROUND(F110*Прил.10!$D$13,2)</f>
        <v/>
      </c>
      <c r="J110" s="186">
        <f>ROUND(I110*E110,2)</f>
        <v/>
      </c>
    </row>
    <row r="111" ht="14.25" customFormat="1" customHeight="1" s="317">
      <c r="A111" s="393" t="n"/>
      <c r="B111" s="393" t="n"/>
      <c r="C111" s="392" t="inlineStr">
        <is>
          <t>Итого прочие материалы</t>
        </is>
      </c>
      <c r="D111" s="393" t="n"/>
      <c r="E111" s="394" t="n"/>
      <c r="F111" s="395" t="n"/>
      <c r="G111" s="186">
        <f>SUM(G62:G110)</f>
        <v/>
      </c>
      <c r="H111" s="188">
        <f>G111/$G$112</f>
        <v/>
      </c>
      <c r="I111" s="186" t="n"/>
      <c r="J111" s="186">
        <f>SUM(J62:J110)</f>
        <v/>
      </c>
    </row>
    <row r="112" ht="14.25" customFormat="1" customHeight="1" s="317">
      <c r="A112" s="393" t="n"/>
      <c r="B112" s="393" t="n"/>
      <c r="C112" s="391" t="inlineStr">
        <is>
          <t>Итого по разделу «Материалы»</t>
        </is>
      </c>
      <c r="D112" s="393" t="n"/>
      <c r="E112" s="394" t="n"/>
      <c r="F112" s="395" t="n"/>
      <c r="G112" s="186">
        <f>G61+G111</f>
        <v/>
      </c>
      <c r="H112" s="396">
        <f>G112/$G$112</f>
        <v/>
      </c>
      <c r="I112" s="186" t="n"/>
      <c r="J112" s="186">
        <f>J61+J111</f>
        <v/>
      </c>
    </row>
    <row r="113" ht="14.25" customFormat="1" customHeight="1" s="317">
      <c r="A113" s="393" t="n"/>
      <c r="B113" s="393" t="n"/>
      <c r="C113" s="392" t="inlineStr">
        <is>
          <t>ИТОГО ПО РМ</t>
        </is>
      </c>
      <c r="D113" s="393" t="n"/>
      <c r="E113" s="394" t="n"/>
      <c r="F113" s="395" t="n"/>
      <c r="G113" s="186">
        <f>G15+G43+G112</f>
        <v/>
      </c>
      <c r="H113" s="396" t="n"/>
      <c r="I113" s="186" t="n"/>
      <c r="J113" s="186">
        <f>J15+J43+J112</f>
        <v/>
      </c>
    </row>
    <row r="114" ht="14.25" customFormat="1" customHeight="1" s="317">
      <c r="A114" s="393" t="n"/>
      <c r="B114" s="393" t="n"/>
      <c r="C114" s="392" t="inlineStr">
        <is>
          <t>Накладные расходы</t>
        </is>
      </c>
      <c r="D114" s="249">
        <f>ROUND(G114/(G$17+$G$15),2)</f>
        <v/>
      </c>
      <c r="E114" s="394" t="n"/>
      <c r="F114" s="395" t="n"/>
      <c r="G114" s="186" t="n">
        <v>1735.17</v>
      </c>
      <c r="H114" s="396" t="n"/>
      <c r="I114" s="186" t="n"/>
      <c r="J114" s="186">
        <f>ROUND(D114*(J15+J17),2)</f>
        <v/>
      </c>
    </row>
    <row r="115" ht="14.25" customFormat="1" customHeight="1" s="317">
      <c r="A115" s="393" t="n"/>
      <c r="B115" s="393" t="n"/>
      <c r="C115" s="392" t="inlineStr">
        <is>
          <t>Сметная прибыль</t>
        </is>
      </c>
      <c r="D115" s="249">
        <f>ROUND(G115/(G$15+G$17),2)</f>
        <v/>
      </c>
      <c r="E115" s="394" t="n"/>
      <c r="F115" s="395" t="n"/>
      <c r="G115" s="186" t="n">
        <v>930.51</v>
      </c>
      <c r="H115" s="396" t="n"/>
      <c r="I115" s="186" t="n"/>
      <c r="J115" s="186">
        <f>ROUND(D115*(J15+J17),2)</f>
        <v/>
      </c>
    </row>
    <row r="116" ht="14.25" customFormat="1" customHeight="1" s="317">
      <c r="A116" s="393" t="n"/>
      <c r="B116" s="393" t="n"/>
      <c r="C116" s="392" t="inlineStr">
        <is>
          <t>Итого СМР (с НР и СП)</t>
        </is>
      </c>
      <c r="D116" s="393" t="n"/>
      <c r="E116" s="394" t="n"/>
      <c r="F116" s="395" t="n"/>
      <c r="G116" s="186">
        <f>G15+G43+G112+G114+G115</f>
        <v/>
      </c>
      <c r="H116" s="396" t="n"/>
      <c r="I116" s="186" t="n"/>
      <c r="J116" s="186">
        <f>J15+J43+J112+J114+J115</f>
        <v/>
      </c>
    </row>
    <row r="117" ht="14.25" customFormat="1" customHeight="1" s="317">
      <c r="A117" s="393" t="n"/>
      <c r="B117" s="393" t="n"/>
      <c r="C117" s="392" t="inlineStr">
        <is>
          <t>ВСЕГО СМР + ОБОРУДОВАНИЕ</t>
        </is>
      </c>
      <c r="D117" s="393" t="n"/>
      <c r="E117" s="394" t="n"/>
      <c r="F117" s="395" t="n"/>
      <c r="G117" s="186">
        <f>G116+G48</f>
        <v/>
      </c>
      <c r="H117" s="396" t="n"/>
      <c r="I117" s="186" t="n"/>
      <c r="J117" s="186">
        <f>J116+J48</f>
        <v/>
      </c>
    </row>
    <row r="118" ht="34.5" customFormat="1" customHeight="1" s="317">
      <c r="A118" s="393" t="n"/>
      <c r="B118" s="393" t="n"/>
      <c r="C118" s="392" t="inlineStr">
        <is>
          <t>ИТОГО ПОКАЗАТЕЛЬ НА ЕД. ИЗМ.</t>
        </is>
      </c>
      <c r="D118" s="393" t="inlineStr">
        <is>
          <t>ед.</t>
        </is>
      </c>
      <c r="E118" s="482" t="n">
        <v>1</v>
      </c>
      <c r="F118" s="395" t="n"/>
      <c r="G118" s="186">
        <f>G117/E118</f>
        <v/>
      </c>
      <c r="H118" s="396" t="n"/>
      <c r="I118" s="186" t="n"/>
      <c r="J118" s="186">
        <f>J117/E118</f>
        <v/>
      </c>
    </row>
    <row r="120" ht="14.25" customFormat="1" customHeight="1" s="317">
      <c r="A120" s="307" t="inlineStr">
        <is>
          <t>Составил ______________________    А.Р. Маркова</t>
        </is>
      </c>
      <c r="B120" s="245" t="n"/>
      <c r="C120" s="248" t="n"/>
      <c r="D120" s="245" t="n"/>
      <c r="E120" s="245" t="n"/>
      <c r="F120" s="252" t="n"/>
      <c r="G120" s="252" t="n"/>
      <c r="H120" s="252" t="n"/>
      <c r="I120" s="252" t="n"/>
      <c r="J120" s="252" t="n"/>
    </row>
    <row r="121" ht="14.25" customFormat="1" customHeight="1" s="317">
      <c r="A121" s="316" t="inlineStr">
        <is>
          <t xml:space="preserve">                         (подпись, инициалы, фамилия)</t>
        </is>
      </c>
      <c r="B121" s="245" t="n"/>
      <c r="C121" s="248" t="n"/>
      <c r="D121" s="245" t="n"/>
      <c r="E121" s="245" t="n"/>
      <c r="F121" s="252" t="n"/>
      <c r="G121" s="252" t="n"/>
      <c r="H121" s="252" t="n"/>
      <c r="I121" s="252" t="n"/>
      <c r="J121" s="252" t="n"/>
    </row>
    <row r="122" ht="14.25" customFormat="1" customHeight="1" s="317">
      <c r="A122" s="307" t="n"/>
      <c r="B122" s="245" t="n"/>
      <c r="C122" s="248" t="n"/>
      <c r="D122" s="245" t="n"/>
      <c r="E122" s="245" t="n"/>
      <c r="F122" s="252" t="n"/>
      <c r="G122" s="252" t="n"/>
      <c r="H122" s="252" t="n"/>
      <c r="I122" s="252" t="n"/>
      <c r="J122" s="252" t="n"/>
    </row>
    <row r="123" ht="14.25" customFormat="1" customHeight="1" s="317">
      <c r="A123" s="307" t="inlineStr">
        <is>
          <t>Проверил ______________________        А.В. Костянецкая</t>
        </is>
      </c>
      <c r="B123" s="245" t="n"/>
      <c r="C123" s="248" t="n"/>
      <c r="D123" s="245" t="n"/>
      <c r="E123" s="245" t="n"/>
      <c r="F123" s="252" t="n"/>
      <c r="G123" s="252" t="n"/>
      <c r="H123" s="252" t="n"/>
      <c r="I123" s="252" t="n"/>
      <c r="J123" s="252" t="n"/>
    </row>
    <row r="124" ht="14.25" customFormat="1" customHeight="1" s="317">
      <c r="A124" s="316" t="inlineStr">
        <is>
          <t xml:space="preserve">                        (подпись, инициалы, фамилия)</t>
        </is>
      </c>
      <c r="B124" s="245" t="n"/>
      <c r="C124" s="248" t="n"/>
      <c r="D124" s="245" t="n"/>
      <c r="E124" s="245" t="n"/>
      <c r="F124" s="252" t="n"/>
      <c r="G124" s="252" t="n"/>
      <c r="H124" s="252" t="n"/>
      <c r="I124" s="252" t="n"/>
      <c r="J124" s="252" t="n"/>
    </row>
  </sheetData>
  <mergeCells count="20">
    <mergeCell ref="F10:G10"/>
    <mergeCell ref="A4:J4"/>
    <mergeCell ref="C10:C11"/>
    <mergeCell ref="H2:J2"/>
    <mergeCell ref="E10:E11"/>
    <mergeCell ref="B51:H51"/>
    <mergeCell ref="B50:H50"/>
    <mergeCell ref="A7:H7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44:H44"/>
    <mergeCell ref="B19:H19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10" workbookViewId="0">
      <selection activeCell="C24" sqref="C24"/>
    </sheetView>
  </sheetViews>
  <sheetFormatPr baseColWidth="8" defaultRowHeight="15"/>
  <cols>
    <col width="5.7109375" customWidth="1" style="319" min="1" max="1"/>
    <col width="17.5703125" customWidth="1" style="319" min="2" max="2"/>
    <col width="39.140625" customWidth="1" style="319" min="3" max="3"/>
    <col width="10.7109375" customWidth="1" style="319" min="4" max="4"/>
    <col width="13.85546875" customWidth="1" style="319" min="5" max="5"/>
    <col width="13.28515625" customWidth="1" style="319" min="6" max="6"/>
    <col width="14.140625" customWidth="1" style="319" min="7" max="7"/>
  </cols>
  <sheetData>
    <row r="1">
      <c r="A1" s="416" t="inlineStr">
        <is>
          <t>Приложение №6</t>
        </is>
      </c>
    </row>
    <row r="2" ht="21.75" customHeight="1" s="319">
      <c r="A2" s="416" t="n"/>
      <c r="B2" s="416" t="n"/>
      <c r="C2" s="416" t="n"/>
      <c r="D2" s="416" t="n"/>
      <c r="E2" s="416" t="n"/>
      <c r="F2" s="416" t="n"/>
      <c r="G2" s="416" t="n"/>
    </row>
    <row r="3">
      <c r="A3" s="362" t="inlineStr">
        <is>
          <t>Расчет стоимости оборудования</t>
        </is>
      </c>
    </row>
    <row r="4" ht="25.5" customHeight="1" s="319">
      <c r="A4" s="365" t="inlineStr">
        <is>
          <t>Наименование разрабатываемого показателя УНЦ — ВЧ-обработка и присоединение (ВЧЗ+КС+ФП+РК) на ЛЭП 500 кВ</t>
        </is>
      </c>
    </row>
    <row r="5">
      <c r="A5" s="307" t="n"/>
      <c r="B5" s="307" t="n"/>
      <c r="C5" s="307" t="n"/>
      <c r="D5" s="307" t="n"/>
      <c r="E5" s="307" t="n"/>
      <c r="F5" s="307" t="n"/>
      <c r="G5" s="307" t="n"/>
    </row>
    <row r="6" ht="30" customHeight="1" s="319">
      <c r="A6" s="421" t="inlineStr">
        <is>
          <t>№ пп.</t>
        </is>
      </c>
      <c r="B6" s="393" t="inlineStr">
        <is>
          <t>Код ресурса</t>
        </is>
      </c>
      <c r="C6" s="393" t="inlineStr">
        <is>
          <t>Наименование</t>
        </is>
      </c>
      <c r="D6" s="393" t="inlineStr">
        <is>
          <t>Ед. изм.</t>
        </is>
      </c>
      <c r="E6" s="393" t="inlineStr">
        <is>
          <t>Кол-во единиц по проектным данным</t>
        </is>
      </c>
      <c r="F6" s="421" t="inlineStr">
        <is>
          <t>Сметная стоимость в ценах на 01.01.2000 (руб.)</t>
        </is>
      </c>
      <c r="G6" s="468" t="n"/>
    </row>
    <row r="7">
      <c r="A7" s="470" t="n"/>
      <c r="B7" s="470" t="n"/>
      <c r="C7" s="470" t="n"/>
      <c r="D7" s="470" t="n"/>
      <c r="E7" s="470" t="n"/>
      <c r="F7" s="393" t="inlineStr">
        <is>
          <t>на ед. изм.</t>
        </is>
      </c>
      <c r="G7" s="393" t="inlineStr">
        <is>
          <t>общая</t>
        </is>
      </c>
    </row>
    <row r="8">
      <c r="A8" s="393" t="n">
        <v>1</v>
      </c>
      <c r="B8" s="393" t="n">
        <v>2</v>
      </c>
      <c r="C8" s="393" t="n">
        <v>3</v>
      </c>
      <c r="D8" s="393" t="n">
        <v>4</v>
      </c>
      <c r="E8" s="393" t="n">
        <v>5</v>
      </c>
      <c r="F8" s="393" t="n">
        <v>6</v>
      </c>
      <c r="G8" s="393" t="n">
        <v>7</v>
      </c>
    </row>
    <row r="9" ht="15" customHeight="1" s="319">
      <c r="A9" s="217" t="n"/>
      <c r="B9" s="392" t="inlineStr">
        <is>
          <t>ИНЖЕНЕРНОЕ ОБОРУДОВАНИЕ</t>
        </is>
      </c>
      <c r="C9" s="467" t="n"/>
      <c r="D9" s="467" t="n"/>
      <c r="E9" s="467" t="n"/>
      <c r="F9" s="467" t="n"/>
      <c r="G9" s="468" t="n"/>
    </row>
    <row r="10" ht="27" customHeight="1" s="319">
      <c r="A10" s="393" t="n"/>
      <c r="B10" s="391" t="n"/>
      <c r="C10" s="392" t="inlineStr">
        <is>
          <t>ИТОГО ИНЖЕНЕРНОЕ ОБОРУДОВАНИЕ</t>
        </is>
      </c>
      <c r="D10" s="391" t="n"/>
      <c r="E10" s="143" t="n"/>
      <c r="F10" s="395" t="n"/>
      <c r="G10" s="395" t="n">
        <v>0</v>
      </c>
    </row>
    <row r="11">
      <c r="A11" s="393" t="n"/>
      <c r="B11" s="392" t="inlineStr">
        <is>
          <t>ТЕХНОЛОГИЧЕСКОЕ ОБОРУДОВАНИЕ</t>
        </is>
      </c>
      <c r="C11" s="467" t="n"/>
      <c r="D11" s="467" t="n"/>
      <c r="E11" s="467" t="n"/>
      <c r="F11" s="467" t="n"/>
      <c r="G11" s="468" t="n"/>
    </row>
    <row r="12">
      <c r="A12" s="393" t="n">
        <v>1</v>
      </c>
      <c r="B12" s="392">
        <f>'Прил.5 Расчет СМР и ОБ'!B45</f>
        <v/>
      </c>
      <c r="C12" s="392">
        <f>'Прил.5 Расчет СМР и ОБ'!C45</f>
        <v/>
      </c>
      <c r="D12" s="393">
        <f>'Прил.5 Расчет СМР и ОБ'!D45</f>
        <v/>
      </c>
      <c r="E12" s="483">
        <f>'Прил.5 Расчет СМР и ОБ'!E45</f>
        <v/>
      </c>
      <c r="F12" s="393">
        <f>'Прил.5 Расчет СМР и ОБ'!F45</f>
        <v/>
      </c>
      <c r="G12" s="395">
        <f>ROUND(E12*F12,2)</f>
        <v/>
      </c>
    </row>
    <row r="13">
      <c r="A13" s="393" t="n">
        <v>2</v>
      </c>
      <c r="B13" s="392">
        <f>'Прил.5 Расчет СМР и ОБ'!B46</f>
        <v/>
      </c>
      <c r="C13" s="392">
        <f>'Прил.5 Расчет СМР и ОБ'!C46</f>
        <v/>
      </c>
      <c r="D13" s="393">
        <f>'Прил.5 Расчет СМР и ОБ'!D46</f>
        <v/>
      </c>
      <c r="E13" s="483">
        <f>'Прил.5 Расчет СМР и ОБ'!E46</f>
        <v/>
      </c>
      <c r="F13" s="393">
        <f>'Прил.5 Расчет СМР и ОБ'!F46</f>
        <v/>
      </c>
      <c r="G13" s="395">
        <f>ROUND(E13*F13,2)</f>
        <v/>
      </c>
    </row>
    <row r="14">
      <c r="A14" s="393" t="n">
        <v>3</v>
      </c>
      <c r="B14" s="392">
        <f>'Прил.5 Расчет СМР и ОБ'!B47</f>
        <v/>
      </c>
      <c r="C14" s="392">
        <f>'Прил.5 Расчет СМР и ОБ'!C47</f>
        <v/>
      </c>
      <c r="D14" s="393">
        <f>'Прил.5 Расчет СМР и ОБ'!D47</f>
        <v/>
      </c>
      <c r="E14" s="483">
        <f>'Прил.5 Расчет СМР и ОБ'!E47</f>
        <v/>
      </c>
      <c r="F14" s="393">
        <f>'Прил.5 Расчет СМР и ОБ'!F47</f>
        <v/>
      </c>
      <c r="G14" s="395">
        <f>ROUND(E14*F14,2)</f>
        <v/>
      </c>
    </row>
    <row r="15" ht="25.5" customHeight="1" s="319">
      <c r="A15" s="393" t="n"/>
      <c r="B15" s="391" t="n"/>
      <c r="C15" s="392" t="inlineStr">
        <is>
          <t>ИТОГО ТЕХНОЛОГИЧЕСКОЕ ОБОРУДОВАНИЕ</t>
        </is>
      </c>
      <c r="D15" s="391" t="n"/>
      <c r="E15" s="143" t="n"/>
      <c r="F15" s="395" t="n"/>
      <c r="G15" s="395">
        <f>G12+G13+G14</f>
        <v/>
      </c>
    </row>
    <row r="16" ht="19.5" customHeight="1" s="319">
      <c r="A16" s="393" t="n"/>
      <c r="B16" s="392" t="n"/>
      <c r="C16" s="392" t="inlineStr">
        <is>
          <t>Всего по разделу «Оборудование»</t>
        </is>
      </c>
      <c r="D16" s="392" t="n"/>
      <c r="E16" s="420" t="n"/>
      <c r="F16" s="395" t="n"/>
      <c r="G16" s="186">
        <f>G10+G15</f>
        <v/>
      </c>
    </row>
    <row r="17">
      <c r="A17" s="318" t="n"/>
      <c r="B17" s="313" t="n"/>
      <c r="C17" s="318" t="n"/>
      <c r="D17" s="318" t="n"/>
      <c r="E17" s="318" t="n"/>
      <c r="F17" s="318" t="n"/>
      <c r="G17" s="318" t="n"/>
    </row>
    <row r="18">
      <c r="A18" s="307" t="inlineStr">
        <is>
          <t>Составил ______________________    А.Р. Маркова</t>
        </is>
      </c>
      <c r="B18" s="317" t="n"/>
      <c r="C18" s="317" t="n"/>
      <c r="D18" s="318" t="n"/>
      <c r="E18" s="318" t="n"/>
      <c r="F18" s="318" t="n"/>
      <c r="G18" s="318" t="n"/>
    </row>
    <row r="19">
      <c r="A19" s="316" t="inlineStr">
        <is>
          <t xml:space="preserve">                         (подпись, инициалы, фамилия)</t>
        </is>
      </c>
      <c r="B19" s="317" t="n"/>
      <c r="C19" s="317" t="n"/>
      <c r="D19" s="318" t="n"/>
      <c r="E19" s="318" t="n"/>
      <c r="F19" s="318" t="n"/>
      <c r="G19" s="318" t="n"/>
    </row>
    <row r="20">
      <c r="A20" s="307" t="n"/>
      <c r="B20" s="317" t="n"/>
      <c r="C20" s="317" t="n"/>
      <c r="D20" s="318" t="n"/>
      <c r="E20" s="318" t="n"/>
      <c r="F20" s="318" t="n"/>
      <c r="G20" s="318" t="n"/>
    </row>
    <row r="21">
      <c r="A21" s="307" t="inlineStr">
        <is>
          <t>Проверил ______________________        А.В. Костянецкая</t>
        </is>
      </c>
      <c r="B21" s="317" t="n"/>
      <c r="C21" s="317" t="n"/>
      <c r="D21" s="318" t="n"/>
      <c r="E21" s="318" t="n"/>
      <c r="F21" s="318" t="n"/>
      <c r="G21" s="318" t="n"/>
    </row>
    <row r="22">
      <c r="A22" s="316" t="inlineStr">
        <is>
          <t xml:space="preserve">                        (подпись, инициалы, фамилия)</t>
        </is>
      </c>
      <c r="B22" s="317" t="n"/>
      <c r="C22" s="317" t="n"/>
      <c r="D22" s="318" t="n"/>
      <c r="E22" s="318" t="n"/>
      <c r="F22" s="318" t="n"/>
      <c r="G22" s="31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319" min="1" max="1"/>
    <col width="29.7109375" customWidth="1" style="319" min="2" max="2"/>
    <col width="39.140625" customWidth="1" style="319" min="3" max="3"/>
    <col width="24.5703125" customWidth="1" style="319" min="4" max="4"/>
    <col width="8.85546875" customWidth="1" style="319" min="5" max="5"/>
  </cols>
  <sheetData>
    <row r="1">
      <c r="B1" s="307" t="n"/>
      <c r="C1" s="307" t="n"/>
      <c r="D1" s="416" t="inlineStr">
        <is>
          <t>Приложение №7</t>
        </is>
      </c>
    </row>
    <row r="2">
      <c r="A2" s="416" t="n"/>
      <c r="B2" s="416" t="n"/>
      <c r="C2" s="416" t="n"/>
      <c r="D2" s="416" t="n"/>
    </row>
    <row r="3" ht="24.75" customHeight="1" s="319">
      <c r="A3" s="362" t="inlineStr">
        <is>
          <t>Расчет показателя УНЦ</t>
        </is>
      </c>
    </row>
    <row r="4" ht="24.75" customHeight="1" s="319">
      <c r="A4" s="362" t="n"/>
      <c r="B4" s="362" t="n"/>
      <c r="C4" s="362" t="n"/>
      <c r="D4" s="362" t="n"/>
    </row>
    <row r="5" ht="24.6" customHeight="1" s="319">
      <c r="A5" s="365" t="inlineStr">
        <is>
          <t xml:space="preserve">Наименование разрабатываемого показателя УНЦ - </t>
        </is>
      </c>
      <c r="D5" s="365">
        <f>'Прил.5 Расчет СМР и ОБ'!D6:J6</f>
        <v/>
      </c>
    </row>
    <row r="6" ht="19.9" customHeight="1" s="319">
      <c r="A6" s="365" t="inlineStr">
        <is>
          <t>Единица измерения  — 1 ед</t>
        </is>
      </c>
      <c r="D6" s="365" t="n"/>
    </row>
    <row r="7">
      <c r="A7" s="307" t="n"/>
      <c r="B7" s="307" t="n"/>
      <c r="C7" s="307" t="n"/>
      <c r="D7" s="307" t="n"/>
    </row>
    <row r="8" ht="14.45" customHeight="1" s="319">
      <c r="A8" s="377" t="inlineStr">
        <is>
          <t>Код показателя</t>
        </is>
      </c>
      <c r="B8" s="377" t="inlineStr">
        <is>
          <t>Наименование показателя</t>
        </is>
      </c>
      <c r="C8" s="377" t="inlineStr">
        <is>
          <t>Наименование РМ, входящих в состав показателя</t>
        </is>
      </c>
      <c r="D8" s="377" t="inlineStr">
        <is>
          <t>Норматив цены на 01.01.2023, тыс.руб.</t>
        </is>
      </c>
    </row>
    <row r="9" ht="15" customHeight="1" s="319">
      <c r="A9" s="470" t="n"/>
      <c r="B9" s="470" t="n"/>
      <c r="C9" s="470" t="n"/>
      <c r="D9" s="470" t="n"/>
    </row>
    <row r="10">
      <c r="A10" s="393" t="n">
        <v>1</v>
      </c>
      <c r="B10" s="393" t="n">
        <v>2</v>
      </c>
      <c r="C10" s="393" t="n">
        <v>3</v>
      </c>
      <c r="D10" s="393" t="n">
        <v>4</v>
      </c>
    </row>
    <row r="11" ht="41.45" customHeight="1" s="319">
      <c r="A11" s="393" t="inlineStr">
        <is>
          <t>А6-05-1</t>
        </is>
      </c>
      <c r="B11" s="393" t="inlineStr">
        <is>
          <t xml:space="preserve">УНЦ системы ВЧ связи 35-750 кВ </t>
        </is>
      </c>
      <c r="C11" s="309">
        <f>D5</f>
        <v/>
      </c>
      <c r="D11" s="310">
        <f>'Прил.4 РМ'!C41/1000</f>
        <v/>
      </c>
      <c r="E11" s="311" t="n"/>
    </row>
    <row r="12">
      <c r="A12" s="318" t="n"/>
      <c r="B12" s="313" t="n"/>
      <c r="C12" s="318" t="n"/>
      <c r="D12" s="318" t="n"/>
    </row>
    <row r="13">
      <c r="A13" s="307" t="inlineStr">
        <is>
          <t>Составил ______________________      А.Р. Маркова</t>
        </is>
      </c>
      <c r="B13" s="317" t="n"/>
      <c r="C13" s="317" t="n"/>
      <c r="D13" s="318" t="n"/>
    </row>
    <row r="14">
      <c r="A14" s="316" t="inlineStr">
        <is>
          <t xml:space="preserve">                         (подпись, инициалы, фамилия)</t>
        </is>
      </c>
      <c r="B14" s="317" t="n"/>
      <c r="C14" s="317" t="n"/>
      <c r="D14" s="318" t="n"/>
    </row>
    <row r="15">
      <c r="A15" s="307" t="n"/>
      <c r="B15" s="317" t="n"/>
      <c r="C15" s="317" t="n"/>
      <c r="D15" s="318" t="n"/>
    </row>
    <row r="16">
      <c r="A16" s="307" t="inlineStr">
        <is>
          <t>Проверил ______________________        А.В. Костянецкая</t>
        </is>
      </c>
      <c r="B16" s="317" t="n"/>
      <c r="C16" s="317" t="n"/>
      <c r="D16" s="318" t="n"/>
    </row>
    <row r="17">
      <c r="A17" s="316" t="inlineStr">
        <is>
          <t xml:space="preserve">                        (подпись, инициалы, фамилия)</t>
        </is>
      </c>
      <c r="B17" s="317" t="n"/>
      <c r="C17" s="317" t="n"/>
      <c r="D17" s="31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7"/>
  <sheetViews>
    <sheetView view="pageBreakPreview" topLeftCell="A11" zoomScaleNormal="85" zoomScaleSheetLayoutView="100" workbookViewId="0">
      <selection activeCell="C24" sqref="C24"/>
    </sheetView>
  </sheetViews>
  <sheetFormatPr baseColWidth="8" defaultColWidth="9.140625" defaultRowHeight="15"/>
  <cols>
    <col width="9.140625" customWidth="1" style="319" min="1" max="1"/>
    <col width="40.7109375" customWidth="1" style="319" min="2" max="2"/>
    <col width="37" customWidth="1" style="319" min="3" max="3"/>
    <col width="32" customWidth="1" style="319" min="4" max="4"/>
    <col width="9.140625" customWidth="1" style="319" min="5" max="5"/>
  </cols>
  <sheetData>
    <row r="4" ht="15.75" customHeight="1" s="319">
      <c r="B4" s="369" t="inlineStr">
        <is>
          <t>Приложение № 10</t>
        </is>
      </c>
    </row>
    <row r="5" ht="18.75" customHeight="1" s="319">
      <c r="B5" s="167" t="n"/>
    </row>
    <row r="6" ht="15.75" customHeight="1" s="319">
      <c r="B6" s="370" t="inlineStr">
        <is>
          <t>Используемые индексы изменений сметной стоимости и нормы сопутствующих затрат</t>
        </is>
      </c>
    </row>
    <row r="7">
      <c r="B7" s="422" t="n"/>
    </row>
    <row r="8">
      <c r="B8" s="422" t="n"/>
      <c r="C8" s="422" t="n"/>
      <c r="D8" s="422" t="n"/>
      <c r="E8" s="422" t="n"/>
    </row>
    <row r="9" ht="47.25" customHeight="1" s="319">
      <c r="B9" s="377" t="inlineStr">
        <is>
          <t>Наименование индекса / норм сопутствующих затрат</t>
        </is>
      </c>
      <c r="C9" s="377" t="inlineStr">
        <is>
          <t>Дата применения и обоснование индекса / норм сопутствующих затрат</t>
        </is>
      </c>
      <c r="D9" s="377" t="inlineStr">
        <is>
          <t>Размер индекса / норма сопутствующих затрат</t>
        </is>
      </c>
    </row>
    <row r="10" ht="15.75" customHeight="1" s="319">
      <c r="B10" s="377" t="n">
        <v>1</v>
      </c>
      <c r="C10" s="377" t="n">
        <v>2</v>
      </c>
      <c r="D10" s="377" t="n">
        <v>3</v>
      </c>
    </row>
    <row r="11" ht="45" customHeight="1" s="319">
      <c r="B11" s="377" t="inlineStr">
        <is>
          <t xml:space="preserve">Индекс изменения сметной стоимости на 1 квартал 2023 года. ОЗП </t>
        </is>
      </c>
      <c r="C11" s="377" t="inlineStr">
        <is>
          <t>Письмо Минстроя России от 01.04.2023г. №17772-ИФ/09 прил.9</t>
        </is>
      </c>
      <c r="D11" s="377" t="n">
        <v>46.83</v>
      </c>
    </row>
    <row r="12" ht="29.25" customHeight="1" s="319">
      <c r="B12" s="377" t="inlineStr">
        <is>
          <t>Индекс изменения сметной стоимости на 1 квартал 2023 года. ЭМ</t>
        </is>
      </c>
      <c r="C12" s="377" t="inlineStr">
        <is>
          <t>Письмо Минстроя России от 01.04.2023г. №17772-ИФ/09 прил.9</t>
        </is>
      </c>
      <c r="D12" s="377" t="n">
        <v>9.140000000000001</v>
      </c>
    </row>
    <row r="13" ht="29.25" customHeight="1" s="319">
      <c r="B13" s="377" t="inlineStr">
        <is>
          <t>Индекс изменения сметной стоимости на 1 квартал 2023 года. МАТ</t>
        </is>
      </c>
      <c r="C13" s="377" t="inlineStr">
        <is>
          <t>Письмо Минстроя России от 01.04.2023г. №17772-ИФ/09 прил.9</t>
        </is>
      </c>
      <c r="D13" s="377" t="n">
        <v>11.79</v>
      </c>
    </row>
    <row r="14" ht="30.75" customHeight="1" s="319">
      <c r="B14" s="377" t="inlineStr">
        <is>
          <t>Индекс изменения сметной стоимости на 1 квартал 2023 года. ОБ</t>
        </is>
      </c>
      <c r="C14" s="166" t="inlineStr">
        <is>
          <t>Письмо Минстроя России от 23.02.2023г. №9791-ИФ/09 прил.6</t>
        </is>
      </c>
      <c r="D14" s="377" t="n">
        <v>6.26</v>
      </c>
    </row>
    <row r="15" ht="89.25" customHeight="1" s="319">
      <c r="B15" s="377" t="inlineStr">
        <is>
          <t>Временные здания и сооружения</t>
        </is>
      </c>
      <c r="C15" s="377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0" t="n">
        <v>0.033</v>
      </c>
    </row>
    <row r="16" ht="78.75" customHeight="1" s="319">
      <c r="B16" s="377" t="inlineStr">
        <is>
          <t>Дополнительные затраты при производстве строительно-монтажных работ в зимнее время</t>
        </is>
      </c>
      <c r="C16" s="377" t="inlineStr">
        <is>
          <t xml:space="preserve">п.51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0" t="n">
        <v>0.021</v>
      </c>
    </row>
    <row r="17" ht="34.5" customHeight="1" s="319">
      <c r="B17" s="377" t="n"/>
      <c r="C17" s="377" t="n"/>
      <c r="D17" s="377" t="n"/>
    </row>
    <row r="18" ht="31.5" customHeight="1" s="319">
      <c r="B18" s="377" t="inlineStr">
        <is>
          <t>Строительный контроль</t>
        </is>
      </c>
      <c r="C18" s="377" t="inlineStr">
        <is>
          <t>Постановление Правительства РФ от 21.06.10 г. № 468</t>
        </is>
      </c>
      <c r="D18" s="170" t="n">
        <v>0.0214</v>
      </c>
    </row>
    <row r="19" ht="31.5" customHeight="1" s="319">
      <c r="B19" s="377" t="inlineStr">
        <is>
          <t>Авторский надзор - 0,2%</t>
        </is>
      </c>
      <c r="C19" s="377" t="inlineStr">
        <is>
          <t>Приказ от 4.08.2020 № 421/пр п.173</t>
        </is>
      </c>
      <c r="D19" s="170" t="n">
        <v>0.002</v>
      </c>
    </row>
    <row r="20" ht="24" customHeight="1" s="319">
      <c r="B20" s="377" t="inlineStr">
        <is>
          <t>Непредвиденные расходы</t>
        </is>
      </c>
      <c r="C20" s="377" t="inlineStr">
        <is>
          <t>Приказ от 4.08.2020 № 421/пр п.179</t>
        </is>
      </c>
      <c r="D20" s="170" t="n">
        <v>0.03</v>
      </c>
    </row>
    <row r="21" ht="18.75" customHeight="1" s="319">
      <c r="B21" s="168" t="n"/>
    </row>
    <row r="23">
      <c r="B23" s="307" t="inlineStr">
        <is>
          <t>Составил ______________________        А.Р. Маркова</t>
        </is>
      </c>
      <c r="C23" s="317" t="n"/>
    </row>
    <row r="24">
      <c r="B24" s="316" t="inlineStr">
        <is>
          <t xml:space="preserve">                         (подпись, инициалы, фамилия)</t>
        </is>
      </c>
      <c r="C24" s="317" t="n"/>
    </row>
    <row r="25">
      <c r="B25" s="307" t="n"/>
      <c r="C25" s="317" t="n"/>
    </row>
    <row r="26">
      <c r="B26" s="307" t="inlineStr">
        <is>
          <t>Проверил ______________________        А.В. Костянецкая</t>
        </is>
      </c>
      <c r="C26" s="317" t="n"/>
    </row>
    <row r="27">
      <c r="B27" s="316" t="inlineStr">
        <is>
          <t xml:space="preserve">                        (подпись, инициалы, фамилия)</t>
        </is>
      </c>
      <c r="C27" s="31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21" sqref="D21"/>
    </sheetView>
  </sheetViews>
  <sheetFormatPr baseColWidth="8" defaultColWidth="9.140625" defaultRowHeight="15"/>
  <cols>
    <col width="44.85546875" customWidth="1" style="319" min="2" max="2"/>
    <col width="13" customWidth="1" style="319" min="3" max="3"/>
    <col width="22.85546875" customWidth="1" style="319" min="4" max="4"/>
    <col width="21.5703125" customWidth="1" style="319" min="5" max="5"/>
    <col width="43.85546875" customWidth="1" style="319" min="6" max="6"/>
  </cols>
  <sheetData>
    <row r="1" s="319"/>
    <row r="2" ht="17.25" customHeight="1" s="319">
      <c r="A2" s="370" t="inlineStr">
        <is>
          <t>Расчет размера средств на оплату труда рабочих-строителей в текущем уровне цен (ФОТр.тек.)</t>
        </is>
      </c>
    </row>
    <row r="3" s="319"/>
    <row r="4" ht="18" customHeight="1" s="319">
      <c r="A4" s="320" t="inlineStr">
        <is>
          <t>Составлен в уровне цен на 01.01.2023 г.</t>
        </is>
      </c>
      <c r="B4" s="321" t="n"/>
      <c r="C4" s="321" t="n"/>
      <c r="D4" s="321" t="n"/>
      <c r="E4" s="321" t="n"/>
      <c r="F4" s="321" t="n"/>
      <c r="G4" s="321" t="n"/>
    </row>
    <row r="5" ht="15.75" customHeight="1" s="319">
      <c r="A5" s="322" t="inlineStr">
        <is>
          <t>№ пп.</t>
        </is>
      </c>
      <c r="B5" s="322" t="inlineStr">
        <is>
          <t>Наименование элемента</t>
        </is>
      </c>
      <c r="C5" s="322" t="inlineStr">
        <is>
          <t>Обозначение</t>
        </is>
      </c>
      <c r="D5" s="322" t="inlineStr">
        <is>
          <t>Формула</t>
        </is>
      </c>
      <c r="E5" s="322" t="inlineStr">
        <is>
          <t>Величина элемента</t>
        </is>
      </c>
      <c r="F5" s="322" t="inlineStr">
        <is>
          <t>Наименования обосновывающих документов</t>
        </is>
      </c>
      <c r="G5" s="321" t="n"/>
    </row>
    <row r="6" ht="15.75" customHeight="1" s="319">
      <c r="A6" s="322" t="n">
        <v>1</v>
      </c>
      <c r="B6" s="322" t="n">
        <v>2</v>
      </c>
      <c r="C6" s="322" t="n">
        <v>3</v>
      </c>
      <c r="D6" s="322" t="n">
        <v>4</v>
      </c>
      <c r="E6" s="322" t="n">
        <v>5</v>
      </c>
      <c r="F6" s="322" t="n">
        <v>6</v>
      </c>
      <c r="G6" s="321" t="n"/>
    </row>
    <row r="7" ht="110.25" customHeight="1" s="319">
      <c r="A7" s="323" t="inlineStr">
        <is>
          <t>1.1</t>
        </is>
      </c>
      <c r="B7" s="38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77" t="inlineStr">
        <is>
          <t>С1ср</t>
        </is>
      </c>
      <c r="D7" s="377" t="inlineStr">
        <is>
          <t>-</t>
        </is>
      </c>
      <c r="E7" s="326" t="n">
        <v>47872.94</v>
      </c>
      <c r="F7" s="38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1" t="n"/>
    </row>
    <row r="8" ht="31.5" customHeight="1" s="319">
      <c r="A8" s="323" t="inlineStr">
        <is>
          <t>1.2</t>
        </is>
      </c>
      <c r="B8" s="382" t="inlineStr">
        <is>
          <t>Среднегодовое нормативное число часов работы одного рабочего в месяц, часы (ч.)</t>
        </is>
      </c>
      <c r="C8" s="377" t="inlineStr">
        <is>
          <t>tср</t>
        </is>
      </c>
      <c r="D8" s="377" t="inlineStr">
        <is>
          <t>1973ч/12мес.</t>
        </is>
      </c>
      <c r="E8" s="327">
        <f>1973/12</f>
        <v/>
      </c>
      <c r="F8" s="382" t="inlineStr">
        <is>
          <t>Производственный календарь 2023 год
(40-часов.неделя)</t>
        </is>
      </c>
      <c r="G8" s="330" t="n"/>
    </row>
    <row r="9" ht="15.75" customHeight="1" s="319">
      <c r="A9" s="323" t="inlineStr">
        <is>
          <t>1.3</t>
        </is>
      </c>
      <c r="B9" s="382" t="inlineStr">
        <is>
          <t>Коэффициент увеличения</t>
        </is>
      </c>
      <c r="C9" s="377" t="inlineStr">
        <is>
          <t>Кув</t>
        </is>
      </c>
      <c r="D9" s="377" t="inlineStr">
        <is>
          <t>-</t>
        </is>
      </c>
      <c r="E9" s="327" t="n">
        <v>1</v>
      </c>
      <c r="F9" s="382" t="n"/>
      <c r="G9" s="330" t="n"/>
    </row>
    <row r="10" ht="15.75" customHeight="1" s="319">
      <c r="A10" s="323" t="inlineStr">
        <is>
          <t>1.4</t>
        </is>
      </c>
      <c r="B10" s="382" t="inlineStr">
        <is>
          <t>Средний разряд работ</t>
        </is>
      </c>
      <c r="C10" s="377" t="n"/>
      <c r="D10" s="377" t="n"/>
      <c r="E10" s="484" t="n">
        <v>3.5</v>
      </c>
      <c r="F10" s="382" t="inlineStr">
        <is>
          <t>РТМ</t>
        </is>
      </c>
      <c r="G10" s="330" t="n"/>
    </row>
    <row r="11" ht="78.75" customHeight="1" s="319">
      <c r="A11" s="323" t="inlineStr">
        <is>
          <t>1.5</t>
        </is>
      </c>
      <c r="B11" s="382" t="inlineStr">
        <is>
          <t>Тарифный коэффициент среднего разряда работ</t>
        </is>
      </c>
      <c r="C11" s="377" t="inlineStr">
        <is>
          <t>КТ</t>
        </is>
      </c>
      <c r="D11" s="377" t="inlineStr">
        <is>
          <t>-</t>
        </is>
      </c>
      <c r="E11" s="485" t="n">
        <v>1.263</v>
      </c>
      <c r="F11" s="38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1" t="n"/>
    </row>
    <row r="12" ht="78.75" customHeight="1" s="319">
      <c r="A12" s="323" t="inlineStr">
        <is>
          <t>1.6</t>
        </is>
      </c>
      <c r="B12" s="380" t="inlineStr">
        <is>
          <t>Коэффициент инфляции, определяемый поквартально</t>
        </is>
      </c>
      <c r="C12" s="377" t="inlineStr">
        <is>
          <t>Кинф</t>
        </is>
      </c>
      <c r="D12" s="377" t="inlineStr">
        <is>
          <t>-</t>
        </is>
      </c>
      <c r="E12" s="486" t="n">
        <v>1.139</v>
      </c>
      <c r="F12" s="3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19">
      <c r="A13" s="323" t="inlineStr">
        <is>
          <t>1.7</t>
        </is>
      </c>
      <c r="B13" s="358" t="inlineStr">
        <is>
          <t>Размер средств на оплату труда рабочих-строителей в текущем уровне цен (ФОТр.тек.), руб/чел.-ч</t>
        </is>
      </c>
      <c r="C13" s="377" t="inlineStr">
        <is>
          <t>ФОТр.тек.</t>
        </is>
      </c>
      <c r="D13" s="377" t="inlineStr">
        <is>
          <t>(С1ср/tср*КТ*Т*Кув)*Кинф</t>
        </is>
      </c>
      <c r="E13" s="359">
        <f>((E7*E9/E8)*E11)*E12</f>
        <v/>
      </c>
      <c r="F13" s="38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1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2025-01-24T11:52:49Z</dcterms:modified>
  <cp:lastModifiedBy>Виктор Плотников</cp:lastModifiedBy>
</cp:coreProperties>
</file>