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табл'!$A$1:$H$32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"/>
    <numFmt numFmtId="167" formatCode="_-* #,##0.0\ _₽_-;\-* #,##0.0\ _₽_-;_-* &quot;-&quot;??\ _₽_-;_-@_-"/>
    <numFmt numFmtId="168" formatCode="0.0000"/>
    <numFmt numFmtId="169" formatCode="#,##0.0"/>
    <numFmt numFmtId="170" formatCode="#,##0.000"/>
    <numFmt numFmtId="171" formatCode="_-* #,##0.00\ _₽_-;\-* #,##0.00\ _₽_-;_-* &quot;-&quot;??\ _₽_-;_-@_-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7" fontId="17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4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168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pivotButton="0" quotePrefix="0" xfId="0"/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1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7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1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1" fontId="19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7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68" fontId="1" fillId="4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2"/>
  <sheetViews>
    <sheetView tabSelected="1" view="pageBreakPreview" topLeftCell="A15" zoomScaleNormal="55" workbookViewId="0">
      <selection activeCell="C30" sqref="C30"/>
    </sheetView>
  </sheetViews>
  <sheetFormatPr baseColWidth="8" defaultColWidth="9.140625" defaultRowHeight="15.75"/>
  <cols>
    <col width="9.140625" customWidth="1" style="313" min="1" max="2"/>
    <col width="41.85546875" customWidth="1" style="313" min="3" max="3"/>
    <col width="43.5703125" customWidth="1" style="313" min="4" max="4"/>
    <col width="9.140625" customWidth="1" style="313" min="5" max="5"/>
  </cols>
  <sheetData>
    <row r="3">
      <c r="B3" s="353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18.75" customHeight="1" s="311">
      <c r="B5" s="355" t="n"/>
    </row>
    <row r="6" ht="18.75" customHeight="1" s="311">
      <c r="B6" s="194" t="n"/>
      <c r="C6" s="194" t="n"/>
      <c r="D6" s="194" t="n"/>
    </row>
    <row r="7" ht="45" customHeight="1" s="311">
      <c r="B7" s="357" t="inlineStr">
        <is>
          <t>Наименование разрабатываемого показателя УНЦ - Комбинированная аппаратура по ВЧ (ВОЛС)</t>
        </is>
      </c>
    </row>
    <row r="8" ht="17.25" customHeight="1" s="311">
      <c r="B8" s="162" t="inlineStr">
        <is>
          <t xml:space="preserve">Сопоставимый уровень цен: </t>
        </is>
      </c>
      <c r="C8" s="162" t="n"/>
      <c r="D8" s="162">
        <f>D22</f>
        <v/>
      </c>
    </row>
    <row r="9" ht="15.75" customHeight="1" s="311">
      <c r="B9" s="354" t="inlineStr">
        <is>
          <t>Единица измерения  — 1 ед.</t>
        </is>
      </c>
    </row>
    <row r="10">
      <c r="B10" s="354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</row>
    <row r="12">
      <c r="B12" s="359" t="n">
        <v>1</v>
      </c>
      <c r="C12" s="339" t="inlineStr">
        <is>
          <t>Наименование объекта-представителя</t>
        </is>
      </c>
      <c r="D12" s="359" t="inlineStr">
        <is>
          <t>Реконструкция ПС 220 кВ Завитая</t>
        </is>
      </c>
    </row>
    <row r="13" ht="31.5" customHeight="1" s="311">
      <c r="B13" s="359" t="n">
        <v>2</v>
      </c>
      <c r="C13" s="339" t="inlineStr">
        <is>
          <t>Наименование субъекта Российской Федерации</t>
        </is>
      </c>
      <c r="D13" s="359" t="inlineStr">
        <is>
          <t>Амурская область</t>
        </is>
      </c>
    </row>
    <row r="14">
      <c r="B14" s="359" t="n">
        <v>3</v>
      </c>
      <c r="C14" s="339" t="inlineStr">
        <is>
          <t>Климатический район и подрайон</t>
        </is>
      </c>
      <c r="D14" s="359" t="inlineStr">
        <is>
          <t>IА</t>
        </is>
      </c>
    </row>
    <row r="15">
      <c r="B15" s="359" t="n">
        <v>4</v>
      </c>
      <c r="C15" s="339" t="inlineStr">
        <is>
          <t>Мощность объекта</t>
        </is>
      </c>
      <c r="D15" s="359" t="n">
        <v>1</v>
      </c>
    </row>
    <row r="16" ht="78.75" customHeight="1" s="311">
      <c r="B16" s="359" t="n">
        <v>5</v>
      </c>
      <c r="C16" s="26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Комбинированная аппаратура по ВЧ - 1 комплект</t>
        </is>
      </c>
    </row>
    <row r="17" ht="78.75" customHeight="1" s="311">
      <c r="B17" s="359" t="n">
        <v>6</v>
      </c>
      <c r="C17" s="26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37">
        <f>D18+D19+D20+D21</f>
        <v/>
      </c>
    </row>
    <row r="18">
      <c r="B18" s="197" t="inlineStr">
        <is>
          <t>6.1</t>
        </is>
      </c>
      <c r="C18" s="339" t="inlineStr">
        <is>
          <t>строительно-монтажные работы</t>
        </is>
      </c>
      <c r="D18" s="437">
        <f>'Прил.2 Расч стоим'!G13</f>
        <v/>
      </c>
    </row>
    <row r="19">
      <c r="B19" s="197" t="inlineStr">
        <is>
          <t>6.2</t>
        </is>
      </c>
      <c r="C19" s="339" t="inlineStr">
        <is>
          <t>оборудование и инвентарь</t>
        </is>
      </c>
      <c r="D19" s="437">
        <f>'Прил.2 Расч стоим'!H13</f>
        <v/>
      </c>
    </row>
    <row r="20">
      <c r="B20" s="197" t="inlineStr">
        <is>
          <t>6.3</t>
        </is>
      </c>
      <c r="C20" s="339" t="inlineStr">
        <is>
          <t>пусконаладочные работы</t>
        </is>
      </c>
      <c r="D20" s="437" t="n"/>
    </row>
    <row r="21">
      <c r="B21" s="197" t="inlineStr">
        <is>
          <t>6.4</t>
        </is>
      </c>
      <c r="C21" s="198" t="inlineStr">
        <is>
          <t>прочие и лимитированные затраты</t>
        </is>
      </c>
      <c r="D21" s="265">
        <f>D18*0.039*0.8+(D18*0.039*0.8+D18)*0.07*0.9</f>
        <v/>
      </c>
    </row>
    <row r="22">
      <c r="B22" s="359" t="n">
        <v>7</v>
      </c>
      <c r="C22" s="198" t="inlineStr">
        <is>
          <t>Сопоставимый уровень цен</t>
        </is>
      </c>
      <c r="D22" s="359" t="inlineStr">
        <is>
          <t>1 квартал 2022 г.</t>
        </is>
      </c>
    </row>
    <row r="23" ht="94.5" customHeight="1" s="311">
      <c r="B23" s="359" t="n">
        <v>8</v>
      </c>
      <c r="C23" s="19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437">
        <f>D17</f>
        <v/>
      </c>
    </row>
    <row r="24" ht="47.25" customHeight="1" s="311">
      <c r="B24" s="359" t="n">
        <v>9</v>
      </c>
      <c r="C24" s="263" t="inlineStr">
        <is>
          <t>Приведенная сметная стоимость на единицу мощности, тыс. руб. (строка 8/строку 4)</t>
        </is>
      </c>
      <c r="D24" s="437">
        <f>D23/D15</f>
        <v/>
      </c>
    </row>
    <row r="25">
      <c r="B25" s="359" t="n">
        <v>10</v>
      </c>
      <c r="C25" s="339" t="inlineStr">
        <is>
          <t>Примечание</t>
        </is>
      </c>
      <c r="D25" s="339" t="n"/>
    </row>
    <row r="26">
      <c r="B26" s="200" t="n"/>
      <c r="C26" s="201" t="n"/>
      <c r="D26" s="201" t="n"/>
    </row>
    <row r="27" ht="37.5" customHeight="1" s="311">
      <c r="B27" s="162" t="n"/>
    </row>
    <row r="28">
      <c r="B28" s="313" t="inlineStr">
        <is>
          <t>Составил ______________________    Е. М. Добровольская</t>
        </is>
      </c>
    </row>
    <row r="29">
      <c r="B29" s="162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16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1"/>
  <sheetViews>
    <sheetView view="pageBreakPreview" zoomScaleNormal="70" workbookViewId="0">
      <selection activeCell="E17" sqref="E17"/>
    </sheetView>
  </sheetViews>
  <sheetFormatPr baseColWidth="8" defaultColWidth="9.140625" defaultRowHeight="15.75"/>
  <cols>
    <col width="5.5703125" customWidth="1" style="313" min="1" max="1"/>
    <col width="9.140625" customWidth="1" style="313" min="2" max="2"/>
    <col width="35.28515625" customWidth="1" style="313" min="3" max="3"/>
    <col width="13.85546875" customWidth="1" style="313" min="4" max="4"/>
    <col width="24.85546875" customWidth="1" style="313" min="5" max="5"/>
    <col width="15.570312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0.140625" customWidth="1" style="313" min="11" max="11"/>
    <col width="13.140625" customWidth="1" style="311" min="12" max="12"/>
  </cols>
  <sheetData>
    <row r="3">
      <c r="B3" s="353" t="inlineStr">
        <is>
          <t>Приложение № 2</t>
        </is>
      </c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11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11">
      <c r="B8" s="266" t="n"/>
    </row>
    <row r="9" ht="15.75" customHeight="1" s="311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L9" s="313" t="n"/>
    </row>
    <row r="10" ht="15.75" customHeight="1" s="311"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квартал 2022 г., тыс. руб.</t>
        </is>
      </c>
      <c r="G10" s="438" t="n"/>
      <c r="H10" s="438" t="n"/>
      <c r="I10" s="438" t="n"/>
      <c r="J10" s="439" t="n"/>
      <c r="L10" s="313" t="n"/>
    </row>
    <row r="11" ht="31.5" customHeight="1" s="311">
      <c r="B11" s="441" t="n"/>
      <c r="C11" s="441" t="n"/>
      <c r="D11" s="441" t="n"/>
      <c r="E11" s="441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L11" s="313" t="n"/>
    </row>
    <row r="12" ht="47.25" customHeight="1" s="311">
      <c r="B12" s="336" t="n">
        <v>1</v>
      </c>
      <c r="C12" s="337">
        <f>'Прил.1 Сравнит табл'!D16</f>
        <v/>
      </c>
      <c r="D12" s="338" t="inlineStr">
        <is>
          <t>05-04-01</t>
        </is>
      </c>
      <c r="E12" s="339" t="inlineStr">
        <is>
          <t>Сети связи. Каналы  ВЧ связи. ПС 220 кВ Завитая</t>
        </is>
      </c>
      <c r="F12" s="340" t="n"/>
      <c r="G12" s="340" t="n">
        <v>409.8041534</v>
      </c>
      <c r="H12" s="340" t="n">
        <v>2539.322667</v>
      </c>
      <c r="I12" s="340" t="n"/>
      <c r="J12" s="341">
        <f>SUM(F12:I12)</f>
        <v/>
      </c>
      <c r="K12" s="342" t="n"/>
      <c r="L12" s="342" t="n"/>
    </row>
    <row r="13" ht="15" customHeight="1" s="311">
      <c r="B13" s="358" t="inlineStr">
        <is>
          <t>Всего по объекту:</t>
        </is>
      </c>
      <c r="C13" s="438" t="n"/>
      <c r="D13" s="438" t="n"/>
      <c r="E13" s="439" t="n"/>
      <c r="F13" s="344">
        <f>SUM(F12:F12)</f>
        <v/>
      </c>
      <c r="G13" s="344">
        <f>SUM(G12:G12)</f>
        <v/>
      </c>
      <c r="H13" s="344">
        <f>SUM(H12:H12)</f>
        <v/>
      </c>
      <c r="I13" s="344" t="n"/>
      <c r="J13" s="344">
        <f>SUM(F13:I13)</f>
        <v/>
      </c>
      <c r="K13" s="342" t="n"/>
      <c r="L13" s="342" t="n"/>
    </row>
    <row r="14" ht="15.75" customHeight="1" s="311">
      <c r="B14" s="358" t="inlineStr">
        <is>
          <t>Всего по объекту в сопоставимом уровне цен 1 квартал 2022 г. :</t>
        </is>
      </c>
      <c r="C14" s="438" t="n"/>
      <c r="D14" s="438" t="n"/>
      <c r="E14" s="439" t="n"/>
      <c r="F14" s="344">
        <f>F13</f>
        <v/>
      </c>
      <c r="G14" s="344">
        <f>G13</f>
        <v/>
      </c>
      <c r="H14" s="344">
        <f>H13</f>
        <v/>
      </c>
      <c r="I14" s="344">
        <f>'Прил.1 Сравнит табл'!D21</f>
        <v/>
      </c>
      <c r="J14" s="344">
        <f>SUM(F14:I14)</f>
        <v/>
      </c>
      <c r="L14" s="342" t="n"/>
    </row>
    <row r="15" ht="15" customHeight="1" s="311"/>
    <row r="16" ht="15" customHeight="1" s="311"/>
    <row r="17" ht="15" customHeight="1" s="311">
      <c r="C17" s="299" t="inlineStr">
        <is>
          <t>Составил ______________________     Е. М. Добровольская</t>
        </is>
      </c>
      <c r="D17" s="309" t="n"/>
      <c r="E17" s="309" t="n"/>
    </row>
    <row r="18" ht="15" customHeight="1" s="311">
      <c r="C18" s="308" t="inlineStr">
        <is>
          <t xml:space="preserve">                         (подпись, инициалы, фамилия)</t>
        </is>
      </c>
      <c r="D18" s="309" t="n"/>
      <c r="E18" s="309" t="n"/>
    </row>
    <row r="19" ht="15" customHeight="1" s="311">
      <c r="C19" s="299" t="n"/>
      <c r="D19" s="309" t="n"/>
      <c r="E19" s="309" t="n"/>
    </row>
    <row r="20" ht="15" customHeight="1" s="311">
      <c r="C20" s="299" t="inlineStr">
        <is>
          <t>Проверил ______________________        А.В. Костянецкая</t>
        </is>
      </c>
      <c r="D20" s="309" t="n"/>
      <c r="E20" s="309" t="n"/>
    </row>
    <row r="21" ht="15" customHeight="1" s="311">
      <c r="C21" s="308" t="inlineStr">
        <is>
          <t xml:space="preserve">                        (подпись, инициалы, фамилия)</t>
        </is>
      </c>
      <c r="D21" s="309" t="n"/>
      <c r="E21" s="309" t="n"/>
    </row>
    <row r="22" ht="15" customHeight="1" s="311"/>
    <row r="23" ht="15" customHeight="1" s="311"/>
    <row r="24" ht="15" customHeight="1" s="311"/>
    <row r="25" ht="15" customHeight="1" s="311"/>
    <row r="26" ht="15" customHeight="1" s="311"/>
    <row r="27" ht="15" customHeight="1" s="31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8"/>
  <sheetViews>
    <sheetView view="pageBreakPreview" topLeftCell="A23" zoomScaleSheetLayoutView="100" workbookViewId="0">
      <selection activeCell="D46" sqref="D46"/>
    </sheetView>
  </sheetViews>
  <sheetFormatPr baseColWidth="8" defaultColWidth="9.140625" defaultRowHeight="15.75"/>
  <cols>
    <col width="9.140625" customWidth="1" style="313" min="1" max="1"/>
    <col width="12.5703125" customWidth="1" style="313" min="2" max="2"/>
    <col width="22.42578125" customWidth="1" style="313" min="3" max="3"/>
    <col width="49.7109375" customWidth="1" style="313" min="4" max="4"/>
    <col width="10.140625" customWidth="1" style="313" min="5" max="5"/>
    <col width="20.7109375" customWidth="1" style="313" min="6" max="6"/>
    <col width="20" customWidth="1" style="313" min="7" max="7"/>
    <col width="16.7109375" customWidth="1" style="313" min="8" max="8"/>
    <col width="10.42578125" customWidth="1" style="313" min="9" max="9"/>
    <col width="13.140625" customWidth="1" style="313" min="10" max="10"/>
    <col width="15" customWidth="1" style="313" min="11" max="11"/>
    <col width="9.140625" customWidth="1" style="313" min="12" max="12"/>
    <col width="11.28515625" customWidth="1" style="313" min="13" max="13"/>
    <col width="9.140625" customWidth="1" style="313" min="14" max="14"/>
  </cols>
  <sheetData>
    <row r="2">
      <c r="A2" s="353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11">
      <c r="A4" s="202" t="n"/>
      <c r="B4" s="202" t="n"/>
      <c r="C4" s="360" t="n"/>
    </row>
    <row r="5">
      <c r="A5" s="354" t="n"/>
    </row>
    <row r="6" ht="33.75" customHeight="1" s="311">
      <c r="A6" s="357" t="inlineStr">
        <is>
          <t>Наименование разрабатываемого показателя УНЦ - Комбинированная аппаратура по ВЧ (ВОЛС)</t>
        </is>
      </c>
    </row>
    <row r="7">
      <c r="A7" s="203" t="n"/>
      <c r="B7" s="203" t="n"/>
      <c r="C7" s="203" t="n"/>
      <c r="D7" s="203" t="n"/>
      <c r="E7" s="203" t="n"/>
      <c r="F7" s="203" t="n"/>
      <c r="G7" s="203" t="n"/>
      <c r="H7" s="203" t="n"/>
    </row>
    <row r="8" ht="38.25" customHeight="1" s="31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5" customHeight="1" s="31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37" t="n">
        <v>1</v>
      </c>
      <c r="B10" s="337" t="n"/>
      <c r="C10" s="337" t="n">
        <v>2</v>
      </c>
      <c r="D10" s="337" t="inlineStr">
        <is>
          <t>З</t>
        </is>
      </c>
      <c r="E10" s="337" t="n">
        <v>4</v>
      </c>
      <c r="F10" s="337" t="n">
        <v>5</v>
      </c>
      <c r="G10" s="337" t="n">
        <v>6</v>
      </c>
      <c r="H10" s="337" t="n">
        <v>7</v>
      </c>
    </row>
    <row r="11" customFormat="1" s="205">
      <c r="A11" s="362" t="inlineStr">
        <is>
          <t>Затраты труда рабочих</t>
        </is>
      </c>
      <c r="B11" s="438" t="n"/>
      <c r="C11" s="438" t="n"/>
      <c r="D11" s="438" t="n"/>
      <c r="E11" s="439" t="n"/>
      <c r="F11" s="442" t="n">
        <v>305</v>
      </c>
      <c r="G11" s="174" t="n"/>
      <c r="H11" s="442">
        <f>SUM(H12:H16)</f>
        <v/>
      </c>
      <c r="I11" s="443" t="n"/>
      <c r="J11" s="443" t="n"/>
    </row>
    <row r="12">
      <c r="A12" s="391" t="n">
        <v>1</v>
      </c>
      <c r="B12" s="175" t="n"/>
      <c r="C12" s="207" t="inlineStr">
        <is>
          <t>1-6-0</t>
        </is>
      </c>
      <c r="D12" s="208" t="inlineStr">
        <is>
          <t>Затраты труда рабочих (ср 6)</t>
        </is>
      </c>
      <c r="E12" s="391" t="inlineStr">
        <is>
          <t>чел.-ч</t>
        </is>
      </c>
      <c r="F12" s="444" t="n">
        <v>122</v>
      </c>
      <c r="G12" s="210" t="n">
        <v>12.92</v>
      </c>
      <c r="H12" s="210">
        <f>ROUND(F12*G12,2)</f>
        <v/>
      </c>
      <c r="M12" s="445" t="n"/>
    </row>
    <row r="13">
      <c r="A13" s="391" t="n">
        <v>2</v>
      </c>
      <c r="B13" s="175" t="n"/>
      <c r="C13" s="207" t="inlineStr">
        <is>
          <t>1-3-8</t>
        </is>
      </c>
      <c r="D13" s="208" t="inlineStr">
        <is>
          <t>Затраты труда рабочих (ср 3,8)</t>
        </is>
      </c>
      <c r="E13" s="391" t="inlineStr">
        <is>
          <t>чел.-ч</t>
        </is>
      </c>
      <c r="F13" s="444" t="n">
        <v>92.8</v>
      </c>
      <c r="G13" s="210" t="n">
        <v>9.4</v>
      </c>
      <c r="H13" s="210">
        <f>ROUND(F13*G13,2)</f>
        <v/>
      </c>
      <c r="M13" s="445" t="n"/>
    </row>
    <row r="14">
      <c r="A14" s="391" t="n">
        <v>3</v>
      </c>
      <c r="B14" s="175" t="n"/>
      <c r="C14" s="207" t="inlineStr">
        <is>
          <t>1-5-0</t>
        </is>
      </c>
      <c r="D14" s="208" t="inlineStr">
        <is>
          <t>Затраты труда рабочих (ср 5)</t>
        </is>
      </c>
      <c r="E14" s="391" t="inlineStr">
        <is>
          <t>чел.-ч</t>
        </is>
      </c>
      <c r="F14" s="444" t="n">
        <v>59</v>
      </c>
      <c r="G14" s="210" t="n">
        <v>11.09</v>
      </c>
      <c r="H14" s="210">
        <f>ROUND(F14*G14,2)</f>
        <v/>
      </c>
      <c r="M14" s="445" t="n"/>
    </row>
    <row r="15">
      <c r="A15" s="391" t="n">
        <v>4</v>
      </c>
      <c r="B15" s="175" t="n"/>
      <c r="C15" s="207" t="inlineStr">
        <is>
          <t>1-4-0</t>
        </is>
      </c>
      <c r="D15" s="208" t="inlineStr">
        <is>
          <t>Затраты труда рабочих (ср 4)</t>
        </is>
      </c>
      <c r="E15" s="391" t="inlineStr">
        <is>
          <t>чел.-ч</t>
        </is>
      </c>
      <c r="F15" s="444" t="n">
        <v>23</v>
      </c>
      <c r="G15" s="210" t="n">
        <v>9.619999999999999</v>
      </c>
      <c r="H15" s="210">
        <f>ROUND(F15*G15,2)</f>
        <v/>
      </c>
      <c r="M15" s="445" t="n"/>
    </row>
    <row r="16">
      <c r="A16" s="391" t="n">
        <v>5</v>
      </c>
      <c r="B16" s="175" t="n"/>
      <c r="C16" s="207" t="inlineStr">
        <is>
          <t>1-3-0</t>
        </is>
      </c>
      <c r="D16" s="208" t="inlineStr">
        <is>
          <t>Затраты труда рабочих (ср 3)</t>
        </is>
      </c>
      <c r="E16" s="391" t="inlineStr">
        <is>
          <t>чел.-ч</t>
        </is>
      </c>
      <c r="F16" s="444" t="n">
        <v>8.199999999999999</v>
      </c>
      <c r="G16" s="210" t="n">
        <v>8.529999999999999</v>
      </c>
      <c r="H16" s="210">
        <f>ROUND(F16*G16,2)</f>
        <v/>
      </c>
      <c r="M16" s="445" t="n"/>
    </row>
    <row r="17">
      <c r="A17" s="361" t="inlineStr">
        <is>
          <t>Затраты труда машинистов</t>
        </is>
      </c>
      <c r="B17" s="438" t="n"/>
      <c r="C17" s="438" t="n"/>
      <c r="D17" s="438" t="n"/>
      <c r="E17" s="439" t="n"/>
      <c r="F17" s="362" t="n"/>
      <c r="G17" s="177" t="n"/>
      <c r="H17" s="442">
        <f>H18</f>
        <v/>
      </c>
    </row>
    <row r="18">
      <c r="A18" s="391" t="n">
        <v>6</v>
      </c>
      <c r="B18" s="363" t="n"/>
      <c r="C18" s="207" t="n">
        <v>2</v>
      </c>
      <c r="D18" s="208" t="inlineStr">
        <is>
          <t>Затраты труда машинистов</t>
        </is>
      </c>
      <c r="E18" s="391" t="inlineStr">
        <is>
          <t>чел.-ч</t>
        </is>
      </c>
      <c r="F18" s="444" t="n">
        <v>5.48</v>
      </c>
      <c r="G18" s="210" t="n"/>
      <c r="H18" s="446" t="n">
        <v>65.09</v>
      </c>
      <c r="K18" s="205" t="n"/>
    </row>
    <row r="19" customFormat="1" s="205">
      <c r="A19" s="362" t="inlineStr">
        <is>
          <t>Машины и механизмы</t>
        </is>
      </c>
      <c r="B19" s="438" t="n"/>
      <c r="C19" s="438" t="n"/>
      <c r="D19" s="438" t="n"/>
      <c r="E19" s="439" t="n"/>
      <c r="F19" s="362" t="n"/>
      <c r="G19" s="177" t="n"/>
      <c r="H19" s="442">
        <f>SUM(H20:H25)</f>
        <v/>
      </c>
      <c r="I19" s="443" t="n"/>
      <c r="J19" s="443" t="n"/>
      <c r="K19" s="313" t="n"/>
    </row>
    <row r="20" ht="25.5" customHeight="1" s="311">
      <c r="A20" s="391" t="n">
        <v>7</v>
      </c>
      <c r="B20" s="363" t="n"/>
      <c r="C20" s="207" t="inlineStr">
        <is>
          <t>91.05.05-015</t>
        </is>
      </c>
      <c r="D20" s="208" t="inlineStr">
        <is>
          <t>Краны на автомобильном ходу, грузоподъемность 16 т</t>
        </is>
      </c>
      <c r="E20" s="391" t="inlineStr">
        <is>
          <t>маш.час</t>
        </is>
      </c>
      <c r="F20" s="207" t="n">
        <v>2</v>
      </c>
      <c r="G20" s="267" t="n">
        <v>115.4</v>
      </c>
      <c r="H20" s="210">
        <f>ROUND(F20*G20,2)</f>
        <v/>
      </c>
      <c r="I20" s="215" t="n"/>
      <c r="J20" s="215" t="n"/>
      <c r="K20" s="205" t="n"/>
      <c r="L20" s="215" t="n"/>
    </row>
    <row r="21">
      <c r="A21" s="391" t="n">
        <v>8</v>
      </c>
      <c r="B21" s="363" t="n"/>
      <c r="C21" s="207" t="inlineStr">
        <is>
          <t>91.06.05-011</t>
        </is>
      </c>
      <c r="D21" s="208" t="inlineStr">
        <is>
          <t>Погрузчики, грузоподъемность 5 т</t>
        </is>
      </c>
      <c r="E21" s="391" t="inlineStr">
        <is>
          <t>маш.час</t>
        </is>
      </c>
      <c r="F21" s="207" t="n">
        <v>1.48</v>
      </c>
      <c r="G21" s="267" t="n">
        <v>89.98999999999999</v>
      </c>
      <c r="H21" s="210">
        <f>ROUND(F21*G21,2)</f>
        <v/>
      </c>
      <c r="I21" s="215" t="n"/>
      <c r="J21" s="215" t="n"/>
      <c r="L21" s="215" t="n"/>
    </row>
    <row r="22">
      <c r="A22" s="391" t="n">
        <v>9</v>
      </c>
      <c r="B22" s="363" t="n"/>
      <c r="C22" s="207" t="inlineStr">
        <is>
          <t>91.14.02-001</t>
        </is>
      </c>
      <c r="D22" s="208" t="inlineStr">
        <is>
          <t>Автомобили бортовые, грузоподъемность до 5 т</t>
        </is>
      </c>
      <c r="E22" s="391" t="inlineStr">
        <is>
          <t>маш.час</t>
        </is>
      </c>
      <c r="F22" s="207" t="n">
        <v>2</v>
      </c>
      <c r="G22" s="267" t="n">
        <v>65.70999999999999</v>
      </c>
      <c r="H22" s="210">
        <f>ROUND(F22*G22,2)</f>
        <v/>
      </c>
      <c r="L22" s="215" t="n"/>
    </row>
    <row r="23" ht="25.5" customHeight="1" s="311">
      <c r="A23" s="391" t="n">
        <v>10</v>
      </c>
      <c r="B23" s="363" t="n"/>
      <c r="C23" s="207" t="inlineStr">
        <is>
          <t>91.06.03-061</t>
        </is>
      </c>
      <c r="D23" s="208" t="inlineStr">
        <is>
          <t>Лебедки электрические тяговым усилием до 12,26 кН (1,25 т)</t>
        </is>
      </c>
      <c r="E23" s="391" t="inlineStr">
        <is>
          <t>маш.час</t>
        </is>
      </c>
      <c r="F23" s="207" t="n">
        <v>22</v>
      </c>
      <c r="G23" s="267" t="n">
        <v>3.28</v>
      </c>
      <c r="H23" s="210">
        <f>ROUND(F23*G23,2)</f>
        <v/>
      </c>
      <c r="L23" s="215" t="n"/>
    </row>
    <row r="24" ht="25.5" customHeight="1" s="311">
      <c r="A24" s="391" t="n">
        <v>11</v>
      </c>
      <c r="B24" s="363" t="n"/>
      <c r="C24" s="207" t="inlineStr">
        <is>
          <t>91.06.01-003</t>
        </is>
      </c>
      <c r="D24" s="208" t="inlineStr">
        <is>
          <t>Домкраты гидравлические, грузоподъемность 63-100 т</t>
        </is>
      </c>
      <c r="E24" s="391" t="inlineStr">
        <is>
          <t>маш.час</t>
        </is>
      </c>
      <c r="F24" s="207" t="n">
        <v>22</v>
      </c>
      <c r="G24" s="267" t="n">
        <v>0.9</v>
      </c>
      <c r="H24" s="210">
        <f>ROUND(F24*G24,2)</f>
        <v/>
      </c>
      <c r="L24" s="215" t="n"/>
    </row>
    <row r="25" ht="25.5" customHeight="1" s="311">
      <c r="A25" s="391" t="n">
        <v>12</v>
      </c>
      <c r="B25" s="363" t="n"/>
      <c r="C25" s="207" t="inlineStr">
        <is>
          <t>91.06.03-060</t>
        </is>
      </c>
      <c r="D25" s="208" t="inlineStr">
        <is>
          <t>Лебедки электрические тяговым усилием до 5,79 кН (0,59 т)</t>
        </is>
      </c>
      <c r="E25" s="391" t="inlineStr">
        <is>
          <t>маш.час</t>
        </is>
      </c>
      <c r="F25" s="207" t="n">
        <v>1.33</v>
      </c>
      <c r="G25" s="267" t="n">
        <v>1.7</v>
      </c>
      <c r="H25" s="210">
        <f>ROUND(F25*G25,2)</f>
        <v/>
      </c>
      <c r="L25" s="215" t="n"/>
    </row>
    <row r="26" ht="15" customHeight="1" s="311">
      <c r="A26" s="362" t="inlineStr">
        <is>
          <t>Оборудование</t>
        </is>
      </c>
      <c r="B26" s="438" t="n"/>
      <c r="C26" s="438" t="n"/>
      <c r="D26" s="438" t="n"/>
      <c r="E26" s="439" t="n"/>
      <c r="F26" s="174" t="n"/>
      <c r="G26" s="174" t="n"/>
      <c r="H26" s="442">
        <f>SUM(H27:H27)</f>
        <v/>
      </c>
      <c r="I26" s="443" t="n"/>
      <c r="J26" s="443" t="n"/>
    </row>
    <row r="27">
      <c r="A27" s="216" t="n">
        <v>13</v>
      </c>
      <c r="B27" s="363" t="n"/>
      <c r="C27" s="207" t="inlineStr">
        <is>
          <t>Прайс из СД ОП</t>
        </is>
      </c>
      <c r="D27" s="208" t="inlineStr">
        <is>
          <t>Комбинированный терминал ВЧ связи</t>
        </is>
      </c>
      <c r="E27" s="391" t="inlineStr">
        <is>
          <t>шт</t>
        </is>
      </c>
      <c r="F27" s="391" t="n">
        <v>1</v>
      </c>
      <c r="G27" s="267" t="n">
        <v>437060.7</v>
      </c>
      <c r="H27" s="210">
        <f>ROUND(F27*G27,2)</f>
        <v/>
      </c>
      <c r="L27" s="215" t="n"/>
    </row>
    <row r="28">
      <c r="A28" s="362" t="inlineStr">
        <is>
          <t>Материалы</t>
        </is>
      </c>
      <c r="B28" s="438" t="n"/>
      <c r="C28" s="438" t="n"/>
      <c r="D28" s="438" t="n"/>
      <c r="E28" s="439" t="n"/>
      <c r="F28" s="362" t="n"/>
      <c r="G28" s="177" t="n"/>
      <c r="H28" s="442">
        <f>SUM(H29:H41)</f>
        <v/>
      </c>
      <c r="I28" s="443" t="n"/>
      <c r="J28" s="443" t="n"/>
    </row>
    <row r="29">
      <c r="A29" s="216" t="n">
        <v>14</v>
      </c>
      <c r="B29" s="363" t="n"/>
      <c r="C29" s="207" t="inlineStr">
        <is>
          <t>21.1.03.02-0006</t>
        </is>
      </c>
      <c r="D29" s="208" t="inlineStr">
        <is>
          <t>Кабель коаксиальный радиочастотный РК 75 9-12</t>
        </is>
      </c>
      <c r="E29" s="391" t="inlineStr">
        <is>
          <t>1000 м</t>
        </is>
      </c>
      <c r="F29" s="207" t="n">
        <v>1</v>
      </c>
      <c r="G29" s="267" t="n">
        <v>8830.629999999999</v>
      </c>
      <c r="H29" s="210">
        <f>ROUND(F29*G29,2)</f>
        <v/>
      </c>
      <c r="I29" s="443" t="n"/>
      <c r="J29" s="443" t="n"/>
      <c r="K29" s="443" t="n"/>
    </row>
    <row r="30" ht="25.5" customHeight="1" s="311">
      <c r="A30" s="216" t="n">
        <v>15</v>
      </c>
      <c r="B30" s="363" t="n"/>
      <c r="C30" s="207" t="inlineStr">
        <is>
          <t>10.3.02.03-0011</t>
        </is>
      </c>
      <c r="D30" s="208" t="inlineStr">
        <is>
          <t>Припои оловянно-свинцовые бессурьмянистые, марка ПОС30</t>
        </is>
      </c>
      <c r="E30" s="391" t="inlineStr">
        <is>
          <t>т</t>
        </is>
      </c>
      <c r="F30" s="207" t="n">
        <v>0.0027</v>
      </c>
      <c r="G30" s="267" t="n">
        <v>68050</v>
      </c>
      <c r="H30" s="210">
        <f>ROUND(F30*G30,2)</f>
        <v/>
      </c>
    </row>
    <row r="31" ht="25.5" customHeight="1" s="311">
      <c r="A31" s="216" t="n">
        <v>16</v>
      </c>
      <c r="B31" s="363" t="n"/>
      <c r="C31" s="207" t="inlineStr">
        <is>
          <t>999-9950</t>
        </is>
      </c>
      <c r="D31" s="208" t="inlineStr">
        <is>
          <t>Вспомогательные ненормируемые ресурсы (2% от Оплаты труда рабочих)</t>
        </is>
      </c>
      <c r="E31" s="391" t="inlineStr">
        <is>
          <t>руб</t>
        </is>
      </c>
      <c r="F31" s="207" t="n">
        <v>67.83</v>
      </c>
      <c r="G31" s="267" t="n">
        <v>1</v>
      </c>
      <c r="H31" s="210">
        <f>ROUND(F31*G31,2)</f>
        <v/>
      </c>
      <c r="I31" s="226" t="n"/>
      <c r="J31" s="215" t="n"/>
    </row>
    <row r="32">
      <c r="A32" s="216" t="n">
        <v>17</v>
      </c>
      <c r="B32" s="363" t="n"/>
      <c r="C32" s="207" t="inlineStr">
        <is>
          <t>14.4.03.03-0002</t>
        </is>
      </c>
      <c r="D32" s="208" t="inlineStr">
        <is>
          <t>Лак битумный БТ-123</t>
        </is>
      </c>
      <c r="E32" s="391" t="inlineStr">
        <is>
          <t>т</t>
        </is>
      </c>
      <c r="F32" s="207" t="n">
        <v>0.0072</v>
      </c>
      <c r="G32" s="267" t="n">
        <v>7826.9</v>
      </c>
      <c r="H32" s="210">
        <f>ROUND(F32*G32,2)</f>
        <v/>
      </c>
      <c r="I32" s="226" t="n"/>
      <c r="J32" s="215" t="n"/>
    </row>
    <row r="33" ht="25.5" customHeight="1" s="311">
      <c r="A33" s="216" t="n">
        <v>18</v>
      </c>
      <c r="B33" s="363" t="n"/>
      <c r="C33" s="207" t="inlineStr">
        <is>
          <t>11.2.11.05-0002</t>
        </is>
      </c>
      <c r="D33" s="208" t="inlineStr">
        <is>
          <t>Фанера клееная обрезная, сорт В/ВВ, ФК, ФБА, толщина 4 мм</t>
        </is>
      </c>
      <c r="E33" s="391" t="inlineStr">
        <is>
          <t>м3</t>
        </is>
      </c>
      <c r="F33" s="207" t="n">
        <v>0.008</v>
      </c>
      <c r="G33" s="267" t="n">
        <v>4949.4</v>
      </c>
      <c r="H33" s="210">
        <f>ROUND(F33*G33,2)</f>
        <v/>
      </c>
      <c r="I33" s="226" t="n"/>
      <c r="J33" s="215" t="n"/>
    </row>
    <row r="34">
      <c r="A34" s="216" t="n">
        <v>19</v>
      </c>
      <c r="B34" s="363" t="n"/>
      <c r="C34" s="207" t="inlineStr">
        <is>
          <t>20.2.10.03-0021</t>
        </is>
      </c>
      <c r="D34" s="208" t="inlineStr">
        <is>
          <t>Наконечники кабельные П6-4Д-МУЗ</t>
        </is>
      </c>
      <c r="E34" s="391" t="inlineStr">
        <is>
          <t>100 шт</t>
        </is>
      </c>
      <c r="F34" s="207" t="n">
        <v>0.05</v>
      </c>
      <c r="G34" s="267" t="n">
        <v>580</v>
      </c>
      <c r="H34" s="210">
        <f>ROUND(F34*G34,2)</f>
        <v/>
      </c>
      <c r="I34" s="226" t="n"/>
      <c r="J34" s="215" t="n"/>
    </row>
    <row r="35">
      <c r="A35" s="216" t="n">
        <v>20</v>
      </c>
      <c r="B35" s="363" t="n"/>
      <c r="C35" s="207" t="inlineStr">
        <is>
          <t>01.7.06.07-0002</t>
        </is>
      </c>
      <c r="D35" s="208" t="inlineStr">
        <is>
          <t>Лента монтажная, тип ЛМ-5</t>
        </is>
      </c>
      <c r="E35" s="391" t="inlineStr">
        <is>
          <t>10 м</t>
        </is>
      </c>
      <c r="F35" s="207" t="n">
        <v>2.45</v>
      </c>
      <c r="G35" s="267" t="n">
        <v>6.9</v>
      </c>
      <c r="H35" s="210">
        <f>ROUND(F35*G35,2)</f>
        <v/>
      </c>
      <c r="I35" s="226" t="n"/>
      <c r="J35" s="215" t="n"/>
      <c r="K35" s="215" t="n"/>
    </row>
    <row r="36">
      <c r="A36" s="216" t="n">
        <v>21</v>
      </c>
      <c r="B36" s="363" t="n"/>
      <c r="C36" s="207" t="inlineStr">
        <is>
          <t>01.7.15.14-0165</t>
        </is>
      </c>
      <c r="D36" s="208" t="inlineStr">
        <is>
          <t>Шурупы с полукруглой головкой 4х40 мм</t>
        </is>
      </c>
      <c r="E36" s="391" t="inlineStr">
        <is>
          <t>т</t>
        </is>
      </c>
      <c r="F36" s="207" t="n">
        <v>0.0011</v>
      </c>
      <c r="G36" s="267" t="n">
        <v>12430</v>
      </c>
      <c r="H36" s="210">
        <f>ROUND(F36*G36,2)</f>
        <v/>
      </c>
      <c r="I36" s="226" t="n"/>
      <c r="J36" s="215" t="n"/>
    </row>
    <row r="37">
      <c r="A37" s="216" t="n">
        <v>22</v>
      </c>
      <c r="B37" s="363" t="n"/>
      <c r="C37" s="207" t="inlineStr">
        <is>
          <t>01.7.20.03-0012</t>
        </is>
      </c>
      <c r="D37" s="208" t="inlineStr">
        <is>
          <t>Мешковина джутовая</t>
        </is>
      </c>
      <c r="E37" s="391" t="inlineStr">
        <is>
          <t>м2</t>
        </is>
      </c>
      <c r="F37" s="207" t="n">
        <v>0.45</v>
      </c>
      <c r="G37" s="267" t="n">
        <v>8.33</v>
      </c>
      <c r="H37" s="210">
        <f>ROUND(F37*G37,2)</f>
        <v/>
      </c>
      <c r="I37" s="226" t="n"/>
      <c r="J37" s="215" t="n"/>
    </row>
    <row r="38">
      <c r="A38" s="216" t="n">
        <v>23</v>
      </c>
      <c r="B38" s="363" t="n"/>
      <c r="C38" s="207" t="inlineStr">
        <is>
          <t>01.7.19.11-0012</t>
        </is>
      </c>
      <c r="D38" s="208" t="inlineStr">
        <is>
          <t>Трубка резиновая техническая</t>
        </is>
      </c>
      <c r="E38" s="391" t="inlineStr">
        <is>
          <t>кг</t>
        </is>
      </c>
      <c r="F38" s="207" t="n">
        <v>0.04</v>
      </c>
      <c r="G38" s="267" t="n">
        <v>51.38</v>
      </c>
      <c r="H38" s="210">
        <f>ROUND(F38*G38,2)</f>
        <v/>
      </c>
      <c r="I38" s="226" t="n"/>
      <c r="J38" s="215" t="n"/>
    </row>
    <row r="39">
      <c r="A39" s="216" t="n">
        <v>24</v>
      </c>
      <c r="B39" s="363" t="n"/>
      <c r="C39" s="207" t="inlineStr">
        <is>
          <t>25.2.01.01-0017</t>
        </is>
      </c>
      <c r="D39" s="208" t="inlineStr">
        <is>
          <t>Бирки маркировочные пластмассовые</t>
        </is>
      </c>
      <c r="E39" s="391" t="inlineStr">
        <is>
          <t>100 шт</t>
        </is>
      </c>
      <c r="F39" s="207" t="n">
        <v>0.05</v>
      </c>
      <c r="G39" s="267" t="n">
        <v>30.74</v>
      </c>
      <c r="H39" s="210">
        <f>ROUND(F39*G39,2)</f>
        <v/>
      </c>
      <c r="I39" s="226" t="n"/>
      <c r="J39" s="215" t="n"/>
    </row>
    <row r="40">
      <c r="A40" s="216" t="n">
        <v>25</v>
      </c>
      <c r="B40" s="363" t="n"/>
      <c r="C40" s="207" t="inlineStr">
        <is>
          <t>14.1.01.01-0003</t>
        </is>
      </c>
      <c r="D40" s="208" t="inlineStr">
        <is>
          <t>Клей столярный сухой</t>
        </is>
      </c>
      <c r="E40" s="391" t="inlineStr">
        <is>
          <t>кг</t>
        </is>
      </c>
      <c r="F40" s="207" t="n">
        <v>0.025</v>
      </c>
      <c r="G40" s="267" t="n">
        <v>16.95</v>
      </c>
      <c r="H40" s="210">
        <f>ROUND(F40*G40,2)</f>
        <v/>
      </c>
      <c r="I40" s="226" t="n"/>
      <c r="J40" s="215" t="n"/>
      <c r="K40" s="215" t="n"/>
    </row>
    <row r="41">
      <c r="A41" s="216" t="n">
        <v>26</v>
      </c>
      <c r="B41" s="363" t="n"/>
      <c r="C41" s="207" t="inlineStr">
        <is>
          <t>01.7.20.04-0003</t>
        </is>
      </c>
      <c r="D41" s="208" t="inlineStr">
        <is>
          <t>Нитки суровые</t>
        </is>
      </c>
      <c r="E41" s="391" t="inlineStr">
        <is>
          <t>кг</t>
        </is>
      </c>
      <c r="F41" s="207" t="n">
        <v>0.001</v>
      </c>
      <c r="G41" s="267" t="n">
        <v>155</v>
      </c>
      <c r="H41" s="210">
        <f>ROUND(F41*G41,2)</f>
        <v/>
      </c>
      <c r="I41" s="226" t="n"/>
      <c r="J41" s="215" t="n"/>
    </row>
    <row r="44">
      <c r="B44" s="313" t="inlineStr">
        <is>
          <t>Составил ______________________     Е. М. Добровольская</t>
        </is>
      </c>
    </row>
    <row r="45">
      <c r="B45" s="162" t="inlineStr">
        <is>
          <t xml:space="preserve">                         (подпись, инициалы, фамилия)</t>
        </is>
      </c>
    </row>
    <row r="47">
      <c r="B47" s="313" t="inlineStr">
        <is>
          <t>Проверил ______________________        А.В. Костянецкая</t>
        </is>
      </c>
    </row>
    <row r="48">
      <c r="B48" s="16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C8:C9"/>
    <mergeCell ref="F8:F9"/>
    <mergeCell ref="A28:E28"/>
    <mergeCell ref="A2:H2"/>
    <mergeCell ref="A19:E19"/>
    <mergeCell ref="A11:E11"/>
    <mergeCell ref="D8:D9"/>
    <mergeCell ref="B8:B9"/>
    <mergeCell ref="C4:H4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B42" sqref="B42:C47"/>
    </sheetView>
  </sheetViews>
  <sheetFormatPr baseColWidth="8" defaultRowHeight="15"/>
  <cols>
    <col width="4.140625" customWidth="1" style="311" min="1" max="1"/>
    <col width="36.28515625" customWidth="1" style="311" min="2" max="2"/>
    <col width="18.85546875" customWidth="1" style="311" min="3" max="3"/>
    <col width="18.28515625" customWidth="1" style="311" min="4" max="4"/>
    <col width="18.85546875" customWidth="1" style="311" min="5" max="5"/>
    <col width="14.42578125" customWidth="1" style="311" min="6" max="6"/>
    <col width="9.140625" customWidth="1" style="311" min="7" max="10"/>
    <col width="13.5703125" customWidth="1" style="311" min="11" max="11"/>
    <col width="9.140625" customWidth="1" style="311" min="12" max="12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6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6" t="inlineStr">
        <is>
          <t>Ресурсная модель</t>
        </is>
      </c>
    </row>
    <row r="6">
      <c r="B6" s="218" t="n"/>
      <c r="C6" s="299" t="n"/>
      <c r="D6" s="299" t="n"/>
      <c r="E6" s="299" t="n"/>
    </row>
    <row r="7" ht="38.25" customHeight="1" s="311">
      <c r="B7" s="365" t="inlineStr">
        <is>
          <t>Наименование разрабатываемого показателя УНЦ — Комбинированная аппаратура по ВЧ (ВОЛС)</t>
        </is>
      </c>
    </row>
    <row r="8">
      <c r="B8" s="366" t="inlineStr">
        <is>
          <t xml:space="preserve">Единица измерения  — 1 ед. </t>
        </is>
      </c>
    </row>
    <row r="9">
      <c r="B9" s="218" t="n"/>
      <c r="C9" s="299" t="n"/>
      <c r="D9" s="299" t="n"/>
      <c r="E9" s="299" t="n"/>
    </row>
    <row r="10" ht="51" customHeight="1" s="311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301">
        <f>'Прил.5 Расчет СМР и ОБ'!J15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301">
        <f>'Прил.5 Расчет СМР и ОБ'!J24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301">
        <f>'Прил.5 Расчет СМР и ОБ'!J27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30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301">
        <f>'Прил.5 Расчет СМР и ОБ'!J17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301">
        <f>'Прил.5 Расчет СМР и ОБ'!J39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301">
        <f>'Прил.5 Расчет СМР и ОБ'!J52</f>
        <v/>
      </c>
      <c r="D17" s="222">
        <f>C17/$C$24</f>
        <v/>
      </c>
      <c r="E17" s="222">
        <f>C17/$C$40</f>
        <v/>
      </c>
      <c r="F17" s="447" t="n"/>
    </row>
    <row r="18">
      <c r="B18" s="220" t="inlineStr">
        <is>
          <t>МАТЕРИАЛЫ, ВСЕГО:</t>
        </is>
      </c>
      <c r="C18" s="30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30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30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4">
        <f>'Прил.5 Расчет СМР и ОБ'!D56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30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4">
        <f>'Прил.5 Расчет СМР и ОБ'!D55</f>
        <v/>
      </c>
      <c r="D23" s="222" t="n"/>
      <c r="E23" s="220" t="n"/>
    </row>
    <row r="24">
      <c r="B24" s="220" t="inlineStr">
        <is>
          <t>ВСЕГО СМР с НР и СП</t>
        </is>
      </c>
      <c r="C24" s="301">
        <f>C19+C20+C22</f>
        <v/>
      </c>
      <c r="D24" s="222">
        <f>C24/$C$24</f>
        <v/>
      </c>
      <c r="E24" s="222">
        <f>C24/$C$40</f>
        <v/>
      </c>
    </row>
    <row r="25" ht="25.5" customHeight="1" s="311">
      <c r="B25" s="220" t="inlineStr">
        <is>
          <t>ВСЕГО стоимость оборудования, в том числе</t>
        </is>
      </c>
      <c r="C25" s="301">
        <f>'Прил.5 Расчет СМР и ОБ'!J34</f>
        <v/>
      </c>
      <c r="D25" s="222" t="n"/>
      <c r="E25" s="222">
        <f>C25/$C$40</f>
        <v/>
      </c>
    </row>
    <row r="26" ht="25.5" customHeight="1" s="311">
      <c r="B26" s="220" t="inlineStr">
        <is>
          <t>стоимость оборудования технологического</t>
        </is>
      </c>
      <c r="C26" s="301">
        <f>'Прил.5 Расчет СМР и ОБ'!J35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158">
        <f>C24+C25</f>
        <v/>
      </c>
      <c r="D27" s="222" t="n"/>
      <c r="E27" s="222">
        <f>C27/$C$40</f>
        <v/>
      </c>
    </row>
    <row r="28" ht="33" customHeight="1" s="311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</row>
    <row r="29" ht="25.5" customHeight="1" s="311">
      <c r="B29" s="220" t="inlineStr">
        <is>
          <t>Временные здания и сооружения - 3,9%</t>
        </is>
      </c>
      <c r="C29" s="158">
        <f>ROUND(C24*3.9%,2)</f>
        <v/>
      </c>
      <c r="D29" s="220" t="n"/>
      <c r="E29" s="222">
        <f>C29/$C$40</f>
        <v/>
      </c>
    </row>
    <row r="30" ht="38.25" customHeight="1" s="311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20" t="n"/>
      <c r="E30" s="222">
        <f>C30/$C$40</f>
        <v/>
      </c>
    </row>
    <row r="31">
      <c r="B31" s="220" t="inlineStr">
        <is>
          <t>Пусконаладочные работы</t>
        </is>
      </c>
      <c r="C31" s="158" t="n">
        <v>99530</v>
      </c>
      <c r="D31" s="220" t="n"/>
      <c r="E31" s="222">
        <f>C31/$C$40</f>
        <v/>
      </c>
    </row>
    <row r="32" ht="25.5" customHeight="1" s="311">
      <c r="B32" s="220" t="inlineStr">
        <is>
          <t>Затраты по перевозке работников к месту работы и обратно</t>
        </is>
      </c>
      <c r="C32" s="158" t="n">
        <v>0</v>
      </c>
      <c r="D32" s="220" t="n"/>
      <c r="E32" s="222">
        <f>C32/$C$40</f>
        <v/>
      </c>
    </row>
    <row r="33" ht="25.5" customHeight="1" s="311">
      <c r="B33" s="220" t="inlineStr">
        <is>
          <t>Затраты, связанные с осуществлением работ вахтовым методом</t>
        </is>
      </c>
      <c r="C33" s="158" t="n">
        <v>0</v>
      </c>
      <c r="D33" s="220" t="n"/>
      <c r="E33" s="222">
        <f>C33/$C$40</f>
        <v/>
      </c>
    </row>
    <row r="34" ht="51" customHeight="1" s="311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 t="n">
        <v>0</v>
      </c>
      <c r="D34" s="220" t="n"/>
      <c r="E34" s="222">
        <f>C34/$C$40</f>
        <v/>
      </c>
      <c r="G34" s="226" t="n"/>
    </row>
    <row r="35" ht="76.5" customHeight="1" s="311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 t="n">
        <v>0</v>
      </c>
      <c r="D35" s="220" t="n"/>
      <c r="E35" s="222">
        <f>C35/$C$40</f>
        <v/>
      </c>
    </row>
    <row r="36" ht="25.5" customHeight="1" s="311">
      <c r="B36" s="220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0" t="n"/>
      <c r="E36" s="222">
        <f>C36/$C$40</f>
        <v/>
      </c>
      <c r="K36" s="225" t="n"/>
    </row>
    <row r="37">
      <c r="B37" s="220" t="inlineStr">
        <is>
          <t>Авторский надзор - 0,2%</t>
        </is>
      </c>
      <c r="C37" s="158">
        <f>ROUND((C27+C32+C33+C34+C35+C29+C31+C30)*0.2%,2)</f>
        <v/>
      </c>
      <c r="D37" s="220" t="n"/>
      <c r="E37" s="222">
        <f>C37/$C$40</f>
        <v/>
      </c>
      <c r="K37" s="225" t="n"/>
    </row>
    <row r="38" ht="38.25" customHeight="1" s="311">
      <c r="B38" s="220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20" t="n"/>
      <c r="E38" s="222">
        <f>C38/$C$40</f>
        <v/>
      </c>
    </row>
    <row r="39" ht="13.5" customHeight="1" s="311">
      <c r="B39" s="220" t="inlineStr">
        <is>
          <t>Непредвиденные расходы</t>
        </is>
      </c>
      <c r="C39" s="30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30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301">
        <f>C40/'Прил.5 Расчет СМР и ОБ'!E59</f>
        <v/>
      </c>
      <c r="D41" s="220" t="n"/>
      <c r="E41" s="220" t="n"/>
    </row>
    <row r="42">
      <c r="B42" s="303" t="n"/>
      <c r="C42" s="299" t="n"/>
      <c r="D42" s="299" t="n"/>
      <c r="E42" s="299" t="n"/>
    </row>
    <row r="43">
      <c r="B43" s="303" t="inlineStr">
        <is>
          <t>Составил ____________________________ Е. М. Добровольская</t>
        </is>
      </c>
      <c r="C43" s="299" t="n"/>
      <c r="D43" s="299" t="n"/>
      <c r="E43" s="299" t="n"/>
    </row>
    <row r="44">
      <c r="B44" s="303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303" t="n"/>
      <c r="C45" s="299" t="n"/>
      <c r="D45" s="299" t="n"/>
      <c r="E45" s="299" t="n"/>
    </row>
    <row r="46">
      <c r="B46" s="303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6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6"/>
  <sheetViews>
    <sheetView view="pageBreakPreview" topLeftCell="A35" zoomScale="85" zoomScaleSheetLayoutView="85" workbookViewId="0">
      <selection activeCell="D63" sqref="D63"/>
    </sheetView>
  </sheetViews>
  <sheetFormatPr baseColWidth="8" defaultColWidth="9.140625" defaultRowHeight="15" outlineLevelRow="1"/>
  <cols>
    <col width="5.7109375" customWidth="1" style="309" min="1" max="1"/>
    <col width="22.5703125" customWidth="1" style="309" min="2" max="2"/>
    <col width="39.140625" customWidth="1" style="309" min="3" max="3"/>
    <col width="10.7109375" customWidth="1" style="309" min="4" max="4"/>
    <col width="12.7109375" customWidth="1" style="309" min="5" max="5"/>
    <col width="15" customWidth="1" style="309" min="6" max="6"/>
    <col width="13.42578125" customWidth="1" style="309" min="7" max="7"/>
    <col width="12.7109375" customWidth="1" style="309" min="8" max="8"/>
    <col width="13.85546875" customWidth="1" style="309" min="9" max="9"/>
    <col width="17.5703125" customWidth="1" style="309" min="10" max="10"/>
    <col width="10.85546875" customWidth="1" style="309" min="11" max="11"/>
    <col width="9.140625" customWidth="1" style="309" min="12" max="12"/>
    <col width="9.140625" customWidth="1" style="311" min="13" max="13"/>
  </cols>
  <sheetData>
    <row r="1" s="311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11">
      <c r="A2" s="309" t="n"/>
      <c r="B2" s="309" t="n"/>
      <c r="C2" s="309" t="n"/>
      <c r="D2" s="309" t="n"/>
      <c r="E2" s="309" t="n"/>
      <c r="F2" s="309" t="n"/>
      <c r="G2" s="309" t="n"/>
      <c r="H2" s="381" t="inlineStr">
        <is>
          <t>Приложение №5</t>
        </is>
      </c>
      <c r="K2" s="309" t="n"/>
      <c r="L2" s="309" t="n"/>
      <c r="M2" s="309" t="n"/>
      <c r="N2" s="309" t="n"/>
    </row>
    <row r="3" s="311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299">
      <c r="A4" s="346" t="inlineStr">
        <is>
          <t>Расчет стоимости СМР и оборудования</t>
        </is>
      </c>
    </row>
    <row r="5" ht="12.75" customFormat="1" customHeight="1" s="299">
      <c r="A5" s="346" t="n"/>
      <c r="B5" s="346" t="n"/>
      <c r="C5" s="393" t="n"/>
      <c r="D5" s="346" t="n"/>
      <c r="E5" s="346" t="n"/>
      <c r="F5" s="346" t="n"/>
      <c r="G5" s="346" t="n"/>
      <c r="H5" s="346" t="n"/>
      <c r="I5" s="346" t="n"/>
      <c r="J5" s="346" t="n"/>
    </row>
    <row r="6" ht="27.75" customFormat="1" customHeight="1" s="299">
      <c r="A6" s="231" t="inlineStr">
        <is>
          <t>Наименование разрабатываемого показателя УНЦ</t>
        </is>
      </c>
      <c r="B6" s="232" t="n"/>
      <c r="C6" s="232" t="n"/>
      <c r="D6" s="349" t="inlineStr">
        <is>
          <t>Комбинированная аппаратура по ВЧ (ВОЛС)</t>
        </is>
      </c>
    </row>
    <row r="7" ht="12.75" customFormat="1" customHeight="1" s="299">
      <c r="A7" s="349" t="inlineStr">
        <is>
          <t xml:space="preserve">Единица измерения  — 1 ед. </t>
        </is>
      </c>
      <c r="I7" s="365" t="n"/>
      <c r="J7" s="365" t="n"/>
    </row>
    <row r="8" ht="13.5" customFormat="1" customHeight="1" s="299">
      <c r="A8" s="349" t="n"/>
    </row>
    <row r="9" ht="13.15" customFormat="1" customHeight="1" s="299"/>
    <row r="10" ht="27" customHeight="1" s="311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9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9" t="n"/>
      <c r="K10" s="309" t="n"/>
      <c r="L10" s="309" t="n"/>
      <c r="M10" s="309" t="n"/>
      <c r="N10" s="309" t="n"/>
    </row>
    <row r="11" ht="28.5" customHeight="1" s="311">
      <c r="A11" s="441" t="n"/>
      <c r="B11" s="441" t="n"/>
      <c r="C11" s="441" t="n"/>
      <c r="D11" s="441" t="n"/>
      <c r="E11" s="441" t="n"/>
      <c r="F11" s="368" t="inlineStr">
        <is>
          <t>на ед. изм.</t>
        </is>
      </c>
      <c r="G11" s="368" t="inlineStr">
        <is>
          <t>общая</t>
        </is>
      </c>
      <c r="H11" s="441" t="n"/>
      <c r="I11" s="368" t="inlineStr">
        <is>
          <t>на ед. изм.</t>
        </is>
      </c>
      <c r="J11" s="368" t="inlineStr">
        <is>
          <t>общая</t>
        </is>
      </c>
      <c r="K11" s="309" t="n"/>
      <c r="L11" s="309" t="n"/>
      <c r="M11" s="309" t="n"/>
      <c r="N11" s="309" t="n"/>
    </row>
    <row r="12" s="311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84" t="n">
        <v>9</v>
      </c>
      <c r="J12" s="384" t="n">
        <v>10</v>
      </c>
      <c r="K12" s="309" t="n"/>
      <c r="L12" s="309" t="n"/>
      <c r="M12" s="309" t="n"/>
      <c r="N12" s="309" t="n"/>
    </row>
    <row r="13">
      <c r="A13" s="368" t="n"/>
      <c r="B13" s="361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185" t="n"/>
      <c r="J13" s="185" t="n"/>
    </row>
    <row r="14" ht="25.5" customHeight="1" s="311">
      <c r="A14" s="368" t="n">
        <v>1</v>
      </c>
      <c r="B14" s="233" t="inlineStr">
        <is>
          <t>1-4-9</t>
        </is>
      </c>
      <c r="C14" s="367" t="inlineStr">
        <is>
          <t>Затраты труда рабочих-строителей среднего разряда (4,9)</t>
        </is>
      </c>
      <c r="D14" s="368" t="inlineStr">
        <is>
          <t>чел.-ч.</t>
        </is>
      </c>
      <c r="E14" s="448">
        <f>G14/F14</f>
        <v/>
      </c>
      <c r="F14" s="243" t="n">
        <v>10.94</v>
      </c>
      <c r="G14" s="243">
        <f>Прил.3!H11</f>
        <v/>
      </c>
      <c r="H14" s="242">
        <f>G14/$G$15</f>
        <v/>
      </c>
      <c r="I14" s="243">
        <f>ФОТр.тек.!E13</f>
        <v/>
      </c>
      <c r="J14" s="243">
        <f>ROUND(I14*E14,2)</f>
        <v/>
      </c>
    </row>
    <row r="15" ht="25.5" customFormat="1" customHeight="1" s="309">
      <c r="A15" s="368" t="n"/>
      <c r="B15" s="368" t="n"/>
      <c r="C15" s="361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8">
        <f>SUM(E14:E14)</f>
        <v/>
      </c>
      <c r="F15" s="243" t="n"/>
      <c r="G15" s="243">
        <f>SUM(G14:G14)</f>
        <v/>
      </c>
      <c r="H15" s="371">
        <f>SUM(H14:H14)</f>
        <v/>
      </c>
      <c r="I15" s="185" t="n"/>
      <c r="J15" s="243">
        <f>SUM(J14:J14)</f>
        <v/>
      </c>
    </row>
    <row r="16" ht="14.25" customFormat="1" customHeight="1" s="309">
      <c r="A16" s="368" t="n"/>
      <c r="B16" s="367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185" t="n"/>
      <c r="J16" s="185" t="n"/>
    </row>
    <row r="17" ht="14.25" customFormat="1" customHeight="1" s="309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8">
        <f>Прил.3!F18</f>
        <v/>
      </c>
      <c r="F17" s="243">
        <f>G17/E17</f>
        <v/>
      </c>
      <c r="G17" s="243">
        <f>Прил.3!H17</f>
        <v/>
      </c>
      <c r="H17" s="371" t="n">
        <v>1</v>
      </c>
      <c r="I17" s="243">
        <f>ROUND(F17*Прил.10!D11,2)</f>
        <v/>
      </c>
      <c r="J17" s="243">
        <f>ROUND(I17*E17,2)</f>
        <v/>
      </c>
    </row>
    <row r="18" ht="14.25" customFormat="1" customHeight="1" s="309">
      <c r="A18" s="368" t="n"/>
      <c r="B18" s="361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85" t="n"/>
      <c r="J18" s="185" t="n"/>
    </row>
    <row r="19" ht="14.25" customFormat="1" customHeight="1" s="309">
      <c r="A19" s="368" t="n"/>
      <c r="B19" s="367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185" t="n"/>
      <c r="J19" s="185" t="n"/>
    </row>
    <row r="20" ht="25.5" customFormat="1" customHeight="1" s="309">
      <c r="A20" s="368" t="n">
        <v>3</v>
      </c>
      <c r="B20" s="233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48" t="n">
        <v>2</v>
      </c>
      <c r="F20" s="370" t="n">
        <v>115.4</v>
      </c>
      <c r="G20" s="243">
        <f>ROUND(E20*F20,2)</f>
        <v/>
      </c>
      <c r="H20" s="242">
        <f>G20/$G$28</f>
        <v/>
      </c>
      <c r="I20" s="243">
        <f>ROUND(F20*Прил.10!$D$12,2)</f>
        <v/>
      </c>
      <c r="J20" s="243">
        <f>ROUND(I20*E20,2)</f>
        <v/>
      </c>
    </row>
    <row r="21" ht="14.25" customFormat="1" customHeight="1" s="309">
      <c r="A21" s="368" t="n">
        <v>4</v>
      </c>
      <c r="B21" s="233" t="inlineStr">
        <is>
          <t>91.06.05-011</t>
        </is>
      </c>
      <c r="C21" s="367" t="inlineStr">
        <is>
          <t>Погрузчики, грузоподъемность 5 т</t>
        </is>
      </c>
      <c r="D21" s="368" t="inlineStr">
        <is>
          <t>маш.час</t>
        </is>
      </c>
      <c r="E21" s="448" t="n">
        <v>1.48</v>
      </c>
      <c r="F21" s="370" t="n">
        <v>89.98999999999999</v>
      </c>
      <c r="G21" s="243">
        <f>ROUND(E21*F21,2)</f>
        <v/>
      </c>
      <c r="H21" s="242">
        <f>G21/$G$28</f>
        <v/>
      </c>
      <c r="I21" s="243">
        <f>ROUND(F21*Прил.10!$D$12,2)</f>
        <v/>
      </c>
      <c r="J21" s="243">
        <f>ROUND(I21*E21,2)</f>
        <v/>
      </c>
    </row>
    <row r="22" ht="25.5" customFormat="1" customHeight="1" s="309">
      <c r="A22" s="368" t="n">
        <v>5</v>
      </c>
      <c r="B22" s="233" t="inlineStr">
        <is>
          <t>91.14.02-001</t>
        </is>
      </c>
      <c r="C22" s="367" t="inlineStr">
        <is>
          <t>Автомобили бортовые, грузоподъемность до 5 т</t>
        </is>
      </c>
      <c r="D22" s="368" t="inlineStr">
        <is>
          <t>маш.час</t>
        </is>
      </c>
      <c r="E22" s="448" t="n">
        <v>2</v>
      </c>
      <c r="F22" s="370" t="n">
        <v>65.70999999999999</v>
      </c>
      <c r="G22" s="243">
        <f>ROUND(E22*F22,2)</f>
        <v/>
      </c>
      <c r="H22" s="242">
        <f>G22/$G$28</f>
        <v/>
      </c>
      <c r="I22" s="243">
        <f>ROUND(F22*Прил.10!$D$12,2)</f>
        <v/>
      </c>
      <c r="J22" s="243">
        <f>ROUND(I22*E22,2)</f>
        <v/>
      </c>
    </row>
    <row r="23" ht="25.5" customFormat="1" customHeight="1" s="309">
      <c r="A23" s="368" t="n">
        <v>6</v>
      </c>
      <c r="B23" s="233" t="inlineStr">
        <is>
          <t>91.06.03-061</t>
        </is>
      </c>
      <c r="C23" s="367" t="inlineStr">
        <is>
          <t>Лебедки электрические тяговым усилием до 12,26 кН (1,25 т)</t>
        </is>
      </c>
      <c r="D23" s="368" t="inlineStr">
        <is>
          <t>маш.час</t>
        </is>
      </c>
      <c r="E23" s="448" t="n">
        <v>22</v>
      </c>
      <c r="F23" s="370" t="n">
        <v>3.28</v>
      </c>
      <c r="G23" s="243">
        <f>ROUND(E23*F23,2)</f>
        <v/>
      </c>
      <c r="H23" s="242">
        <f>G23/$G$28</f>
        <v/>
      </c>
      <c r="I23" s="243">
        <f>ROUND(F23*Прил.10!$D$12,2)</f>
        <v/>
      </c>
      <c r="J23" s="243">
        <f>ROUND(I23*E23,2)</f>
        <v/>
      </c>
    </row>
    <row r="24" ht="14.25" customFormat="1" customHeight="1" s="309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8" t="n"/>
      <c r="F24" s="243" t="n"/>
      <c r="G24" s="243">
        <f>SUM(G20:G23)</f>
        <v/>
      </c>
      <c r="H24" s="371">
        <f>G24/G28</f>
        <v/>
      </c>
      <c r="I24" s="241" t="n"/>
      <c r="J24" s="243">
        <f>SUM(J20:J23)</f>
        <v/>
      </c>
    </row>
    <row r="25" outlineLevel="1" ht="25.5" customFormat="1" customHeight="1" s="309">
      <c r="A25" s="368" t="n">
        <v>7</v>
      </c>
      <c r="B25" s="233" t="inlineStr">
        <is>
          <t>91.06.01-003</t>
        </is>
      </c>
      <c r="C25" s="367" t="inlineStr">
        <is>
          <t>Домкраты гидравлические, грузоподъемность 63-100 т</t>
        </is>
      </c>
      <c r="D25" s="368" t="inlineStr">
        <is>
          <t>маш.час</t>
        </is>
      </c>
      <c r="E25" s="448" t="n">
        <v>22</v>
      </c>
      <c r="F25" s="370" t="n">
        <v>0.9</v>
      </c>
      <c r="G25" s="243">
        <f>ROUND(E25*F25,2)</f>
        <v/>
      </c>
      <c r="H25" s="242">
        <f>G25/$G$28</f>
        <v/>
      </c>
      <c r="I25" s="243">
        <f>ROUND(F25*Прил.10!$D$12,2)</f>
        <v/>
      </c>
      <c r="J25" s="243">
        <f>ROUND(I25*E25,2)</f>
        <v/>
      </c>
    </row>
    <row r="26" outlineLevel="1" ht="25.5" customFormat="1" customHeight="1" s="309">
      <c r="A26" s="368" t="n">
        <v>8</v>
      </c>
      <c r="B26" s="233" t="inlineStr">
        <is>
          <t>91.06.03-060</t>
        </is>
      </c>
      <c r="C26" s="367" t="inlineStr">
        <is>
          <t>Лебедки электрические тяговым усилием до 5,79 кН (0,59 т)</t>
        </is>
      </c>
      <c r="D26" s="368" t="inlineStr">
        <is>
          <t>маш.час</t>
        </is>
      </c>
      <c r="E26" s="448" t="n">
        <v>1.33</v>
      </c>
      <c r="F26" s="370" t="n">
        <v>1.7</v>
      </c>
      <c r="G26" s="243">
        <f>ROUND(E26*F26,2)</f>
        <v/>
      </c>
      <c r="H26" s="242">
        <f>G26/$G$28</f>
        <v/>
      </c>
      <c r="I26" s="243">
        <f>ROUND(F26*Прил.10!$D$12,2)</f>
        <v/>
      </c>
      <c r="J26" s="243">
        <f>ROUND(I26*E26,2)</f>
        <v/>
      </c>
    </row>
    <row r="27" ht="14.25" customFormat="1" customHeight="1" s="309">
      <c r="A27" s="368" t="n"/>
      <c r="B27" s="368" t="n"/>
      <c r="C27" s="367" t="inlineStr">
        <is>
          <t>Итого прочие машины и механизмы</t>
        </is>
      </c>
      <c r="D27" s="368" t="n"/>
      <c r="E27" s="369" t="n"/>
      <c r="F27" s="243" t="n"/>
      <c r="G27" s="241">
        <f>SUM(G25:G26)</f>
        <v/>
      </c>
      <c r="H27" s="242">
        <f>G27/G28</f>
        <v/>
      </c>
      <c r="I27" s="243" t="n"/>
      <c r="J27" s="241">
        <f>SUM(J25:J26)</f>
        <v/>
      </c>
    </row>
    <row r="28" ht="25.5" customFormat="1" customHeight="1" s="309">
      <c r="A28" s="368" t="n"/>
      <c r="B28" s="368" t="n"/>
      <c r="C28" s="361" t="inlineStr">
        <is>
          <t>Итого по разделу «Машины и механизмы»</t>
        </is>
      </c>
      <c r="D28" s="368" t="n"/>
      <c r="E28" s="369" t="n"/>
      <c r="F28" s="243" t="n"/>
      <c r="G28" s="243">
        <f>G24+G27</f>
        <v/>
      </c>
      <c r="H28" s="371">
        <f>H24+H27</f>
        <v/>
      </c>
      <c r="I28" s="183" t="n"/>
      <c r="J28" s="243">
        <f>J24+J27</f>
        <v/>
      </c>
    </row>
    <row r="29" ht="14.25" customFormat="1" customHeight="1" s="309">
      <c r="A29" s="368" t="n"/>
      <c r="B29" s="361" t="inlineStr">
        <is>
          <t>Оборудование</t>
        </is>
      </c>
      <c r="C29" s="438" t="n"/>
      <c r="D29" s="438" t="n"/>
      <c r="E29" s="438" t="n"/>
      <c r="F29" s="438" t="n"/>
      <c r="G29" s="438" t="n"/>
      <c r="H29" s="439" t="n"/>
      <c r="I29" s="185" t="n"/>
      <c r="J29" s="185" t="n"/>
    </row>
    <row r="30">
      <c r="A30" s="368" t="n"/>
      <c r="B30" s="367" t="inlineStr">
        <is>
          <t>Основное оборудование</t>
        </is>
      </c>
      <c r="C30" s="438" t="n"/>
      <c r="D30" s="438" t="n"/>
      <c r="E30" s="438" t="n"/>
      <c r="F30" s="438" t="n"/>
      <c r="G30" s="438" t="n"/>
      <c r="H30" s="439" t="n"/>
      <c r="I30" s="185" t="n"/>
      <c r="J30" s="185" t="n"/>
      <c r="K30" s="309" t="n"/>
      <c r="L30" s="309" t="n"/>
    </row>
    <row r="31" ht="14.25" customFormat="1" customHeight="1" s="309">
      <c r="A31" s="368" t="n">
        <v>9</v>
      </c>
      <c r="B31" s="277" t="inlineStr">
        <is>
          <t>БЦ.38.11</t>
        </is>
      </c>
      <c r="C31" s="276" t="inlineStr">
        <is>
          <t>Комбинированный терминал ВЧ связи</t>
        </is>
      </c>
      <c r="D31" s="277" t="inlineStr">
        <is>
          <t>шт</t>
        </is>
      </c>
      <c r="E31" s="449" t="n">
        <v>1</v>
      </c>
      <c r="F31" s="279">
        <f>ROUND(I31/Прил.10!$D$14,2)</f>
        <v/>
      </c>
      <c r="G31" s="280">
        <f>ROUND(E31*F31,2)</f>
        <v/>
      </c>
      <c r="H31" s="273" t="n">
        <v>1</v>
      </c>
      <c r="I31" s="280" t="n">
        <v>2880000</v>
      </c>
      <c r="J31" s="280">
        <f>ROUND(I31*E31,2)</f>
        <v/>
      </c>
    </row>
    <row r="32">
      <c r="A32" s="368" t="n"/>
      <c r="B32" s="277" t="n"/>
      <c r="C32" s="276" t="inlineStr">
        <is>
          <t>Итого основное оборудование</t>
        </is>
      </c>
      <c r="D32" s="277" t="n"/>
      <c r="E32" s="449" t="n"/>
      <c r="F32" s="279" t="n"/>
      <c r="G32" s="280">
        <f>G31</f>
        <v/>
      </c>
      <c r="H32" s="273" t="n">
        <v>1</v>
      </c>
      <c r="I32" s="281" t="n"/>
      <c r="J32" s="280">
        <f>J31</f>
        <v/>
      </c>
      <c r="K32" s="309" t="n"/>
      <c r="L32" s="309" t="n"/>
    </row>
    <row r="33">
      <c r="A33" s="368" t="n"/>
      <c r="B33" s="277" t="n"/>
      <c r="C33" s="276" t="inlineStr">
        <is>
          <t>Итого прочее оборудование</t>
        </is>
      </c>
      <c r="D33" s="277" t="n"/>
      <c r="E33" s="450" t="n"/>
      <c r="F33" s="279" t="n"/>
      <c r="G33" s="280" t="n">
        <v>0</v>
      </c>
      <c r="H33" s="273" t="n">
        <v>0</v>
      </c>
      <c r="I33" s="281" t="n"/>
      <c r="J33" s="280" t="n">
        <v>0</v>
      </c>
      <c r="K33" s="309" t="n"/>
      <c r="L33" s="309" t="n"/>
    </row>
    <row r="34">
      <c r="A34" s="368" t="n"/>
      <c r="B34" s="277" t="n"/>
      <c r="C34" s="376" t="inlineStr">
        <is>
          <t>Итого по разделу «Оборудование»</t>
        </is>
      </c>
      <c r="D34" s="277" t="n"/>
      <c r="E34" s="284" t="n"/>
      <c r="F34" s="279" t="n"/>
      <c r="G34" s="280">
        <f>G32+G33</f>
        <v/>
      </c>
      <c r="H34" s="273">
        <f>H32+H33</f>
        <v/>
      </c>
      <c r="I34" s="281" t="n"/>
      <c r="J34" s="280">
        <f>J33+J32</f>
        <v/>
      </c>
      <c r="K34" s="309" t="n"/>
      <c r="L34" s="309" t="n"/>
    </row>
    <row r="35" ht="25.5" customHeight="1" s="311">
      <c r="A35" s="368" t="n"/>
      <c r="B35" s="277" t="n"/>
      <c r="C35" s="276" t="inlineStr">
        <is>
          <t>в том числе технологическое оборудование</t>
        </is>
      </c>
      <c r="D35" s="277" t="n"/>
      <c r="E35" s="449" t="n"/>
      <c r="F35" s="279" t="n"/>
      <c r="G35" s="280">
        <f>'Прил.6 Расчет ОБ'!G13</f>
        <v/>
      </c>
      <c r="H35" s="286" t="n"/>
      <c r="I35" s="281" t="n"/>
      <c r="J35" s="280">
        <f>J34</f>
        <v/>
      </c>
      <c r="K35" s="309" t="n"/>
      <c r="L35" s="309" t="n"/>
    </row>
    <row r="36" ht="14.25" customFormat="1" customHeight="1" s="309">
      <c r="A36" s="368" t="n"/>
      <c r="B36" s="376" t="inlineStr">
        <is>
          <t>Материалы</t>
        </is>
      </c>
      <c r="C36" s="438" t="n"/>
      <c r="D36" s="438" t="n"/>
      <c r="E36" s="438" t="n"/>
      <c r="F36" s="438" t="n"/>
      <c r="G36" s="438" t="n"/>
      <c r="H36" s="439" t="n"/>
      <c r="I36" s="287" t="n"/>
      <c r="J36" s="287" t="n"/>
    </row>
    <row r="37" ht="12" customFormat="1" customHeight="1" s="309">
      <c r="A37" s="384" t="n"/>
      <c r="B37" s="277" t="inlineStr">
        <is>
          <t>Основные материалы</t>
        </is>
      </c>
      <c r="C37" s="276" t="n"/>
      <c r="D37" s="277" t="n"/>
      <c r="E37" s="449" t="n"/>
      <c r="F37" s="279" t="n"/>
      <c r="G37" s="280" t="n"/>
      <c r="H37" s="273" t="n"/>
      <c r="I37" s="280" t="n"/>
      <c r="J37" s="280" t="n"/>
    </row>
    <row r="38" ht="36" customFormat="1" customHeight="1" s="309">
      <c r="A38" s="368" t="n">
        <v>11</v>
      </c>
      <c r="B38" s="277" t="inlineStr">
        <is>
          <t>21.1.03.02-0006</t>
        </is>
      </c>
      <c r="C38" s="276" t="inlineStr">
        <is>
          <t>Кабель коаксиальный радиочастотный РК 75 9-12</t>
        </is>
      </c>
      <c r="D38" s="277" t="inlineStr">
        <is>
          <t>1000 м</t>
        </is>
      </c>
      <c r="E38" s="449" t="n">
        <v>1</v>
      </c>
      <c r="F38" s="279" t="n">
        <v>8830.629999999999</v>
      </c>
      <c r="G38" s="280">
        <f>ROUND(E38*F38,2)</f>
        <v/>
      </c>
      <c r="H38" s="273">
        <f>G38/$G$53</f>
        <v/>
      </c>
      <c r="I38" s="280">
        <f>ROUND(F38*Прил.10!$D$13,2)</f>
        <v/>
      </c>
      <c r="J38" s="280">
        <f>ROUND(I38*E38,2)</f>
        <v/>
      </c>
    </row>
    <row r="39" ht="14.25" customFormat="1" customHeight="1" s="309">
      <c r="A39" s="385" t="n"/>
      <c r="B39" s="288" t="n"/>
      <c r="C39" s="289" t="inlineStr">
        <is>
          <t>Итого основные материалы</t>
        </is>
      </c>
      <c r="D39" s="290" t="n"/>
      <c r="E39" s="451" t="n"/>
      <c r="F39" s="293" t="n"/>
      <c r="G39" s="293">
        <f>SUM(G38:G38)</f>
        <v/>
      </c>
      <c r="H39" s="273">
        <f>G39/$G$53</f>
        <v/>
      </c>
      <c r="I39" s="280" t="n"/>
      <c r="J39" s="293">
        <f>SUM(J38:J38)</f>
        <v/>
      </c>
    </row>
    <row r="40" outlineLevel="1" ht="25.5" customFormat="1" customHeight="1" s="309">
      <c r="A40" s="368" t="n">
        <v>12</v>
      </c>
      <c r="B40" s="277" t="inlineStr">
        <is>
          <t>10.3.02.03-0011</t>
        </is>
      </c>
      <c r="C40" s="276" t="inlineStr">
        <is>
          <t>Припои оловянно-свинцовые бессурьмянистые, марка ПОС30</t>
        </is>
      </c>
      <c r="D40" s="277" t="inlineStr">
        <is>
          <t>т</t>
        </is>
      </c>
      <c r="E40" s="449" t="n">
        <v>0.0027</v>
      </c>
      <c r="F40" s="279" t="n">
        <v>68050</v>
      </c>
      <c r="G40" s="280">
        <f>ROUND(E40*F40,2)</f>
        <v/>
      </c>
      <c r="H40" s="273">
        <f>G40/$G$53</f>
        <v/>
      </c>
      <c r="I40" s="280">
        <f>ROUND(F40*Прил.10!$D$13,2)</f>
        <v/>
      </c>
      <c r="J40" s="280">
        <f>ROUND(I40*E40,2)</f>
        <v/>
      </c>
    </row>
    <row r="41" outlineLevel="1" ht="25.5" customFormat="1" customHeight="1" s="309">
      <c r="A41" s="368" t="n">
        <v>13</v>
      </c>
      <c r="B41" s="368" t="inlineStr">
        <is>
          <t>999-9950</t>
        </is>
      </c>
      <c r="C41" s="367" t="inlineStr">
        <is>
          <t>Вспомогательные ненормируемые ресурсы (2% от Оплаты труда рабочих)</t>
        </is>
      </c>
      <c r="D41" s="368" t="inlineStr">
        <is>
          <t>руб</t>
        </is>
      </c>
      <c r="E41" s="452" t="n">
        <v>67.83</v>
      </c>
      <c r="F41" s="370" t="n">
        <v>1</v>
      </c>
      <c r="G41" s="243">
        <f>ROUND(E41*F41,2)</f>
        <v/>
      </c>
      <c r="H41" s="242">
        <f>G41/$G$53</f>
        <v/>
      </c>
      <c r="I41" s="243">
        <f>ROUND(F41*Прил.10!$D$13,2)</f>
        <v/>
      </c>
      <c r="J41" s="243">
        <f>ROUND(I41*E41,2)</f>
        <v/>
      </c>
    </row>
    <row r="42" outlineLevel="1" ht="14.25" customFormat="1" customHeight="1" s="309">
      <c r="A42" s="368" t="n">
        <v>14</v>
      </c>
      <c r="B42" s="368" t="inlineStr">
        <is>
          <t>14.4.03.03-0002</t>
        </is>
      </c>
      <c r="C42" s="367" t="inlineStr">
        <is>
          <t>Лак битумный БТ-123</t>
        </is>
      </c>
      <c r="D42" s="368" t="inlineStr">
        <is>
          <t>т</t>
        </is>
      </c>
      <c r="E42" s="452" t="n">
        <v>0.0072</v>
      </c>
      <c r="F42" s="370" t="n">
        <v>7826.9</v>
      </c>
      <c r="G42" s="243">
        <f>ROUND(E42*F42,2)</f>
        <v/>
      </c>
      <c r="H42" s="242">
        <f>G42/$G$53</f>
        <v/>
      </c>
      <c r="I42" s="243">
        <f>ROUND(F42*Прил.10!$D$13,2)</f>
        <v/>
      </c>
      <c r="J42" s="243">
        <f>ROUND(I42*E42,2)</f>
        <v/>
      </c>
    </row>
    <row r="43" outlineLevel="1" ht="25.5" customFormat="1" customHeight="1" s="309">
      <c r="A43" s="368" t="n">
        <v>15</v>
      </c>
      <c r="B43" s="368" t="inlineStr">
        <is>
          <t>11.2.11.05-0002</t>
        </is>
      </c>
      <c r="C43" s="367" t="inlineStr">
        <is>
          <t>Фанера клееная обрезная, сорт В/ВВ, ФК, ФБА, толщина 4 мм</t>
        </is>
      </c>
      <c r="D43" s="368" t="inlineStr">
        <is>
          <t>м3</t>
        </is>
      </c>
      <c r="E43" s="452" t="n">
        <v>0.008</v>
      </c>
      <c r="F43" s="370" t="n">
        <v>4949.4</v>
      </c>
      <c r="G43" s="243">
        <f>ROUND(E43*F43,2)</f>
        <v/>
      </c>
      <c r="H43" s="242">
        <f>G43/$G$53</f>
        <v/>
      </c>
      <c r="I43" s="243">
        <f>ROUND(F43*Прил.10!$D$13,2)</f>
        <v/>
      </c>
      <c r="J43" s="243">
        <f>ROUND(I43*E43,2)</f>
        <v/>
      </c>
    </row>
    <row r="44" outlineLevel="1" ht="14.25" customFormat="1" customHeight="1" s="309">
      <c r="A44" s="368" t="n">
        <v>16</v>
      </c>
      <c r="B44" s="368" t="inlineStr">
        <is>
          <t>20.2.10.03-0021</t>
        </is>
      </c>
      <c r="C44" s="367" t="inlineStr">
        <is>
          <t>Наконечники кабельные П6-4Д-МУЗ</t>
        </is>
      </c>
      <c r="D44" s="368" t="inlineStr">
        <is>
          <t>100 шт</t>
        </is>
      </c>
      <c r="E44" s="452" t="n">
        <v>0.05</v>
      </c>
      <c r="F44" s="370" t="n">
        <v>580</v>
      </c>
      <c r="G44" s="243">
        <f>ROUND(E44*F44,2)</f>
        <v/>
      </c>
      <c r="H44" s="242">
        <f>G44/$G$53</f>
        <v/>
      </c>
      <c r="I44" s="243">
        <f>ROUND(F44*Прил.10!$D$13,2)</f>
        <v/>
      </c>
      <c r="J44" s="243">
        <f>ROUND(I44*E44,2)</f>
        <v/>
      </c>
    </row>
    <row r="45" outlineLevel="1" ht="14.25" customFormat="1" customHeight="1" s="309">
      <c r="A45" s="368" t="n">
        <v>17</v>
      </c>
      <c r="B45" s="368" t="inlineStr">
        <is>
          <t>01.7.06.07-0002</t>
        </is>
      </c>
      <c r="C45" s="367" t="inlineStr">
        <is>
          <t>Лента монтажная, тип ЛМ-5</t>
        </is>
      </c>
      <c r="D45" s="368" t="inlineStr">
        <is>
          <t>10 м</t>
        </is>
      </c>
      <c r="E45" s="452" t="n">
        <v>2.45</v>
      </c>
      <c r="F45" s="370" t="n">
        <v>6.9</v>
      </c>
      <c r="G45" s="243">
        <f>ROUND(E45*F45,2)</f>
        <v/>
      </c>
      <c r="H45" s="242">
        <f>G45/$G$53</f>
        <v/>
      </c>
      <c r="I45" s="243">
        <f>ROUND(F45*Прил.10!$D$13,2)</f>
        <v/>
      </c>
      <c r="J45" s="243">
        <f>ROUND(I45*E45,2)</f>
        <v/>
      </c>
    </row>
    <row r="46" outlineLevel="1" ht="14.25" customFormat="1" customHeight="1" s="309">
      <c r="A46" s="368" t="n">
        <v>18</v>
      </c>
      <c r="B46" s="368" t="inlineStr">
        <is>
          <t>01.7.15.14-0165</t>
        </is>
      </c>
      <c r="C46" s="367" t="inlineStr">
        <is>
          <t>Шурупы с полукруглой головкой 4х40 мм</t>
        </is>
      </c>
      <c r="D46" s="368" t="inlineStr">
        <is>
          <t>т</t>
        </is>
      </c>
      <c r="E46" s="452" t="n">
        <v>0.0011</v>
      </c>
      <c r="F46" s="370" t="n">
        <v>12430</v>
      </c>
      <c r="G46" s="243">
        <f>ROUND(E46*F46,2)</f>
        <v/>
      </c>
      <c r="H46" s="242">
        <f>G46/$G$53</f>
        <v/>
      </c>
      <c r="I46" s="243">
        <f>ROUND(F46*Прил.10!$D$13,2)</f>
        <v/>
      </c>
      <c r="J46" s="243">
        <f>ROUND(I46*E46,2)</f>
        <v/>
      </c>
    </row>
    <row r="47" outlineLevel="1" ht="14.25" customFormat="1" customHeight="1" s="309">
      <c r="A47" s="368" t="n">
        <v>19</v>
      </c>
      <c r="B47" s="368" t="inlineStr">
        <is>
          <t>01.7.20.03-0012</t>
        </is>
      </c>
      <c r="C47" s="367" t="inlineStr">
        <is>
          <t>Мешковина джутовая</t>
        </is>
      </c>
      <c r="D47" s="368" t="inlineStr">
        <is>
          <t>м2</t>
        </is>
      </c>
      <c r="E47" s="452" t="n">
        <v>0.45</v>
      </c>
      <c r="F47" s="370" t="n">
        <v>8.33</v>
      </c>
      <c r="G47" s="243">
        <f>ROUND(E47*F47,2)</f>
        <v/>
      </c>
      <c r="H47" s="242">
        <f>G47/$G$53</f>
        <v/>
      </c>
      <c r="I47" s="243">
        <f>ROUND(F47*Прил.10!$D$13,2)</f>
        <v/>
      </c>
      <c r="J47" s="243">
        <f>ROUND(I47*E47,2)</f>
        <v/>
      </c>
    </row>
    <row r="48" outlineLevel="1" ht="14.25" customFormat="1" customHeight="1" s="309">
      <c r="A48" s="368" t="n">
        <v>20</v>
      </c>
      <c r="B48" s="368" t="inlineStr">
        <is>
          <t>01.7.19.11-0012</t>
        </is>
      </c>
      <c r="C48" s="367" t="inlineStr">
        <is>
          <t>Трубка резиновая техническая</t>
        </is>
      </c>
      <c r="D48" s="368" t="inlineStr">
        <is>
          <t>кг</t>
        </is>
      </c>
      <c r="E48" s="452" t="n">
        <v>0.04</v>
      </c>
      <c r="F48" s="370" t="n">
        <v>51.38</v>
      </c>
      <c r="G48" s="243">
        <f>ROUND(E48*F48,2)</f>
        <v/>
      </c>
      <c r="H48" s="242">
        <f>G48/$G$53</f>
        <v/>
      </c>
      <c r="I48" s="243">
        <f>ROUND(F48*Прил.10!$D$13,2)</f>
        <v/>
      </c>
      <c r="J48" s="243">
        <f>ROUND(I48*E48,2)</f>
        <v/>
      </c>
    </row>
    <row r="49" outlineLevel="1" ht="14.25" customFormat="1" customHeight="1" s="309">
      <c r="A49" s="368" t="n">
        <v>21</v>
      </c>
      <c r="B49" s="368" t="inlineStr">
        <is>
          <t>25.2.01.01-0017</t>
        </is>
      </c>
      <c r="C49" s="367" t="inlineStr">
        <is>
          <t>Бирки маркировочные пластмассовые</t>
        </is>
      </c>
      <c r="D49" s="368" t="inlineStr">
        <is>
          <t>100 шт</t>
        </is>
      </c>
      <c r="E49" s="452" t="n">
        <v>0.05</v>
      </c>
      <c r="F49" s="370" t="n">
        <v>30.74</v>
      </c>
      <c r="G49" s="243">
        <f>ROUND(E49*F49,2)</f>
        <v/>
      </c>
      <c r="H49" s="242">
        <f>G49/$G$53</f>
        <v/>
      </c>
      <c r="I49" s="243">
        <f>ROUND(F49*Прил.10!$D$13,2)</f>
        <v/>
      </c>
      <c r="J49" s="243">
        <f>ROUND(I49*E49,2)</f>
        <v/>
      </c>
    </row>
    <row r="50" outlineLevel="1" ht="14.25" customFormat="1" customHeight="1" s="309">
      <c r="A50" s="368" t="n">
        <v>22</v>
      </c>
      <c r="B50" s="368" t="inlineStr">
        <is>
          <t>14.1.01.01-0003</t>
        </is>
      </c>
      <c r="C50" s="367" t="inlineStr">
        <is>
          <t>Клей столярный сухой</t>
        </is>
      </c>
      <c r="D50" s="368" t="inlineStr">
        <is>
          <t>кг</t>
        </is>
      </c>
      <c r="E50" s="452" t="n">
        <v>0.025</v>
      </c>
      <c r="F50" s="370" t="n">
        <v>16.95</v>
      </c>
      <c r="G50" s="243">
        <f>ROUND(E50*F50,2)</f>
        <v/>
      </c>
      <c r="H50" s="242">
        <f>G50/$G$53</f>
        <v/>
      </c>
      <c r="I50" s="243">
        <f>ROUND(F50*Прил.10!$D$13,2)</f>
        <v/>
      </c>
      <c r="J50" s="243">
        <f>ROUND(I50*E50,2)</f>
        <v/>
      </c>
    </row>
    <row r="51" outlineLevel="1" ht="14.25" customFormat="1" customHeight="1" s="309">
      <c r="A51" s="368" t="n">
        <v>23</v>
      </c>
      <c r="B51" s="368" t="inlineStr">
        <is>
          <t>01.7.20.04-0003</t>
        </is>
      </c>
      <c r="C51" s="367" t="inlineStr">
        <is>
          <t>Нитки суровые</t>
        </is>
      </c>
      <c r="D51" s="368" t="inlineStr">
        <is>
          <t>кг</t>
        </is>
      </c>
      <c r="E51" s="452" t="n">
        <v>0.001</v>
      </c>
      <c r="F51" s="370" t="n">
        <v>155</v>
      </c>
      <c r="G51" s="243">
        <f>ROUND(E51*F51,2)</f>
        <v/>
      </c>
      <c r="H51" s="242">
        <f>G51/$G$53</f>
        <v/>
      </c>
      <c r="I51" s="243">
        <f>ROUND(F51*Прил.10!$D$13,2)</f>
        <v/>
      </c>
      <c r="J51" s="243">
        <f>ROUND(I51*E51,2)</f>
        <v/>
      </c>
    </row>
    <row r="52" ht="14.25" customFormat="1" customHeight="1" s="309">
      <c r="A52" s="368" t="n"/>
      <c r="B52" s="368" t="n"/>
      <c r="C52" s="367" t="inlineStr">
        <is>
          <t>Итого прочие материалы</t>
        </is>
      </c>
      <c r="D52" s="368" t="n"/>
      <c r="E52" s="369" t="n"/>
      <c r="F52" s="370" t="n"/>
      <c r="G52" s="243">
        <f>SUM(G40:G51)</f>
        <v/>
      </c>
      <c r="H52" s="242">
        <f>G52/$G$53</f>
        <v/>
      </c>
      <c r="I52" s="243" t="n"/>
      <c r="J52" s="243">
        <f>SUM(J40:J51)</f>
        <v/>
      </c>
    </row>
    <row r="53" ht="14.25" customFormat="1" customHeight="1" s="309">
      <c r="A53" s="368" t="n"/>
      <c r="B53" s="368" t="n"/>
      <c r="C53" s="361" t="inlineStr">
        <is>
          <t>Итого по разделу «Материалы»</t>
        </is>
      </c>
      <c r="D53" s="368" t="n"/>
      <c r="E53" s="369" t="n"/>
      <c r="F53" s="370" t="n"/>
      <c r="G53" s="243">
        <f>G39+G52</f>
        <v/>
      </c>
      <c r="H53" s="371">
        <f>G53/$G$53</f>
        <v/>
      </c>
      <c r="I53" s="243" t="n"/>
      <c r="J53" s="243">
        <f>J39+J52</f>
        <v/>
      </c>
    </row>
    <row r="54" ht="14.25" customFormat="1" customHeight="1" s="309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43">
        <f>G15+G28+G53</f>
        <v/>
      </c>
      <c r="H54" s="371" t="n"/>
      <c r="I54" s="243" t="n"/>
      <c r="J54" s="243">
        <f>J15+J28+J53</f>
        <v/>
      </c>
    </row>
    <row r="55" ht="14.25" customFormat="1" customHeight="1" s="309">
      <c r="A55" s="368" t="n"/>
      <c r="B55" s="368" t="n"/>
      <c r="C55" s="367" t="inlineStr">
        <is>
          <t>Накладные расходы</t>
        </is>
      </c>
      <c r="D55" s="172">
        <f>ROUND(G55/(G$17+$G$15),2)</f>
        <v/>
      </c>
      <c r="E55" s="369" t="n"/>
      <c r="F55" s="370" t="n"/>
      <c r="G55" s="243" t="n">
        <v>3189.46</v>
      </c>
      <c r="H55" s="371" t="n"/>
      <c r="I55" s="243" t="n"/>
      <c r="J55" s="243">
        <f>ROUND(D55*(J15+J17),2)</f>
        <v/>
      </c>
    </row>
    <row r="56" ht="14.25" customFormat="1" customHeight="1" s="309">
      <c r="A56" s="368" t="n"/>
      <c r="B56" s="368" t="n"/>
      <c r="C56" s="367" t="inlineStr">
        <is>
          <t>Сметная прибыль</t>
        </is>
      </c>
      <c r="D56" s="172">
        <f>ROUND(G56/(G$15+G$17),2)</f>
        <v/>
      </c>
      <c r="E56" s="369" t="n"/>
      <c r="F56" s="370" t="n"/>
      <c r="G56" s="243" t="n">
        <v>1653.64</v>
      </c>
      <c r="H56" s="371" t="n"/>
      <c r="I56" s="243" t="n"/>
      <c r="J56" s="243">
        <f>ROUND(D56*(J15+J17),2)</f>
        <v/>
      </c>
    </row>
    <row r="57" ht="14.25" customFormat="1" customHeight="1" s="309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43">
        <f>G15+G28+G53+G55+G56</f>
        <v/>
      </c>
      <c r="H57" s="371" t="n"/>
      <c r="I57" s="243" t="n"/>
      <c r="J57" s="243">
        <f>J15+J28+J53+J55+J56</f>
        <v/>
      </c>
    </row>
    <row r="58" ht="14.25" customFormat="1" customHeight="1" s="309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43">
        <f>G57+G34</f>
        <v/>
      </c>
      <c r="H58" s="371" t="n"/>
      <c r="I58" s="243" t="n"/>
      <c r="J58" s="243">
        <f>J57+J34</f>
        <v/>
      </c>
    </row>
    <row r="59" ht="34.5" customFormat="1" customHeight="1" s="309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ед.</t>
        </is>
      </c>
      <c r="E59" s="453" t="n">
        <v>1</v>
      </c>
      <c r="F59" s="370" t="n"/>
      <c r="G59" s="243">
        <f>G58/E59</f>
        <v/>
      </c>
      <c r="H59" s="371" t="n"/>
      <c r="I59" s="243" t="n"/>
      <c r="J59" s="243">
        <f>J58/E59</f>
        <v/>
      </c>
    </row>
    <row r="61">
      <c r="A61" s="303" t="n"/>
      <c r="B61" s="299" t="n"/>
    </row>
    <row r="62" ht="14.25" customFormat="1" customHeight="1" s="309">
      <c r="A62" s="303" t="inlineStr">
        <is>
          <t>Составил ____________________________ Е. М. Добровольская</t>
        </is>
      </c>
      <c r="B62" s="299" t="n"/>
    </row>
    <row r="63" ht="14.25" customFormat="1" customHeight="1" s="309">
      <c r="A63" s="303" t="inlineStr">
        <is>
          <t xml:space="preserve">(должность, подпись, инициалы, фамилия) </t>
        </is>
      </c>
      <c r="B63" s="299" t="n"/>
    </row>
    <row r="64" ht="14.25" customFormat="1" customHeight="1" s="309">
      <c r="A64" s="303" t="n"/>
      <c r="B64" s="299" t="n"/>
    </row>
    <row r="65">
      <c r="A65" s="303" t="inlineStr">
        <is>
          <t>Проверил ____________________________ А.В. Костянецкая</t>
        </is>
      </c>
      <c r="B65" s="299" t="n"/>
    </row>
    <row r="66">
      <c r="A66" s="366" t="inlineStr">
        <is>
          <t>(должность, 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A66:B6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311" min="1" max="1"/>
    <col width="17.5703125" customWidth="1" style="311" min="2" max="2"/>
    <col width="39.140625" customWidth="1" style="311" min="3" max="3"/>
    <col width="10.7109375" customWidth="1" style="311" min="4" max="4"/>
    <col width="13.85546875" customWidth="1" style="311" min="5" max="5"/>
    <col width="13.28515625" customWidth="1" style="311" min="6" max="6"/>
    <col width="14.140625" customWidth="1" style="311" min="7" max="7"/>
  </cols>
  <sheetData>
    <row r="1">
      <c r="A1" s="386" t="inlineStr">
        <is>
          <t>Приложение №6</t>
        </is>
      </c>
    </row>
    <row r="2" ht="21.75" customHeight="1" s="311">
      <c r="A2" s="386" t="n"/>
      <c r="B2" s="386" t="n"/>
      <c r="C2" s="386" t="n"/>
      <c r="D2" s="386" t="n"/>
      <c r="E2" s="386" t="n"/>
      <c r="F2" s="386" t="n"/>
      <c r="G2" s="386" t="n"/>
    </row>
    <row r="3">
      <c r="A3" s="346" t="inlineStr">
        <is>
          <t>Расчет стоимости оборудования</t>
        </is>
      </c>
    </row>
    <row r="4" ht="27" customHeight="1" s="311">
      <c r="A4" s="349" t="inlineStr">
        <is>
          <t>Наименование разрабатываемого показателя УНЦ — Комбинированная аппаратура по ВЧ (ВОЛС)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311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68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1">
      <c r="A9" s="220" t="n"/>
      <c r="B9" s="367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11">
      <c r="A10" s="368" t="n"/>
      <c r="B10" s="361" t="n"/>
      <c r="C10" s="367" t="inlineStr">
        <is>
          <t>ИТОГО ИНЖЕНЕРНОЕ ОБОРУДОВАНИЕ</t>
        </is>
      </c>
      <c r="D10" s="361" t="n"/>
      <c r="E10" s="16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>
      <c r="A12" s="368" t="n">
        <v>1</v>
      </c>
      <c r="B12" s="367">
        <f>'Прил.5 Расчет СМР и ОБ'!B31</f>
        <v/>
      </c>
      <c r="C12" s="367">
        <f>'Прил.5 Расчет СМР и ОБ'!C31</f>
        <v/>
      </c>
      <c r="D12" s="367">
        <f>'Прил.5 Расчет СМР и ОБ'!D31</f>
        <v/>
      </c>
      <c r="E12" s="367">
        <f>'Прил.5 Расчет СМР и ОБ'!E31</f>
        <v/>
      </c>
      <c r="F12" s="367">
        <f>'Прил.5 Расчет СМР и ОБ'!F31</f>
        <v/>
      </c>
      <c r="G12" s="367">
        <f>'Прил.5 Расчет СМР и ОБ'!G31</f>
        <v/>
      </c>
    </row>
    <row r="13" ht="25.5" customHeight="1" s="311">
      <c r="A13" s="368" t="n"/>
      <c r="B13" s="367" t="n"/>
      <c r="C13" s="367" t="inlineStr">
        <is>
          <t>ИТОГО ТЕХНОЛОГИЧЕСКОЕ ОБОРУДОВАНИЕ</t>
        </is>
      </c>
      <c r="D13" s="367" t="n"/>
      <c r="E13" s="390" t="n"/>
      <c r="F13" s="370" t="n"/>
      <c r="G13" s="243">
        <f>SUM(G12:G12)</f>
        <v/>
      </c>
    </row>
    <row r="14" ht="19.5" customHeight="1" s="311">
      <c r="A14" s="368" t="n"/>
      <c r="B14" s="367" t="n"/>
      <c r="C14" s="367" t="inlineStr">
        <is>
          <t>Всего по разделу «Оборудование»</t>
        </is>
      </c>
      <c r="D14" s="367" t="n"/>
      <c r="E14" s="390" t="n"/>
      <c r="F14" s="370" t="n"/>
      <c r="G14" s="243">
        <f>G10+G13</f>
        <v/>
      </c>
    </row>
    <row r="15">
      <c r="A15" s="310" t="n"/>
      <c r="B15" s="305" t="n"/>
      <c r="C15" s="310" t="n"/>
      <c r="D15" s="310" t="n"/>
      <c r="E15" s="310" t="n"/>
      <c r="F15" s="310" t="n"/>
      <c r="G15" s="310" t="n"/>
    </row>
    <row r="16">
      <c r="A16" s="299" t="inlineStr">
        <is>
          <t>Составил ______________________    Е. М. Добровольская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inlineStr">
        <is>
          <t xml:space="preserve">                         (подпись, инициалы, фамилия)</t>
        </is>
      </c>
      <c r="B17" s="309" t="n"/>
      <c r="C17" s="309" t="n"/>
      <c r="D17" s="310" t="n"/>
      <c r="E17" s="310" t="n"/>
      <c r="F17" s="310" t="n"/>
      <c r="G17" s="310" t="n"/>
    </row>
    <row r="18">
      <c r="A18" s="299" t="n"/>
      <c r="B18" s="309" t="n"/>
      <c r="C18" s="309" t="n"/>
      <c r="D18" s="310" t="n"/>
      <c r="E18" s="310" t="n"/>
      <c r="F18" s="310" t="n"/>
      <c r="G18" s="310" t="n"/>
    </row>
    <row r="19">
      <c r="A19" s="299" t="inlineStr">
        <is>
          <t>Проверил ______________________        А.В. Костянецкая</t>
        </is>
      </c>
      <c r="B19" s="309" t="n"/>
      <c r="C19" s="309" t="n"/>
      <c r="D19" s="310" t="n"/>
      <c r="E19" s="310" t="n"/>
      <c r="F19" s="310" t="n"/>
      <c r="G19" s="310" t="n"/>
    </row>
    <row r="20">
      <c r="A20" s="308" t="inlineStr">
        <is>
          <t xml:space="preserve">                        (подпись, инициалы, фамилия)</t>
        </is>
      </c>
      <c r="B20" s="309" t="n"/>
      <c r="C20" s="309" t="n"/>
      <c r="D20" s="310" t="n"/>
      <c r="E20" s="310" t="n"/>
      <c r="F20" s="310" t="n"/>
      <c r="G20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11" min="1" max="1"/>
    <col width="29.7109375" customWidth="1" style="311" min="2" max="2"/>
    <col width="39.140625" customWidth="1" style="311" min="3" max="3"/>
    <col width="24.5703125" customWidth="1" style="311" min="4" max="4"/>
    <col width="8.85546875" customWidth="1" style="311" min="5" max="5"/>
  </cols>
  <sheetData>
    <row r="1">
      <c r="B1" s="299" t="n"/>
      <c r="C1" s="299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11">
      <c r="A3" s="346" t="inlineStr">
        <is>
          <t>Расчет показателя УНЦ</t>
        </is>
      </c>
    </row>
    <row r="4" ht="24.75" customHeight="1" s="311">
      <c r="A4" s="346" t="n"/>
      <c r="B4" s="346" t="n"/>
      <c r="C4" s="346" t="n"/>
      <c r="D4" s="346" t="n"/>
    </row>
    <row r="5" ht="24.6" customHeight="1" s="311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" customHeight="1" s="311">
      <c r="A6" s="349" t="inlineStr">
        <is>
          <t>Единица измерения  — 1 ед</t>
        </is>
      </c>
      <c r="D6" s="349" t="n"/>
    </row>
    <row r="7">
      <c r="A7" s="299" t="n"/>
      <c r="B7" s="299" t="n"/>
      <c r="C7" s="299" t="n"/>
      <c r="D7" s="299" t="n"/>
    </row>
    <row r="8" ht="14.45" customHeight="1" s="311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11">
      <c r="A9" s="441" t="n"/>
      <c r="B9" s="441" t="n"/>
      <c r="C9" s="441" t="n"/>
      <c r="D9" s="441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5" customHeight="1" s="311">
      <c r="A11" s="368" t="inlineStr">
        <is>
          <t>А6-07</t>
        </is>
      </c>
      <c r="B11" s="368" t="inlineStr">
        <is>
          <t xml:space="preserve">УНЦ системы ВЧ связи 35-750 кВ </t>
        </is>
      </c>
      <c r="C11" s="301">
        <f>D5</f>
        <v/>
      </c>
      <c r="D11" s="302">
        <f>'Прил.4 РМ'!C41/1000</f>
        <v/>
      </c>
      <c r="E11" s="303" t="n"/>
    </row>
    <row r="12">
      <c r="A12" s="310" t="n"/>
      <c r="B12" s="305" t="n"/>
      <c r="C12" s="310" t="n"/>
      <c r="D12" s="310" t="n"/>
    </row>
    <row r="13">
      <c r="A13" s="299" t="inlineStr">
        <is>
          <t>Составил ______________________      А.Р. Маркова</t>
        </is>
      </c>
      <c r="B13" s="309" t="n"/>
      <c r="C13" s="309" t="n"/>
      <c r="D13" s="310" t="n"/>
    </row>
    <row r="14">
      <c r="A14" s="308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299" t="n"/>
      <c r="B15" s="309" t="n"/>
      <c r="C15" s="309" t="n"/>
      <c r="D15" s="310" t="n"/>
    </row>
    <row r="16">
      <c r="A16" s="299" t="inlineStr">
        <is>
          <t>Проверил ______________________        А.В. Костянецкая</t>
        </is>
      </c>
      <c r="B16" s="309" t="n"/>
      <c r="C16" s="309" t="n"/>
      <c r="D16" s="310" t="n"/>
    </row>
    <row r="17">
      <c r="A17" s="308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8" zoomScale="85" zoomScaleNormal="85" zoomScaleSheetLayoutView="85" workbookViewId="0">
      <selection activeCell="C30" sqref="C30"/>
    </sheetView>
  </sheetViews>
  <sheetFormatPr baseColWidth="8" defaultRowHeight="15"/>
  <cols>
    <col width="9.140625" customWidth="1" style="311" min="1" max="1"/>
    <col width="40.7109375" customWidth="1" style="311" min="2" max="2"/>
    <col width="37.5703125" customWidth="1" style="311" min="3" max="3"/>
    <col width="32" customWidth="1" style="311" min="4" max="4"/>
    <col width="9.140625" customWidth="1" style="311" min="5" max="5"/>
  </cols>
  <sheetData>
    <row r="4" ht="15.75" customHeight="1" s="311">
      <c r="B4" s="353" t="inlineStr">
        <is>
          <t>Приложение № 10</t>
        </is>
      </c>
    </row>
    <row r="5" ht="18.75" customHeight="1" s="311">
      <c r="B5" s="153" t="n"/>
    </row>
    <row r="6" ht="15.75" customHeight="1" s="311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11">
      <c r="B10" s="359" t="n">
        <v>1</v>
      </c>
      <c r="C10" s="359" t="n">
        <v>2</v>
      </c>
      <c r="D10" s="359" t="n">
        <v>3</v>
      </c>
    </row>
    <row r="11" ht="45" customHeight="1" s="31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1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1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11">
      <c r="B14" s="359" t="inlineStr">
        <is>
          <t>Индекс изменения сметной стоимости на 1 квартал 2023 года. ОБ</t>
        </is>
      </c>
      <c r="C14" s="263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11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1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1.5" customHeight="1" s="311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11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56" t="n">
        <v>0.002</v>
      </c>
    </row>
    <row r="19" ht="24" customHeight="1" s="311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56" t="n">
        <v>0.03</v>
      </c>
    </row>
    <row r="20" ht="18.75" customHeight="1" s="311">
      <c r="B20" s="266" t="n"/>
    </row>
    <row r="21" ht="18.75" customHeight="1" s="311">
      <c r="B21" s="266" t="n"/>
    </row>
    <row r="22" ht="18.75" customHeight="1" s="311">
      <c r="B22" s="266" t="n"/>
    </row>
    <row r="23" ht="18.75" customHeight="1" s="311">
      <c r="B23" s="266" t="n"/>
    </row>
    <row r="26">
      <c r="B26" s="299" t="inlineStr">
        <is>
          <t>Составил ______________________        Е. М. Добровольская</t>
        </is>
      </c>
      <c r="C26" s="309" t="n"/>
    </row>
    <row r="27">
      <c r="B27" s="308" t="inlineStr">
        <is>
          <t xml:space="preserve">                         (подпись, инициалы, фамилия)</t>
        </is>
      </c>
      <c r="C27" s="309" t="n"/>
    </row>
    <row r="28">
      <c r="B28" s="299" t="n"/>
      <c r="C28" s="309" t="n"/>
    </row>
    <row r="29">
      <c r="B29" s="299" t="inlineStr">
        <is>
          <t>Проверил ______________________        А.В. Костянецкая</t>
        </is>
      </c>
      <c r="C29" s="309" t="n"/>
    </row>
    <row r="30">
      <c r="B30" s="308" t="inlineStr">
        <is>
          <t xml:space="preserve">                        (подпись, инициалы, фамилия)</t>
        </is>
      </c>
      <c r="C30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44" sqref="C44"/>
    </sheetView>
  </sheetViews>
  <sheetFormatPr baseColWidth="8" defaultColWidth="9.140625" defaultRowHeight="15"/>
  <cols>
    <col width="44.85546875" customWidth="1" style="311" min="2" max="2"/>
    <col width="13" customWidth="1" style="311" min="3" max="3"/>
    <col width="22.85546875" customWidth="1" style="311" min="4" max="4"/>
    <col width="21.5703125" customWidth="1" style="311" min="5" max="5"/>
    <col width="43.85546875" customWidth="1" style="311" min="6" max="6"/>
  </cols>
  <sheetData>
    <row r="1" s="311"/>
    <row r="2" ht="17.25" customHeight="1" s="311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314" t="inlineStr">
        <is>
          <t>№ пп.</t>
        </is>
      </c>
      <c r="B5" s="314" t="inlineStr">
        <is>
          <t>Наименование элемента</t>
        </is>
      </c>
      <c r="C5" s="314" t="inlineStr">
        <is>
          <t>Обозначение</t>
        </is>
      </c>
      <c r="D5" s="314" t="inlineStr">
        <is>
          <t>Формула</t>
        </is>
      </c>
      <c r="E5" s="314" t="inlineStr">
        <is>
          <t>Величина элемента</t>
        </is>
      </c>
      <c r="F5" s="314" t="inlineStr">
        <is>
          <t>Наименования обосновывающих документов</t>
        </is>
      </c>
      <c r="G5" s="313" t="n"/>
    </row>
    <row r="6" ht="15.75" customHeight="1" s="311">
      <c r="A6" s="314" t="n">
        <v>1</v>
      </c>
      <c r="B6" s="314" t="n">
        <v>2</v>
      </c>
      <c r="C6" s="314" t="n">
        <v>3</v>
      </c>
      <c r="D6" s="314" t="n">
        <v>4</v>
      </c>
      <c r="E6" s="314" t="n">
        <v>5</v>
      </c>
      <c r="F6" s="314" t="n">
        <v>6</v>
      </c>
      <c r="G6" s="313" t="n"/>
    </row>
    <row r="7" ht="110.25" customHeight="1" s="311">
      <c r="A7" s="315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18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315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19">
        <f>1973/12</f>
        <v/>
      </c>
      <c r="F8" s="320" t="inlineStr">
        <is>
          <t>Производственный календарь 2023 год
(40-часов.неделя)</t>
        </is>
      </c>
      <c r="G8" s="322" t="n"/>
    </row>
    <row r="9" ht="15.75" customHeight="1" s="311">
      <c r="A9" s="315" t="inlineStr">
        <is>
          <t>1.3</t>
        </is>
      </c>
      <c r="B9" s="32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19" t="n">
        <v>1</v>
      </c>
      <c r="F9" s="320" t="n"/>
      <c r="G9" s="322" t="n"/>
    </row>
    <row r="10" ht="15.75" customHeight="1" s="311">
      <c r="A10" s="315" t="inlineStr">
        <is>
          <t>1.4</t>
        </is>
      </c>
      <c r="B10" s="320" t="inlineStr">
        <is>
          <t>Средний разряд работ</t>
        </is>
      </c>
      <c r="C10" s="359" t="n"/>
      <c r="D10" s="359" t="n"/>
      <c r="E10" s="454" t="n">
        <v>4.9</v>
      </c>
      <c r="F10" s="320" t="inlineStr">
        <is>
          <t>РТМ</t>
        </is>
      </c>
      <c r="G10" s="322" t="n"/>
    </row>
    <row r="11" ht="78.75" customHeight="1" s="311">
      <c r="A11" s="315" t="inlineStr">
        <is>
          <t>1.5</t>
        </is>
      </c>
      <c r="B11" s="32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5" t="n">
        <v>1.522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315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6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1">
      <c r="A13" s="328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1">
        <f>((E7*E9/E8)*E11)*E12</f>
        <v/>
      </c>
      <c r="F13" s="3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2025-01-24T11:52:50Z</dcterms:modified>
  <cp:lastModifiedBy>Виктор Плотников</cp:lastModifiedBy>
</cp:coreProperties>
</file>