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Plan">#REF!</definedName>
    <definedName name="l">#REF!</definedName>
    <definedName name="language">#REF!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5">{"","однаz","двеz","триz","четыреz","пятьz","шестьz","семьz","восемьz","девятьz"}</definedName>
    <definedName name="n0">"000000000000,00"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ПФ_АУП">#REF!</definedName>
    <definedName name="НПФ_ПЭЭ">#REF!</definedName>
    <definedName name="НПФ_ТП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нование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табл'!$A$1:$E$32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стоим'!$A$1:$J$31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'Прил.3'!$A$1:$H$86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0.0"/>
    <numFmt numFmtId="169" formatCode="#,##0.0"/>
    <numFmt numFmtId="170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9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 wrapText="1"/>
    </xf>
    <xf numFmtId="2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/>
    </xf>
    <xf numFmtId="10" fontId="1" fillId="0" borderId="4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10" fontId="20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5" applyAlignment="1" pivotButton="0" quotePrefix="0" xfId="0">
      <alignment horizontal="center" vertical="top" wrapText="1"/>
    </xf>
    <xf numFmtId="0" fontId="1" fillId="4" borderId="1" applyAlignment="1" pivotButton="0" quotePrefix="0" xfId="0">
      <alignment vertical="top" wrapText="1"/>
    </xf>
    <xf numFmtId="4" fontId="1" fillId="0" borderId="1" applyAlignment="1" pivotButton="0" quotePrefix="0" xfId="0">
      <alignment vertical="center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14" fontId="1" fillId="0" borderId="1" applyAlignment="1" pivotButton="0" quotePrefix="0" xfId="0">
      <alignment vertical="top"/>
    </xf>
    <xf numFmtId="49" fontId="1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0" applyAlignment="1" pivotButton="0" quotePrefix="0" xfId="0">
      <alignment horizontal="center"/>
    </xf>
    <xf numFmtId="0" fontId="1" fillId="4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16" fillId="0" borderId="0" applyAlignment="1" pivotButton="0" quotePrefix="0" xfId="0">
      <alignment wrapText="1"/>
    </xf>
    <xf numFmtId="0" fontId="16" fillId="0" borderId="1" pivotButton="0" quotePrefix="0" xfId="0"/>
    <xf numFmtId="0" fontId="1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4" fontId="2" fillId="0" borderId="2" applyAlignment="1" pivotButton="0" quotePrefix="0" xfId="0">
      <alignment vertical="top"/>
    </xf>
    <xf numFmtId="4" fontId="1" fillId="0" borderId="2" applyAlignment="1" pivotButton="0" quotePrefix="0" xfId="0">
      <alignment vertical="top"/>
    </xf>
    <xf numFmtId="168" fontId="16" fillId="0" borderId="0" pivotButton="0" quotePrefix="0" xfId="0"/>
    <xf numFmtId="10" fontId="19" fillId="0" borderId="0" pivotButton="0" quotePrefix="0" xfId="0"/>
    <xf numFmtId="10" fontId="1" fillId="0" borderId="2" applyAlignment="1" pivotButton="0" quotePrefix="0" xfId="0">
      <alignment vertical="center"/>
    </xf>
    <xf numFmtId="0" fontId="1" fillId="0" borderId="2" applyAlignment="1" pivotButton="0" quotePrefix="0" xfId="0">
      <alignment vertical="center" wrapText="1"/>
    </xf>
    <xf numFmtId="4" fontId="1" fillId="0" borderId="0" applyAlignment="1" pivotButton="0" quotePrefix="0" xfId="0">
      <alignment horizontal="right" vertical="center"/>
    </xf>
    <xf numFmtId="0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 wrapText="1"/>
    </xf>
    <xf numFmtId="169" fontId="16" fillId="0" borderId="0" pivotButton="0" quotePrefix="0" xfId="0"/>
    <xf numFmtId="4" fontId="1" fillId="4" borderId="1" applyAlignment="1" pivotButton="0" quotePrefix="0" xfId="0">
      <alignment horizontal="right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4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21" fillId="4" borderId="5" applyAlignment="1" pivotButton="0" quotePrefix="0" xfId="0">
      <alignment horizontal="center" vertical="center" wrapText="1"/>
    </xf>
    <xf numFmtId="0" fontId="21" fillId="4" borderId="4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4" borderId="1" applyAlignment="1" pivotButton="0" quotePrefix="0" xfId="0">
      <alignment horizontal="center" vertical="center" wrapText="1"/>
    </xf>
    <xf numFmtId="169" fontId="16" fillId="0" borderId="0" pivotButton="0" quotePrefix="0" xfId="0"/>
    <xf numFmtId="168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B24" zoomScale="160" zoomScaleNormal="55" zoomScaleSheetLayoutView="160" workbookViewId="0">
      <selection activeCell="D26" sqref="D26"/>
    </sheetView>
  </sheetViews>
  <sheetFormatPr baseColWidth="8" defaultColWidth="9.140625" defaultRowHeight="15.75"/>
  <cols>
    <col width="9.140625" customWidth="1" style="224" min="1" max="2"/>
    <col width="36.85546875" customWidth="1" style="224" min="3" max="3"/>
    <col width="36.5703125" customWidth="1" style="224" min="4" max="4"/>
    <col width="46.7109375" customWidth="1" style="224" min="5" max="5"/>
    <col width="10.140625" customWidth="1" style="224" min="6" max="6"/>
    <col width="9.140625" customWidth="1" style="224" min="7" max="7"/>
    <col width="23.5703125" customWidth="1" style="224" min="8" max="8"/>
    <col width="9.140625" customWidth="1" style="224" min="9" max="9"/>
  </cols>
  <sheetData>
    <row r="3">
      <c r="B3" s="252" t="inlineStr">
        <is>
          <t>Приложение № 1</t>
        </is>
      </c>
    </row>
    <row r="4">
      <c r="B4" s="253" t="inlineStr">
        <is>
          <t>Сравнительная таблица отбора объекта-представителя</t>
        </is>
      </c>
    </row>
    <row r="5">
      <c r="B5" s="143" t="n"/>
      <c r="C5" s="143" t="n"/>
      <c r="D5" s="143" t="n"/>
      <c r="E5" s="143" t="n"/>
    </row>
    <row r="6">
      <c r="B6" s="143" t="n"/>
      <c r="C6" s="143" t="n"/>
      <c r="D6" s="143" t="n"/>
      <c r="E6" s="143" t="n"/>
    </row>
    <row r="7" ht="39.6" customHeight="1" s="222">
      <c r="B7" s="254" t="inlineStr">
        <is>
          <t>Наименование разрабатываемого показателя УНЦ — Опора под ВЧ-КС/ ВЧ-заградитель</t>
        </is>
      </c>
      <c r="F7" s="142" t="n"/>
    </row>
    <row r="8" ht="31.5" customHeight="1" s="222">
      <c r="B8" s="254" t="inlineStr">
        <is>
          <t>Сопоставимый уровень цен:  3 кв 2017г.</t>
        </is>
      </c>
    </row>
    <row r="9">
      <c r="B9" s="254" t="inlineStr">
        <is>
          <t>Единица измерения  — 1 ед</t>
        </is>
      </c>
      <c r="F9" s="142" t="n"/>
    </row>
    <row r="10">
      <c r="B10" s="254" t="n"/>
    </row>
    <row r="11">
      <c r="B11" s="257" t="inlineStr">
        <is>
          <t>№ п/п</t>
        </is>
      </c>
      <c r="C11" s="257" t="inlineStr">
        <is>
          <t>Параметр</t>
        </is>
      </c>
      <c r="D11" s="234" t="inlineStr">
        <is>
          <t>Объект-представитель 1</t>
        </is>
      </c>
      <c r="E11" s="234" t="inlineStr">
        <is>
          <t>Объект-представитель 2</t>
        </is>
      </c>
      <c r="F11" s="142" t="n"/>
    </row>
    <row r="12" ht="291" customHeight="1" s="222">
      <c r="B12" s="257" t="n">
        <v>1</v>
      </c>
      <c r="C12" s="234" t="inlineStr">
        <is>
          <t>Наименование объекта-представителя</t>
        </is>
      </c>
      <c r="D12" s="219" t="inlineStr">
        <is>
          <t>Строительство ПС 220 кВ Восточная промзона трансформаторной мощностью 560 МВА (2х200 МВА и 2х80 МВА), строительство заходов ВЛ 220 кВ Витаминкомбинат - Краснодарская ТЭЦ № 1 и 2 на ПС 220 кВ Восточная промзона ориентировочной протяженностью 16 км.</t>
        </is>
      </c>
      <c r="E12" s="219" t="inlineStr">
        <is>
          <t>Строительство ПС 35/110 кв Джангар с двумя трансформаторами мощностью не менее 62,9 МВА каждый</t>
        </is>
      </c>
    </row>
    <row r="13" ht="31.5" customHeight="1" s="222">
      <c r="B13" s="257" t="n">
        <v>2</v>
      </c>
      <c r="C13" s="234" t="inlineStr">
        <is>
          <t>Наименование субъекта Российской Федерации</t>
        </is>
      </c>
      <c r="D13" s="219" t="inlineStr">
        <is>
          <t>Краснодарский край</t>
        </is>
      </c>
      <c r="E13" s="219" t="inlineStr">
        <is>
          <t>Респубилка Калмыкия</t>
        </is>
      </c>
    </row>
    <row r="14">
      <c r="B14" s="257" t="n">
        <v>3</v>
      </c>
      <c r="C14" s="234" t="inlineStr">
        <is>
          <t>Климатический район и подрайон</t>
        </is>
      </c>
      <c r="D14" s="219" t="inlineStr">
        <is>
          <t>IIIБ</t>
        </is>
      </c>
      <c r="E14" s="219" t="inlineStr">
        <is>
          <t>IVГ</t>
        </is>
      </c>
    </row>
    <row r="15">
      <c r="B15" s="257" t="n">
        <v>4</v>
      </c>
      <c r="C15" s="234" t="inlineStr">
        <is>
          <t>Мощность объекта</t>
        </is>
      </c>
      <c r="D15" s="219" t="n">
        <v>10</v>
      </c>
      <c r="E15" s="219" t="n">
        <v>2</v>
      </c>
    </row>
    <row r="16" ht="102" customHeight="1" s="222">
      <c r="B16" s="257" t="n">
        <v>5</v>
      </c>
      <c r="C16" s="1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9" t="inlineStr">
        <is>
          <t>Фундамент Фм-1 - 10 шт
Опора ОТ220-1 - 10 шт</t>
        </is>
      </c>
      <c r="E16" s="219" t="inlineStr">
        <is>
          <t>Фундамент Фм-1 - 2 шт
Металлические конструкции - 0,24 т</t>
        </is>
      </c>
    </row>
    <row r="17" ht="78.75" customHeight="1" s="222">
      <c r="B17" s="257" t="n">
        <v>6</v>
      </c>
      <c r="C17" s="1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6">
        <f>SUM(D18:D21)</f>
        <v/>
      </c>
      <c r="E17" s="156">
        <f>SUM(E18:E21)</f>
        <v/>
      </c>
      <c r="F17" s="138" t="n"/>
    </row>
    <row r="18">
      <c r="B18" s="141" t="inlineStr">
        <is>
          <t>6.1</t>
        </is>
      </c>
      <c r="C18" s="234" t="inlineStr">
        <is>
          <t>строительно-монтажные работы</t>
        </is>
      </c>
      <c r="D18" s="156" t="n">
        <v>64.97</v>
      </c>
      <c r="E18" s="156" t="n">
        <v>72.47</v>
      </c>
    </row>
    <row r="19" ht="15.75" customHeight="1" s="222">
      <c r="B19" s="141" t="inlineStr">
        <is>
          <t>6.2</t>
        </is>
      </c>
      <c r="C19" s="234" t="inlineStr">
        <is>
          <t>оборудование и инвентарь</t>
        </is>
      </c>
      <c r="D19" s="156" t="n">
        <v>0</v>
      </c>
      <c r="E19" s="156" t="n">
        <v>0</v>
      </c>
    </row>
    <row r="20" ht="16.5" customHeight="1" s="222">
      <c r="B20" s="141" t="inlineStr">
        <is>
          <t>6.3</t>
        </is>
      </c>
      <c r="C20" s="234" t="inlineStr">
        <is>
          <t>пусконаладочные работы</t>
        </is>
      </c>
      <c r="D20" s="156" t="n">
        <v>0</v>
      </c>
      <c r="E20" s="156" t="n">
        <v>0</v>
      </c>
    </row>
    <row r="21" ht="35.25" customHeight="1" s="222">
      <c r="B21" s="141" t="inlineStr">
        <is>
          <t>6.4</t>
        </is>
      </c>
      <c r="C21" s="140" t="inlineStr">
        <is>
          <t>прочие и лимитированные затраты</t>
        </is>
      </c>
      <c r="D21" s="156">
        <f>D18*3.9%+(D18+D18*3.9%)*0.6%</f>
        <v/>
      </c>
      <c r="E21" s="156" t="n">
        <v>0</v>
      </c>
    </row>
    <row r="22">
      <c r="B22" s="257" t="n">
        <v>7</v>
      </c>
      <c r="C22" s="140" t="inlineStr">
        <is>
          <t>Сопоставимый уровень цен</t>
        </is>
      </c>
      <c r="D22" s="257" t="inlineStr">
        <is>
          <t>2кв.2020г.</t>
        </is>
      </c>
      <c r="E22" s="257" t="inlineStr">
        <is>
          <t>2 кв.2020г.</t>
        </is>
      </c>
      <c r="F22" s="138" t="n"/>
    </row>
    <row r="23" ht="123" customHeight="1" s="222">
      <c r="B23" s="257" t="n">
        <v>8</v>
      </c>
      <c r="C23" s="13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6">
        <f>64.97*7.93</f>
        <v/>
      </c>
      <c r="E23" s="156">
        <f>72.47/7.11*7.93</f>
        <v/>
      </c>
      <c r="H23" s="204" t="n"/>
    </row>
    <row r="24" ht="60.75" customHeight="1" s="222">
      <c r="B24" s="257" t="n">
        <v>9</v>
      </c>
      <c r="C24" s="112" t="inlineStr">
        <is>
          <t>Приведенная сметная стоимость на единицу мощности, тыс. руб. (строка 8/строку 4)</t>
        </is>
      </c>
      <c r="D24" s="156">
        <f>D23/D15</f>
        <v/>
      </c>
      <c r="E24" s="156">
        <f>E23/E15</f>
        <v/>
      </c>
      <c r="F24" s="138" t="n"/>
    </row>
    <row r="25" ht="126" customHeight="1" s="222">
      <c r="B25" s="257" t="n">
        <v>10</v>
      </c>
      <c r="C25" s="234" t="inlineStr">
        <is>
          <t>Примечание</t>
        </is>
      </c>
      <c r="D25" s="234" t="n"/>
      <c r="E25" s="234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ед</t>
        </is>
      </c>
    </row>
    <row r="26">
      <c r="B26" s="136" t="n"/>
      <c r="C26" s="135" t="n"/>
      <c r="D26" s="135" t="n"/>
      <c r="E26" s="135" t="n"/>
    </row>
    <row r="27" ht="37.5" customHeight="1" s="222">
      <c r="B27" s="134" t="n"/>
    </row>
    <row r="28">
      <c r="B28" s="224" t="inlineStr">
        <is>
          <t>Составил ______________________        А.Р. Маркова</t>
        </is>
      </c>
    </row>
    <row r="29">
      <c r="B29" s="134" t="inlineStr">
        <is>
          <t xml:space="preserve">                         (подпись, инициалы, фамилия)</t>
        </is>
      </c>
    </row>
    <row r="31">
      <c r="B31" s="224" t="inlineStr">
        <is>
          <t>Проверил ______________________        А.В. Костянецкая</t>
        </is>
      </c>
    </row>
    <row r="32">
      <c r="B32" s="134" t="inlineStr">
        <is>
          <t xml:space="preserve">                        (подпись, инициалы, фамилия)</t>
        </is>
      </c>
    </row>
  </sheetData>
  <mergeCells count="5">
    <mergeCell ref="B9:E9"/>
    <mergeCell ref="B8:E8"/>
    <mergeCell ref="B4:E4"/>
    <mergeCell ref="B7:E7"/>
    <mergeCell ref="B3:E3"/>
  </mergeCells>
  <pageMargins left="0.7" right="0.7" top="0.75" bottom="0.75" header="0.3" footer="0.3"/>
  <pageSetup orientation="portrait" paperSize="9" scale="59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55"/>
  <sheetViews>
    <sheetView view="pageBreakPreview" topLeftCell="A19" zoomScale="70" zoomScaleNormal="70" workbookViewId="0">
      <selection activeCell="E28" sqref="E27:E28"/>
    </sheetView>
  </sheetViews>
  <sheetFormatPr baseColWidth="8" defaultColWidth="9.140625" defaultRowHeight="15.75"/>
  <cols>
    <col width="5.5703125" customWidth="1" style="224" min="1" max="1"/>
    <col width="9.140625" customWidth="1" style="224" min="2" max="2"/>
    <col width="35.28515625" customWidth="1" style="224" min="3" max="3"/>
    <col width="13.85546875" customWidth="1" style="224" min="4" max="4"/>
    <col width="24.85546875" customWidth="1" style="224" min="5" max="5"/>
    <col width="15.5703125" customWidth="1" style="224" min="6" max="6"/>
    <col width="14.85546875" customWidth="1" style="224" min="7" max="7"/>
    <col width="16.7109375" customWidth="1" style="224" min="8" max="8"/>
    <col width="13" customWidth="1" style="224" min="9" max="10"/>
    <col width="18" customWidth="1" style="224" min="11" max="11"/>
    <col width="9.140625" customWidth="1" style="224" min="12" max="12"/>
    <col width="16.140625" customWidth="1" style="224" min="13" max="13"/>
    <col width="9.140625" customWidth="1" style="224" min="14" max="14"/>
  </cols>
  <sheetData>
    <row r="3">
      <c r="B3" s="252" t="inlineStr">
        <is>
          <t>Приложение № 2</t>
        </is>
      </c>
      <c r="K3" s="134" t="n"/>
    </row>
    <row r="4">
      <c r="B4" s="253" t="inlineStr">
        <is>
          <t>Расчет стоимости основных видов работ для выбора объекта-представителя</t>
        </is>
      </c>
    </row>
    <row r="5"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  <c r="K5" s="143" t="n"/>
    </row>
    <row r="6" ht="34.15" customHeight="1" s="222">
      <c r="B6" s="256" t="inlineStr">
        <is>
          <t>Наименование разрабатываемого показателя УНЦ — Опора под ВЧ-КС/ ВЧ-заградитель</t>
        </is>
      </c>
      <c r="K6" s="134" t="n"/>
      <c r="L6" s="142" t="n"/>
    </row>
    <row r="7">
      <c r="B7" s="254" t="inlineStr">
        <is>
          <t>Единица измерения  —  1 ед</t>
        </is>
      </c>
      <c r="L7" s="142" t="n"/>
    </row>
    <row r="8">
      <c r="B8" s="254" t="n"/>
    </row>
    <row r="9" ht="15.75" customHeight="1" s="222">
      <c r="B9" s="257" t="inlineStr">
        <is>
          <t>№ п/п</t>
        </is>
      </c>
      <c r="C9" s="2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7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</row>
    <row r="10" ht="15.75" customHeight="1" s="222">
      <c r="B10" s="342" t="n"/>
      <c r="C10" s="342" t="n"/>
      <c r="D10" s="257" t="inlineStr">
        <is>
          <t>Номер сметы</t>
        </is>
      </c>
      <c r="E10" s="257" t="inlineStr">
        <is>
          <t>Наименование сметы</t>
        </is>
      </c>
      <c r="F10" s="257" t="inlineStr">
        <is>
          <t>Сметная стоимость в уровне цен 01.01.2000г., тыс. руб.</t>
        </is>
      </c>
      <c r="G10" s="340" t="n"/>
      <c r="H10" s="340" t="n"/>
      <c r="I10" s="340" t="n"/>
      <c r="J10" s="341" t="n"/>
    </row>
    <row r="11" ht="31.5" customHeight="1" s="222">
      <c r="B11" s="343" t="n"/>
      <c r="C11" s="343" t="n"/>
      <c r="D11" s="343" t="n"/>
      <c r="E11" s="343" t="n"/>
      <c r="F11" s="257" t="inlineStr">
        <is>
          <t>Строительные работы</t>
        </is>
      </c>
      <c r="G11" s="257" t="inlineStr">
        <is>
          <t>Монтажные работы</t>
        </is>
      </c>
      <c r="H11" s="257" t="inlineStr">
        <is>
          <t>Оборудование</t>
        </is>
      </c>
      <c r="I11" s="257" t="inlineStr">
        <is>
          <t>Прочее</t>
        </is>
      </c>
      <c r="J11" s="257" t="inlineStr">
        <is>
          <t>Всего</t>
        </is>
      </c>
    </row>
    <row r="12" ht="150.75" customHeight="1" s="222">
      <c r="B12" s="260" t="n">
        <v>1</v>
      </c>
      <c r="C12" s="239" t="inlineStr">
        <is>
          <t>Фундамент Фм-1 - 10 шт
Опора ОТ220-1 - 10 шт</t>
        </is>
      </c>
      <c r="D12" s="170" t="inlineStr">
        <is>
          <t xml:space="preserve">02-02-01
</t>
        </is>
      </c>
      <c r="E12" s="265" t="inlineStr">
        <is>
          <t>Строительные работы. Опоры под электротехническое оборудование.ОРУ-220кВ. 2 этап ОРУ-220кВ. 2 этап</t>
        </is>
      </c>
      <c r="F12" s="150">
        <f>64971/1000</f>
        <v/>
      </c>
      <c r="G12" s="150" t="n"/>
      <c r="H12" s="150" t="n"/>
      <c r="I12" s="146" t="n"/>
      <c r="J12" s="152">
        <f>SUM(F12:I12)</f>
        <v/>
      </c>
      <c r="K12" s="204" t="n"/>
      <c r="L12" s="204" t="n"/>
      <c r="M12" s="204" t="n"/>
    </row>
    <row r="13" ht="15.75" customHeight="1" s="222">
      <c r="B13" s="255" t="inlineStr">
        <is>
          <t>Всего по объекту:</t>
        </is>
      </c>
      <c r="C13" s="340" t="n"/>
      <c r="D13" s="340" t="n"/>
      <c r="E13" s="341" t="n"/>
      <c r="F13" s="151">
        <f>SUM(F12:F12)</f>
        <v/>
      </c>
      <c r="G13" s="151" t="n"/>
      <c r="H13" s="151" t="n"/>
      <c r="I13" s="151" t="n"/>
      <c r="J13" s="153">
        <f>SUM(F13:I13)</f>
        <v/>
      </c>
    </row>
    <row r="14" ht="28.5" customHeight="1" s="222">
      <c r="B14" s="255" t="inlineStr">
        <is>
          <t>Всего по объекту в сопоставимом уровне цен 01.01.2000 г:</t>
        </is>
      </c>
      <c r="C14" s="340" t="n"/>
      <c r="D14" s="340" t="n"/>
      <c r="E14" s="341" t="n"/>
      <c r="F14" s="151">
        <f>F13</f>
        <v/>
      </c>
      <c r="G14" s="151" t="n"/>
      <c r="H14" s="151" t="n"/>
      <c r="I14" s="145" t="n"/>
      <c r="J14" s="153">
        <f>SUM(F14:I14)</f>
        <v/>
      </c>
    </row>
    <row r="15">
      <c r="B15" s="254" t="n"/>
    </row>
    <row r="17">
      <c r="B17" s="257" t="inlineStr">
        <is>
          <t>№ п/п</t>
        </is>
      </c>
      <c r="C17" s="2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7" s="257" t="inlineStr">
        <is>
          <t>Объект-представитель 2</t>
        </is>
      </c>
      <c r="E17" s="340" t="n"/>
      <c r="F17" s="340" t="n"/>
      <c r="G17" s="340" t="n"/>
      <c r="H17" s="340" t="n"/>
      <c r="I17" s="340" t="n"/>
      <c r="J17" s="341" t="n"/>
    </row>
    <row r="18" ht="15.75" customHeight="1" s="222">
      <c r="B18" s="342" t="n"/>
      <c r="C18" s="342" t="n"/>
      <c r="D18" s="257" t="inlineStr">
        <is>
          <t>Номер сметы</t>
        </is>
      </c>
      <c r="E18" s="257" t="inlineStr">
        <is>
          <t>Наименование сметы</t>
        </is>
      </c>
      <c r="F18" s="257" t="inlineStr">
        <is>
          <t>Сметная стоимость в уровне цен 2 кв. 2020 г., тыс. руб.</t>
        </is>
      </c>
      <c r="G18" s="340" t="n"/>
      <c r="H18" s="340" t="n"/>
      <c r="I18" s="340" t="n"/>
      <c r="J18" s="341" t="n"/>
    </row>
    <row r="19" ht="31.5" customHeight="1" s="222">
      <c r="B19" s="343" t="n"/>
      <c r="C19" s="343" t="n"/>
      <c r="D19" s="343" t="n"/>
      <c r="E19" s="343" t="n"/>
      <c r="F19" s="257" t="inlineStr">
        <is>
          <t>Строительные работы</t>
        </is>
      </c>
      <c r="G19" s="257" t="inlineStr">
        <is>
          <t>Монтажные работы</t>
        </is>
      </c>
      <c r="H19" s="257" t="inlineStr">
        <is>
          <t>Оборудование</t>
        </is>
      </c>
      <c r="I19" s="257" t="inlineStr">
        <is>
          <t>Прочее</t>
        </is>
      </c>
      <c r="J19" s="257" t="inlineStr">
        <is>
          <t>Всего</t>
        </is>
      </c>
    </row>
    <row r="20" ht="163.15" customHeight="1" s="222">
      <c r="B20" s="225" t="n">
        <v>1</v>
      </c>
      <c r="C20" s="344" t="inlineStr">
        <is>
          <t>Шкаф ОПС АСУ ТП - 1 комплект</t>
        </is>
      </c>
      <c r="D20" s="154" t="inlineStr">
        <is>
          <t>02-01</t>
        </is>
      </c>
      <c r="E20" s="234" t="inlineStr">
        <is>
          <t>Фундаменты. Конструктивно-строительные решения,</t>
        </is>
      </c>
      <c r="F20" s="150">
        <f>9601/1000*7.11</f>
        <v/>
      </c>
      <c r="G20" s="150" t="n"/>
      <c r="H20" s="150" t="n"/>
      <c r="I20" s="146" t="n"/>
      <c r="J20" s="152">
        <f>SUM(F20:I20)</f>
        <v/>
      </c>
      <c r="K20" s="204" t="n"/>
    </row>
    <row r="21" ht="163.15" customHeight="1" s="222">
      <c r="B21" s="343" t="n"/>
      <c r="C21" s="343" t="n"/>
      <c r="D21" s="154" t="inlineStr">
        <is>
          <t>02-03</t>
        </is>
      </c>
      <c r="E21" s="234" t="inlineStr">
        <is>
          <t>Приобретение и монтаж электросилового оборудования</t>
        </is>
      </c>
      <c r="F21" s="150">
        <f>591/1000*7.11</f>
        <v/>
      </c>
      <c r="G21" s="150" t="n"/>
      <c r="H21" s="150" t="n"/>
      <c r="I21" s="146" t="n"/>
      <c r="J21" s="152">
        <f>SUM(F21:I21)</f>
        <v/>
      </c>
    </row>
    <row r="22">
      <c r="B22" s="255" t="inlineStr">
        <is>
          <t>Всего по объекту:</t>
        </is>
      </c>
      <c r="C22" s="340" t="n"/>
      <c r="D22" s="340" t="n"/>
      <c r="E22" s="341" t="n"/>
      <c r="F22" s="151">
        <f>SUM(F20:F21)</f>
        <v/>
      </c>
      <c r="G22" s="151" t="n"/>
      <c r="H22" s="151" t="n"/>
      <c r="I22" s="145" t="n"/>
      <c r="J22" s="153">
        <f>SUM(F22:I22)</f>
        <v/>
      </c>
    </row>
    <row r="23" ht="28.5" customHeight="1" s="222">
      <c r="B23" s="255" t="inlineStr">
        <is>
          <t>Всего по объекту в сопоставимом уровне цен 2 кв. 2020 г:</t>
        </is>
      </c>
      <c r="C23" s="340" t="n"/>
      <c r="D23" s="340" t="n"/>
      <c r="E23" s="341" t="n"/>
      <c r="F23" s="151">
        <f>F22</f>
        <v/>
      </c>
      <c r="G23" s="151" t="n"/>
      <c r="H23" s="151" t="n"/>
      <c r="I23" s="145" t="n"/>
      <c r="J23" s="153">
        <f>SUM(F23:I23)</f>
        <v/>
      </c>
    </row>
    <row r="25">
      <c r="B25" s="284" t="inlineStr">
        <is>
          <t>*</t>
        </is>
      </c>
      <c r="C25" s="224" t="inlineStr">
        <is>
          <t xml:space="preserve"> - стоимость с учетом исключения затрат на корректровку по транспортировке  свыше 30 км.</t>
        </is>
      </c>
    </row>
    <row r="27">
      <c r="B27" s="224" t="inlineStr">
        <is>
          <t>Составил ______________________        А.Р. Маркова</t>
        </is>
      </c>
    </row>
    <row r="28">
      <c r="B28" s="134" t="inlineStr">
        <is>
          <t xml:space="preserve">                         (подпись, инициалы, фамилия)</t>
        </is>
      </c>
    </row>
    <row r="30">
      <c r="B30" s="224" t="inlineStr">
        <is>
          <t>Проверил ______________________        А.В. Костянецкая</t>
        </is>
      </c>
    </row>
    <row r="31">
      <c r="B31" s="134" t="inlineStr">
        <is>
          <t xml:space="preserve">                        (подпись, инициалы, фамилия)</t>
        </is>
      </c>
    </row>
    <row r="50">
      <c r="B50" s="257" t="inlineStr">
        <is>
          <t>№ п/п</t>
        </is>
      </c>
      <c r="C50" s="2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50" s="257" t="inlineStr">
        <is>
          <t>Объект-представитель 2</t>
        </is>
      </c>
      <c r="E50" s="340" t="n"/>
      <c r="F50" s="340" t="n"/>
      <c r="G50" s="340" t="n"/>
      <c r="H50" s="340" t="n"/>
      <c r="I50" s="340" t="n"/>
      <c r="J50" s="341" t="n"/>
    </row>
    <row r="51">
      <c r="B51" s="342" t="n"/>
      <c r="C51" s="342" t="n"/>
      <c r="D51" s="257" t="inlineStr">
        <is>
          <t>Номер сметы</t>
        </is>
      </c>
      <c r="E51" s="257" t="inlineStr">
        <is>
          <t>Наименование сметы</t>
        </is>
      </c>
      <c r="F51" s="257" t="inlineStr">
        <is>
          <t>Сметная стоимость в уровне цен 4 кв. 2020 г., тыс. руб.</t>
        </is>
      </c>
      <c r="G51" s="340" t="n"/>
      <c r="H51" s="340" t="n"/>
      <c r="I51" s="340" t="n"/>
      <c r="J51" s="341" t="n"/>
    </row>
    <row r="52" ht="31.5" customHeight="1" s="222">
      <c r="B52" s="343" t="n"/>
      <c r="C52" s="343" t="n"/>
      <c r="D52" s="343" t="n"/>
      <c r="E52" s="343" t="n"/>
      <c r="F52" s="257" t="inlineStr">
        <is>
          <t>Строительные работы</t>
        </is>
      </c>
      <c r="G52" s="257" t="inlineStr">
        <is>
          <t>Монтажные работы</t>
        </is>
      </c>
      <c r="H52" s="257" t="inlineStr">
        <is>
          <t>Оборудование</t>
        </is>
      </c>
      <c r="I52" s="257" t="inlineStr">
        <is>
          <t>Прочее</t>
        </is>
      </c>
      <c r="J52" s="257" t="inlineStr">
        <is>
          <t>Всего</t>
        </is>
      </c>
    </row>
    <row r="53" ht="244.5" customHeight="1" s="222">
      <c r="B53" s="155" t="n">
        <v>1</v>
      </c>
      <c r="C53" s="157" t="inlineStr">
        <is>
          <t>П220н-4.2т - 10 шт;
П220н-4.2т+6 - 1 шт;
П220н-4.2т-7.5 - 1 шт;
П220н-4.1 - 129 шт;
П220н-4.1-7.5 - 7 шт;
П220н-4.1+6 - 1 шт;
У220н-2.2 - 5 шт;
У220н-2.2+5 - 9 шт;
У220н-2.2+9 - 8 шт;
У220н-2.2+14 - 14 шт;
У220н-2.2т+5 - 4 шт;
У220н-2.2т+9 - 4 шт;
У220н-2.2т+14 - 7 шт.
Общая масса 2370, 56т</t>
        </is>
      </c>
      <c r="D53" s="154" t="inlineStr">
        <is>
          <t>02-01-02</t>
        </is>
      </c>
      <c r="E53" s="234" t="inlineStr">
        <is>
          <t>Конструктивно-строительные решения</t>
        </is>
      </c>
      <c r="F53" s="150">
        <f>14802540.18/1000*8.46</f>
        <v/>
      </c>
      <c r="G53" s="146" t="n"/>
      <c r="H53" s="146" t="n"/>
      <c r="I53" s="146" t="n"/>
      <c r="J53" s="152">
        <f>SUM(F53:I53)</f>
        <v/>
      </c>
    </row>
    <row r="54">
      <c r="B54" s="255" t="inlineStr">
        <is>
          <t>Всего по объекту:</t>
        </is>
      </c>
      <c r="C54" s="340" t="n"/>
      <c r="D54" s="340" t="n"/>
      <c r="E54" s="341" t="n"/>
      <c r="F54" s="151">
        <f>SUM(F53:F53)</f>
        <v/>
      </c>
      <c r="G54" s="145" t="n"/>
      <c r="H54" s="145" t="n"/>
      <c r="I54" s="145" t="n"/>
      <c r="J54" s="153">
        <f>SUM(F54:I54)</f>
        <v/>
      </c>
    </row>
    <row r="55" ht="28.5" customHeight="1" s="222">
      <c r="B55" s="255" t="inlineStr">
        <is>
          <t>Всего по объекту в сопоставимом уровне цен 4 кв. 2020 г:</t>
        </is>
      </c>
      <c r="C55" s="340" t="n"/>
      <c r="D55" s="340" t="n"/>
      <c r="E55" s="341" t="n"/>
      <c r="F55" s="151">
        <f>F54</f>
        <v/>
      </c>
      <c r="G55" s="145" t="n"/>
      <c r="H55" s="145" t="n"/>
      <c r="I55" s="145" t="n"/>
      <c r="J55" s="153">
        <f>SUM(F55:I55)</f>
        <v/>
      </c>
    </row>
  </sheetData>
  <mergeCells count="30">
    <mergeCell ref="D9:J9"/>
    <mergeCell ref="C20:C21"/>
    <mergeCell ref="E51:E52"/>
    <mergeCell ref="F10:J10"/>
    <mergeCell ref="C17:C19"/>
    <mergeCell ref="B55:E55"/>
    <mergeCell ref="E10:E11"/>
    <mergeCell ref="D50:J50"/>
    <mergeCell ref="B4:K4"/>
    <mergeCell ref="F51:J51"/>
    <mergeCell ref="B54:E54"/>
    <mergeCell ref="F18:J18"/>
    <mergeCell ref="B7:K7"/>
    <mergeCell ref="B50:B52"/>
    <mergeCell ref="B6:J6"/>
    <mergeCell ref="B22:E22"/>
    <mergeCell ref="D18:D19"/>
    <mergeCell ref="B20:B21"/>
    <mergeCell ref="C50:C52"/>
    <mergeCell ref="B14:E14"/>
    <mergeCell ref="B23:E23"/>
    <mergeCell ref="B17:B19"/>
    <mergeCell ref="B3:J3"/>
    <mergeCell ref="D10:D11"/>
    <mergeCell ref="D17:J17"/>
    <mergeCell ref="D51:D52"/>
    <mergeCell ref="E18:E19"/>
    <mergeCell ref="B13:E13"/>
    <mergeCell ref="B9:B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N84"/>
  <sheetViews>
    <sheetView view="pageBreakPreview" topLeftCell="B66" zoomScale="130" zoomScaleSheetLayoutView="130" workbookViewId="0">
      <selection activeCell="D82" sqref="D82"/>
    </sheetView>
  </sheetViews>
  <sheetFormatPr baseColWidth="8" defaultColWidth="9.140625" defaultRowHeight="15.75"/>
  <cols>
    <col width="9.140625" customWidth="1" style="201" min="1" max="1"/>
    <col width="12.5703125" customWidth="1" style="224" min="2" max="2"/>
    <col width="22.42578125" customWidth="1" style="143" min="3" max="3"/>
    <col width="49.7109375" customWidth="1" style="188" min="4" max="4"/>
    <col width="10.140625" customWidth="1" style="189" min="5" max="5"/>
    <col width="20.7109375" customWidth="1" style="188" min="6" max="6"/>
    <col width="16.140625" customWidth="1" style="188" min="7" max="7"/>
    <col width="16.7109375" customWidth="1" style="224" min="8" max="8"/>
    <col width="9.140625" customWidth="1" style="224" min="9" max="9"/>
  </cols>
  <sheetData>
    <row r="1">
      <c r="J1" s="224" t="n"/>
      <c r="K1" s="224" t="n"/>
      <c r="L1" s="224" t="n"/>
      <c r="M1" s="224" t="n"/>
      <c r="N1" s="224" t="n"/>
    </row>
    <row r="2">
      <c r="A2" s="252" t="inlineStr">
        <is>
          <t xml:space="preserve">Приложение № 3 </t>
        </is>
      </c>
      <c r="J2" s="224" t="n"/>
      <c r="K2" s="224" t="n"/>
      <c r="L2" s="224" t="n"/>
      <c r="M2" s="224" t="n"/>
      <c r="N2" s="224" t="n"/>
    </row>
    <row r="3">
      <c r="A3" s="253" t="inlineStr">
        <is>
          <t>Объектная ресурсная ведомость</t>
        </is>
      </c>
      <c r="J3" s="224" t="n"/>
      <c r="K3" s="224" t="n"/>
      <c r="L3" s="224" t="n"/>
      <c r="M3" s="224" t="n"/>
      <c r="N3" s="224" t="n"/>
    </row>
    <row r="4">
      <c r="A4" s="143" t="n"/>
      <c r="J4" s="224" t="n"/>
      <c r="K4" s="224" t="n"/>
      <c r="L4" s="224" t="n"/>
      <c r="M4" s="224" t="n"/>
      <c r="N4" s="224" t="n"/>
    </row>
    <row r="5" ht="30.6" customHeight="1" s="222">
      <c r="A5" s="256" t="inlineStr">
        <is>
          <t>Наименование разрабатываемого показателя УНЦ -Опора под ВЧ-КС/ ВЧ-заградитель</t>
        </is>
      </c>
      <c r="J5" s="224" t="n"/>
      <c r="K5" s="224" t="n"/>
      <c r="L5" s="224" t="n"/>
      <c r="M5" s="224" t="n"/>
      <c r="N5" s="224" t="n"/>
    </row>
    <row r="6" ht="10.5" customHeight="1" s="222">
      <c r="A6" s="256" t="n"/>
      <c r="B6" s="256" t="n"/>
      <c r="C6" s="256" t="n"/>
      <c r="D6" s="256" t="n"/>
      <c r="E6" s="256" t="n"/>
      <c r="F6" s="256" t="n"/>
      <c r="G6" s="256" t="n"/>
      <c r="H6" s="256" t="n"/>
      <c r="I6" s="224" t="n"/>
      <c r="J6" s="224" t="n"/>
      <c r="K6" s="224" t="n"/>
      <c r="L6" s="224" t="n"/>
      <c r="M6" s="224" t="n"/>
      <c r="N6" s="224" t="n"/>
    </row>
    <row r="7" ht="13.5" customHeight="1" s="222">
      <c r="A7" s="256" t="n"/>
      <c r="B7" s="256" t="n"/>
      <c r="C7" s="256" t="n"/>
      <c r="D7" s="256" t="n"/>
      <c r="E7" s="256" t="n"/>
      <c r="F7" s="256" t="n"/>
      <c r="G7" s="256" t="n"/>
      <c r="H7" s="256" t="n"/>
      <c r="I7" s="224" t="n"/>
      <c r="J7" s="224" t="n"/>
      <c r="K7" s="224" t="n"/>
      <c r="L7" s="224" t="n"/>
      <c r="M7" s="224" t="n"/>
      <c r="N7" s="224" t="n"/>
    </row>
    <row r="8">
      <c r="A8" s="143" t="n"/>
      <c r="B8" s="147" t="n"/>
      <c r="D8" s="189" t="n"/>
      <c r="F8" s="189" t="n"/>
      <c r="G8" s="189" t="n"/>
      <c r="H8" s="147" t="n"/>
      <c r="J8" s="224" t="n"/>
      <c r="K8" s="224" t="n"/>
      <c r="L8" s="224" t="n"/>
      <c r="M8" s="224" t="n"/>
      <c r="N8" s="224" t="n"/>
    </row>
    <row r="9" ht="38.25" customHeight="1" s="222">
      <c r="A9" s="257" t="inlineStr">
        <is>
          <t>п/п</t>
        </is>
      </c>
      <c r="B9" s="257" t="inlineStr">
        <is>
          <t>№ЛСР</t>
        </is>
      </c>
      <c r="C9" s="257" t="inlineStr">
        <is>
          <t>Код ресурса</t>
        </is>
      </c>
      <c r="D9" s="257" t="inlineStr">
        <is>
          <t>Наименование ресурса</t>
        </is>
      </c>
      <c r="E9" s="265" t="inlineStr">
        <is>
          <t>Ед. изм.</t>
        </is>
      </c>
      <c r="F9" s="257" t="inlineStr">
        <is>
          <t>Кол-во единиц по данным объекта-представителя</t>
        </is>
      </c>
      <c r="G9" s="257" t="inlineStr">
        <is>
          <t>Сметная стоимость в ценах на 01.01.2000 (руб.)</t>
        </is>
      </c>
      <c r="H9" s="341" t="n"/>
      <c r="J9" s="224" t="n"/>
      <c r="K9" s="224" t="n"/>
      <c r="L9" s="224" t="n"/>
      <c r="M9" s="224" t="n"/>
      <c r="N9" s="224" t="n"/>
    </row>
    <row r="10" ht="40.5" customHeight="1" s="222">
      <c r="A10" s="343" t="n"/>
      <c r="B10" s="343" t="n"/>
      <c r="C10" s="343" t="n"/>
      <c r="D10" s="343" t="n"/>
      <c r="E10" s="343" t="n"/>
      <c r="F10" s="343" t="n"/>
      <c r="G10" s="257" t="inlineStr">
        <is>
          <t>на ед.изм.</t>
        </is>
      </c>
      <c r="H10" s="266" t="inlineStr">
        <is>
          <t>общая</t>
        </is>
      </c>
      <c r="J10" s="224" t="n"/>
      <c r="K10" s="224" t="n"/>
      <c r="L10" s="224" t="n"/>
      <c r="M10" s="224" t="n"/>
      <c r="N10" s="224" t="n"/>
    </row>
    <row r="11">
      <c r="A11" s="239" t="n">
        <v>1</v>
      </c>
      <c r="B11" s="239" t="n"/>
      <c r="C11" s="239" t="n">
        <v>2</v>
      </c>
      <c r="D11" s="190" t="n">
        <v>3</v>
      </c>
      <c r="E11" s="190" t="n">
        <v>4</v>
      </c>
      <c r="F11" s="190" t="n">
        <v>5</v>
      </c>
      <c r="G11" s="190" t="n">
        <v>6</v>
      </c>
      <c r="H11" s="210" t="n">
        <v>7</v>
      </c>
      <c r="J11" s="224" t="n"/>
      <c r="K11" s="224" t="n"/>
      <c r="L11" s="224" t="n"/>
      <c r="M11" s="224" t="n"/>
      <c r="N11" s="224" t="n"/>
    </row>
    <row r="12" customFormat="1" s="148">
      <c r="A12" s="262" t="inlineStr">
        <is>
          <t>Затраты труда рабочих</t>
        </is>
      </c>
      <c r="B12" s="340" t="n"/>
      <c r="C12" s="340" t="n"/>
      <c r="D12" s="340" t="n"/>
      <c r="E12" s="341" t="n"/>
      <c r="F12" s="193" t="n">
        <v>45.465336</v>
      </c>
      <c r="G12" s="193" t="n"/>
      <c r="H12" s="211">
        <f>SUM(H13:H22)</f>
        <v/>
      </c>
    </row>
    <row r="13">
      <c r="A13" s="200" t="n">
        <v>1</v>
      </c>
      <c r="B13" s="195" t="n"/>
      <c r="C13" s="196" t="inlineStr">
        <is>
          <t>1-4-0</t>
        </is>
      </c>
      <c r="D13" s="191" t="inlineStr">
        <is>
          <t>Затраты труда рабочих (ср 4,0)</t>
        </is>
      </c>
      <c r="E13" s="202" t="inlineStr">
        <is>
          <t>чел.-ч</t>
        </is>
      </c>
      <c r="F13" s="202" t="n">
        <v>12.864</v>
      </c>
      <c r="G13" s="191" t="n">
        <v>9.619999999999999</v>
      </c>
      <c r="H13" s="212">
        <f>ROUND(F13*G13,2)</f>
        <v/>
      </c>
      <c r="J13" s="224" t="n"/>
      <c r="K13" s="224" t="n"/>
      <c r="L13" s="224" t="n"/>
      <c r="M13" s="224" t="n"/>
      <c r="N13" s="224" t="n"/>
    </row>
    <row r="14">
      <c r="A14" s="200" t="n">
        <v>2</v>
      </c>
      <c r="B14" s="195" t="n"/>
      <c r="C14" s="196" t="inlineStr">
        <is>
          <t>1-2-9</t>
        </is>
      </c>
      <c r="D14" s="191" t="inlineStr">
        <is>
          <t>Затраты труда рабочих (ср 2,9)</t>
        </is>
      </c>
      <c r="E14" s="202" t="inlineStr">
        <is>
          <t>чел.-ч</t>
        </is>
      </c>
      <c r="F14" s="202" t="n">
        <v>10.854</v>
      </c>
      <c r="G14" s="191" t="n">
        <v>8.460000000000001</v>
      </c>
      <c r="H14" s="212">
        <f>ROUND(F14*G14,2)</f>
        <v/>
      </c>
      <c r="J14" s="224" t="n"/>
      <c r="K14" s="224" t="n"/>
      <c r="L14" s="345" t="n"/>
      <c r="M14" s="224" t="n"/>
      <c r="N14" s="224" t="n"/>
    </row>
    <row r="15">
      <c r="A15" s="200" t="n">
        <v>3</v>
      </c>
      <c r="B15" s="195" t="n"/>
      <c r="C15" s="196" t="inlineStr">
        <is>
          <t>1-3-5</t>
        </is>
      </c>
      <c r="D15" s="191" t="inlineStr">
        <is>
          <t>Затраты труда рабочих (ср 3,5)</t>
        </is>
      </c>
      <c r="E15" s="202" t="inlineStr">
        <is>
          <t>чел.-ч</t>
        </is>
      </c>
      <c r="F15" s="202" t="n">
        <v>6.138</v>
      </c>
      <c r="G15" s="191" t="n">
        <v>9.07</v>
      </c>
      <c r="H15" s="212">
        <f>ROUND(F15*G15,2)</f>
        <v/>
      </c>
      <c r="J15" s="224" t="n"/>
      <c r="K15" s="224" t="n"/>
      <c r="L15" s="224" t="n"/>
      <c r="M15" s="224" t="n"/>
      <c r="N15" s="224" t="n"/>
    </row>
    <row r="16">
      <c r="A16" s="200" t="n">
        <v>4</v>
      </c>
      <c r="B16" s="195" t="n"/>
      <c r="C16" s="196" t="inlineStr">
        <is>
          <t>1-3-9</t>
        </is>
      </c>
      <c r="D16" s="191" t="inlineStr">
        <is>
          <t>Затраты труда рабочих (ср 3,9)</t>
        </is>
      </c>
      <c r="E16" s="202" t="inlineStr">
        <is>
          <t>чел.-ч</t>
        </is>
      </c>
      <c r="F16" s="202" t="n">
        <v>3.11216</v>
      </c>
      <c r="G16" s="191" t="n">
        <v>9.51</v>
      </c>
      <c r="H16" s="212">
        <f>ROUND(F16*G16,2)</f>
        <v/>
      </c>
      <c r="J16" s="224" t="n"/>
      <c r="K16" s="224" t="n"/>
      <c r="L16" s="224" t="n"/>
      <c r="M16" s="224" t="n"/>
      <c r="N16" s="224" t="n"/>
    </row>
    <row r="17">
      <c r="A17" s="200" t="n">
        <v>5</v>
      </c>
      <c r="B17" s="195" t="n"/>
      <c r="C17" s="196" t="inlineStr">
        <is>
          <t>1-2-0</t>
        </is>
      </c>
      <c r="D17" s="191" t="inlineStr">
        <is>
          <t>Затраты труда рабочих (ср 2,0)</t>
        </is>
      </c>
      <c r="E17" s="202" t="inlineStr">
        <is>
          <t>чел.-ч</t>
        </is>
      </c>
      <c r="F17" s="202" t="n">
        <v>3.786</v>
      </c>
      <c r="G17" s="191" t="n">
        <v>7.8</v>
      </c>
      <c r="H17" s="212">
        <f>ROUND(F17*G17,2)</f>
        <v/>
      </c>
      <c r="J17" s="224" t="n"/>
      <c r="K17" s="224" t="n"/>
      <c r="L17" s="224" t="n"/>
      <c r="M17" s="224" t="n"/>
      <c r="N17" s="224" t="n"/>
    </row>
    <row r="18">
      <c r="A18" s="200" t="n">
        <v>6</v>
      </c>
      <c r="B18" s="195" t="n"/>
      <c r="C18" s="196" t="inlineStr">
        <is>
          <t>1-3-0</t>
        </is>
      </c>
      <c r="D18" s="191" t="inlineStr">
        <is>
          <t>Затраты труда рабочих (ср 3,0)</t>
        </is>
      </c>
      <c r="E18" s="202" t="inlineStr">
        <is>
          <t>чел.-ч</t>
        </is>
      </c>
      <c r="F18" s="202" t="n">
        <v>3.247776</v>
      </c>
      <c r="G18" s="191" t="n">
        <v>8.529999999999999</v>
      </c>
      <c r="H18" s="212">
        <f>ROUND(F18*G18,2)</f>
        <v/>
      </c>
      <c r="J18" s="224" t="n"/>
      <c r="K18" s="224" t="n"/>
      <c r="L18" s="224" t="n"/>
      <c r="M18" s="224" t="n"/>
      <c r="N18" s="224" t="n"/>
    </row>
    <row r="19">
      <c r="A19" s="200" t="n">
        <v>7</v>
      </c>
      <c r="B19" s="195" t="n"/>
      <c r="C19" s="196" t="inlineStr">
        <is>
          <t>1-1-5</t>
        </is>
      </c>
      <c r="D19" s="191" t="inlineStr">
        <is>
          <t>Затраты труда рабочих (ср 1,5)</t>
        </is>
      </c>
      <c r="E19" s="202" t="inlineStr">
        <is>
          <t>чел.-ч</t>
        </is>
      </c>
      <c r="F19" s="202" t="n">
        <v>2.79936</v>
      </c>
      <c r="G19" s="191" t="n">
        <v>7.5</v>
      </c>
      <c r="H19" s="212">
        <f>ROUND(F19*G19,2)</f>
        <v/>
      </c>
      <c r="J19" s="224" t="n"/>
      <c r="K19" s="224" t="n"/>
      <c r="L19" s="224" t="n"/>
      <c r="M19" s="224" t="n"/>
      <c r="N19" s="224" t="n"/>
    </row>
    <row r="20">
      <c r="A20" s="200" t="n">
        <v>8</v>
      </c>
      <c r="B20" s="195" t="n"/>
      <c r="C20" s="196" t="inlineStr">
        <is>
          <t>1-2-2</t>
        </is>
      </c>
      <c r="D20" s="191" t="inlineStr">
        <is>
          <t>Затраты труда рабочих (ср 2,2)</t>
        </is>
      </c>
      <c r="E20" s="202" t="inlineStr">
        <is>
          <t>чел.-ч</t>
        </is>
      </c>
      <c r="F20" s="202" t="n">
        <v>2.125</v>
      </c>
      <c r="G20" s="191" t="n">
        <v>7.94</v>
      </c>
      <c r="H20" s="212">
        <f>ROUND(F20*G20,2)</f>
        <v/>
      </c>
      <c r="J20" s="224" t="n"/>
      <c r="K20" s="224" t="n"/>
      <c r="L20" s="224" t="n"/>
      <c r="M20" s="224" t="n"/>
      <c r="N20" s="224" t="n"/>
    </row>
    <row r="21">
      <c r="A21" s="200" t="n">
        <v>9</v>
      </c>
      <c r="B21" s="195" t="n"/>
      <c r="C21" s="196" t="inlineStr">
        <is>
          <t>1-3-4</t>
        </is>
      </c>
      <c r="D21" s="191" t="inlineStr">
        <is>
          <t>Затраты труда рабочих (ср 3,4)</t>
        </is>
      </c>
      <c r="E21" s="202" t="inlineStr">
        <is>
          <t>чел.-ч</t>
        </is>
      </c>
      <c r="F21" s="202" t="n">
        <v>0.5292</v>
      </c>
      <c r="G21" s="191" t="n">
        <v>8.029999999999999</v>
      </c>
      <c r="H21" s="212">
        <f>ROUND(F21*G21,2)</f>
        <v/>
      </c>
      <c r="J21" s="224" t="n"/>
      <c r="K21" s="224" t="n"/>
      <c r="L21" s="224" t="n"/>
      <c r="M21" s="224" t="n"/>
      <c r="N21" s="224" t="n"/>
    </row>
    <row r="22">
      <c r="A22" s="200" t="n">
        <v>10</v>
      </c>
      <c r="B22" s="195" t="n"/>
      <c r="C22" s="196" t="inlineStr">
        <is>
          <t>1-4-1</t>
        </is>
      </c>
      <c r="D22" s="191" t="inlineStr">
        <is>
          <t>Затраты труда рабочих (ср 4,1)</t>
        </is>
      </c>
      <c r="E22" s="202" t="inlineStr">
        <is>
          <t>чел.-ч</t>
        </is>
      </c>
      <c r="F22" s="202" t="n">
        <v>0.00984</v>
      </c>
      <c r="G22" s="191" t="n">
        <v>10.16</v>
      </c>
      <c r="H22" s="212">
        <f>ROUND(F22*G22,2)</f>
        <v/>
      </c>
      <c r="J22" s="224" t="n"/>
      <c r="K22" s="224" t="n"/>
      <c r="L22" s="224" t="n"/>
      <c r="M22" s="224" t="n"/>
      <c r="N22" s="224" t="n"/>
    </row>
    <row r="23">
      <c r="A23" s="262" t="inlineStr">
        <is>
          <t>Затраты труда машинистов</t>
        </is>
      </c>
      <c r="B23" s="340" t="n"/>
      <c r="C23" s="340" t="n"/>
      <c r="D23" s="340" t="n"/>
      <c r="E23" s="341" t="n"/>
      <c r="F23" s="262" t="n">
        <v>3.767</v>
      </c>
      <c r="G23" s="193" t="n"/>
      <c r="H23" s="211">
        <f>H24</f>
        <v/>
      </c>
      <c r="J23" s="224" t="n"/>
      <c r="K23" s="224" t="n"/>
      <c r="L23" s="224" t="n"/>
      <c r="M23" s="224" t="n"/>
      <c r="N23" s="224" t="n"/>
    </row>
    <row r="24">
      <c r="A24" s="200" t="n">
        <v>11</v>
      </c>
      <c r="B24" s="263" t="inlineStr">
        <is>
          <t> </t>
        </is>
      </c>
      <c r="C24" s="276" t="n">
        <v>2</v>
      </c>
      <c r="D24" s="264" t="inlineStr">
        <is>
          <t>Затраты труда машинистов</t>
        </is>
      </c>
      <c r="E24" s="200" t="inlineStr">
        <is>
          <t>чел.-ч</t>
        </is>
      </c>
      <c r="F24" s="202" t="n">
        <v>3.767</v>
      </c>
      <c r="G24" s="197" t="n"/>
      <c r="H24" s="212" t="n">
        <v>75.27</v>
      </c>
      <c r="J24" s="224" t="n"/>
      <c r="K24" s="224" t="n"/>
      <c r="L24" s="224" t="n"/>
      <c r="M24" s="224" t="n"/>
      <c r="N24" s="224" t="n"/>
    </row>
    <row r="25" customFormat="1" s="148">
      <c r="A25" s="262" t="inlineStr">
        <is>
          <t>Машины и механизмы</t>
        </is>
      </c>
      <c r="B25" s="340" t="n"/>
      <c r="C25" s="340" t="n"/>
      <c r="D25" s="340" t="n"/>
      <c r="E25" s="341" t="n"/>
      <c r="F25" s="262" t="n"/>
      <c r="G25" s="193" t="n"/>
      <c r="H25" s="211">
        <f>SUM(H26:H42)</f>
        <v/>
      </c>
    </row>
    <row r="26">
      <c r="A26" s="200" t="n">
        <v>12</v>
      </c>
      <c r="B26" s="263" t="inlineStr">
        <is>
          <t> </t>
        </is>
      </c>
      <c r="C26" s="202" t="inlineStr">
        <is>
          <t>91.14.03-002</t>
        </is>
      </c>
      <c r="D26" s="191" t="inlineStr">
        <is>
          <t>Автомобили-самосвалы, грузоподъемность до 10 т</t>
        </is>
      </c>
      <c r="E26" s="202" t="inlineStr">
        <is>
          <t>маш.-ч.</t>
        </is>
      </c>
      <c r="F26" s="202" t="n">
        <v>2.05</v>
      </c>
      <c r="G26" s="191" t="n">
        <v>87.31999999999999</v>
      </c>
      <c r="H26" s="212">
        <f>ROUND(F26*G26,2)</f>
        <v/>
      </c>
      <c r="I26" s="203" t="n"/>
      <c r="J26" s="346" t="n"/>
      <c r="K26" s="203" t="n"/>
      <c r="L26" s="224" t="n"/>
      <c r="M26" s="224" t="n"/>
      <c r="N26" s="224" t="n"/>
    </row>
    <row r="27" ht="25.5" customFormat="1" customHeight="1" s="148">
      <c r="A27" s="200" t="n">
        <v>13</v>
      </c>
      <c r="B27" s="263" t="inlineStr">
        <is>
          <t> </t>
        </is>
      </c>
      <c r="C27" s="202" t="inlineStr">
        <is>
          <t>91.01.05-085</t>
        </is>
      </c>
      <c r="D27" s="191" t="inlineStr">
        <is>
          <t>Экскаваторы одноковшовые дизельные на гусеничном ходу, емкость ковша 0,5 м3</t>
        </is>
      </c>
      <c r="E27" s="202" t="inlineStr">
        <is>
          <t>маш.-ч.</t>
        </is>
      </c>
      <c r="F27" s="202" t="n">
        <v>1.2162</v>
      </c>
      <c r="G27" s="191" t="n">
        <v>100</v>
      </c>
      <c r="H27" s="212">
        <f>ROUND(F27*G27,2)</f>
        <v/>
      </c>
      <c r="I27" s="203" t="n"/>
      <c r="K27" s="203" t="n"/>
    </row>
    <row r="28" ht="38.25" customFormat="1" customHeight="1" s="148">
      <c r="A28" s="200" t="n">
        <v>14</v>
      </c>
      <c r="B28" s="263" t="n"/>
      <c r="C28" s="202" t="inlineStr">
        <is>
          <t>91.18.01-007</t>
        </is>
      </c>
      <c r="D28" s="19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8" s="202" t="inlineStr">
        <is>
          <t>маш.-ч.</t>
        </is>
      </c>
      <c r="F28" s="202" t="n">
        <v>0.679104</v>
      </c>
      <c r="G28" s="191" t="n">
        <v>90</v>
      </c>
      <c r="H28" s="212">
        <f>ROUND(F28*G28,2)</f>
        <v/>
      </c>
      <c r="I28" s="203" t="n"/>
      <c r="K28" s="203" t="n"/>
    </row>
    <row r="29" customFormat="1" s="148">
      <c r="A29" s="200" t="n">
        <v>15</v>
      </c>
      <c r="B29" s="263" t="inlineStr">
        <is>
          <t> </t>
        </is>
      </c>
      <c r="C29" s="202" t="inlineStr">
        <is>
          <t>91.05.06-012</t>
        </is>
      </c>
      <c r="D29" s="191" t="inlineStr">
        <is>
          <t>Краны на гусеничном ходу, грузоподъемность до 16 т</t>
        </is>
      </c>
      <c r="E29" s="202" t="inlineStr">
        <is>
          <t>маш.-ч.</t>
        </is>
      </c>
      <c r="F29" s="202" t="n">
        <v>0.615328</v>
      </c>
      <c r="G29" s="191" t="n">
        <v>96.89</v>
      </c>
      <c r="H29" s="212">
        <f>ROUND(F29*G29,2)</f>
        <v/>
      </c>
      <c r="I29" s="203" t="n"/>
      <c r="K29" s="203" t="n"/>
    </row>
    <row r="30" customFormat="1" s="148">
      <c r="A30" s="200" t="n">
        <v>16</v>
      </c>
      <c r="B30" s="263" t="inlineStr">
        <is>
          <t> </t>
        </is>
      </c>
      <c r="C30" s="202" t="inlineStr">
        <is>
          <t>91.05.05-015</t>
        </is>
      </c>
      <c r="D30" s="191" t="inlineStr">
        <is>
          <t>Краны на автомобильном ходу, грузоподъемность 16 т</t>
        </is>
      </c>
      <c r="E30" s="202" t="inlineStr">
        <is>
          <t>маш.-ч.</t>
        </is>
      </c>
      <c r="F30" s="202" t="n">
        <v>0.416951</v>
      </c>
      <c r="G30" s="191" t="n">
        <v>115.41</v>
      </c>
      <c r="H30" s="212">
        <f>ROUND(F30*G30,2)</f>
        <v/>
      </c>
      <c r="I30" s="203" t="n"/>
      <c r="K30" s="203" t="n"/>
      <c r="M30" s="214" t="n"/>
    </row>
    <row r="31" customFormat="1" s="148">
      <c r="A31" s="200" t="n">
        <v>17</v>
      </c>
      <c r="B31" s="263" t="inlineStr">
        <is>
          <t> </t>
        </is>
      </c>
      <c r="C31" s="202" t="inlineStr">
        <is>
          <t>91.14.02-001</t>
        </is>
      </c>
      <c r="D31" s="191" t="inlineStr">
        <is>
          <t>Автомобили бортовые, грузоподъемность до 5 т</t>
        </is>
      </c>
      <c r="E31" s="202" t="inlineStr">
        <is>
          <t>маш.-ч.</t>
        </is>
      </c>
      <c r="F31" s="202" t="n">
        <v>0.466864</v>
      </c>
      <c r="G31" s="191" t="n">
        <v>65.69</v>
      </c>
      <c r="H31" s="212">
        <f>ROUND(F31*G31,2)</f>
        <v/>
      </c>
      <c r="I31" s="203" t="n"/>
      <c r="K31" s="203" t="n"/>
    </row>
    <row r="32" ht="25.5" customFormat="1" customHeight="1" s="148">
      <c r="A32" s="200" t="n">
        <v>18</v>
      </c>
      <c r="B32" s="263" t="n"/>
      <c r="C32" s="202" t="inlineStr">
        <is>
          <t>91.17.04-233</t>
        </is>
      </c>
      <c r="D32" s="191" t="inlineStr">
        <is>
          <t>Установки для сварки ручной дуговой (постоянного тока)</t>
        </is>
      </c>
      <c r="E32" s="202" t="inlineStr">
        <is>
          <t>маш.-ч.</t>
        </is>
      </c>
      <c r="F32" s="202" t="n">
        <v>3.225806</v>
      </c>
      <c r="G32" s="191" t="n">
        <v>8.1</v>
      </c>
      <c r="H32" s="212">
        <f>ROUND(F32*G32,2)</f>
        <v/>
      </c>
      <c r="I32" s="203" t="n"/>
      <c r="K32" s="203" t="n"/>
    </row>
    <row r="33" ht="25.5" customFormat="1" customHeight="1" s="148">
      <c r="A33" s="200" t="n">
        <v>19</v>
      </c>
      <c r="B33" s="263" t="n"/>
      <c r="C33" s="202" t="inlineStr">
        <is>
          <t>91.06.05-057</t>
        </is>
      </c>
      <c r="D33" s="191" t="inlineStr">
        <is>
          <t>Погрузчики одноковшовые универсальные фронтальные пневмоколесные, грузоподъемность 3 т</t>
        </is>
      </c>
      <c r="E33" s="202" t="inlineStr">
        <is>
          <t>маш.-ч.</t>
        </is>
      </c>
      <c r="F33" s="202" t="n">
        <v>0.175</v>
      </c>
      <c r="G33" s="191" t="n">
        <v>90.45999999999999</v>
      </c>
      <c r="H33" s="212">
        <f>ROUND(F33*G33,2)</f>
        <v/>
      </c>
      <c r="I33" s="203" t="n"/>
      <c r="K33" s="203" t="n"/>
    </row>
    <row r="34" customFormat="1" s="148">
      <c r="A34" s="200" t="n">
        <v>20</v>
      </c>
      <c r="B34" s="263" t="n"/>
      <c r="C34" s="202" t="inlineStr">
        <is>
          <t>91.05.01-017</t>
        </is>
      </c>
      <c r="D34" s="191" t="inlineStr">
        <is>
          <t>Краны башенные, грузоподъемность 8 т</t>
        </is>
      </c>
      <c r="E34" s="202" t="inlineStr">
        <is>
          <t>маш.-ч.</t>
        </is>
      </c>
      <c r="F34" s="202" t="n">
        <v>0.108</v>
      </c>
      <c r="G34" s="191" t="n">
        <v>86.39</v>
      </c>
      <c r="H34" s="212">
        <f>ROUND(F34*G34,2)</f>
        <v/>
      </c>
      <c r="I34" s="203" t="n"/>
      <c r="K34" s="203" t="n"/>
    </row>
    <row r="35" customFormat="1" s="148">
      <c r="A35" s="200" t="n">
        <v>21</v>
      </c>
      <c r="B35" s="263" t="n"/>
      <c r="C35" s="202" t="inlineStr">
        <is>
          <t>91.08.04-021</t>
        </is>
      </c>
      <c r="D35" s="191" t="inlineStr">
        <is>
          <t>Котлы битумные передвижные 400 л</t>
        </is>
      </c>
      <c r="E35" s="202" t="inlineStr">
        <is>
          <t>маш.-ч.</t>
        </is>
      </c>
      <c r="F35" s="202" t="n">
        <v>0.28626</v>
      </c>
      <c r="G35" s="191" t="n">
        <v>30.01</v>
      </c>
      <c r="H35" s="212">
        <f>ROUND(F35*G35,2)</f>
        <v/>
      </c>
      <c r="I35" s="203" t="n"/>
      <c r="K35" s="203" t="n"/>
    </row>
    <row r="36" customFormat="1" s="148">
      <c r="A36" s="200" t="n">
        <v>22</v>
      </c>
      <c r="B36" s="263" t="n"/>
      <c r="C36" s="202" t="inlineStr">
        <is>
          <t>91.01.01-035</t>
        </is>
      </c>
      <c r="D36" s="191" t="inlineStr">
        <is>
          <t>Бульдозеры, мощность 79 кВт (108 л.с.)</t>
        </is>
      </c>
      <c r="E36" s="202" t="inlineStr">
        <is>
          <t>маш.-ч.</t>
        </is>
      </c>
      <c r="F36" s="202" t="n">
        <v>0.082426</v>
      </c>
      <c r="G36" s="191" t="n">
        <v>79.09999999999999</v>
      </c>
      <c r="H36" s="212">
        <f>ROUND(F36*G36,2)</f>
        <v/>
      </c>
      <c r="I36" s="203" t="n"/>
      <c r="K36" s="203" t="n"/>
    </row>
    <row r="37" ht="25.5" customFormat="1" customHeight="1" s="148">
      <c r="A37" s="200" t="n">
        <v>23</v>
      </c>
      <c r="B37" s="263" t="n"/>
      <c r="C37" s="202" t="inlineStr">
        <is>
          <t>91.08.09-024</t>
        </is>
      </c>
      <c r="D37" s="191" t="inlineStr">
        <is>
          <t>Трамбовки пневматические при работе от стационарного компрессора</t>
        </is>
      </c>
      <c r="E37" s="202" t="inlineStr">
        <is>
          <t>маш.-ч.</t>
        </is>
      </c>
      <c r="F37" s="202" t="n">
        <v>1</v>
      </c>
      <c r="G37" s="191" t="n">
        <v>4.9</v>
      </c>
      <c r="H37" s="212">
        <f>ROUND(F37*G37,2)</f>
        <v/>
      </c>
      <c r="I37" s="203" t="n"/>
      <c r="K37" s="203" t="n"/>
    </row>
    <row r="38" ht="25.5" customFormat="1" customHeight="1" s="148">
      <c r="A38" s="200" t="n">
        <v>24</v>
      </c>
      <c r="B38" s="263" t="n"/>
      <c r="C38" s="202" t="inlineStr">
        <is>
          <t>91.08.09-023</t>
        </is>
      </c>
      <c r="D38" s="191" t="inlineStr">
        <is>
          <t>Трамбовки пневматические при работе от передвижных компрессорных станций</t>
        </is>
      </c>
      <c r="E38" s="202" t="inlineStr">
        <is>
          <t>маш.-ч.</t>
        </is>
      </c>
      <c r="F38" s="202" t="n">
        <v>2.7216</v>
      </c>
      <c r="G38" s="191" t="n">
        <v>0.55</v>
      </c>
      <c r="H38" s="212">
        <f>ROUND(F38*G38,2)</f>
        <v/>
      </c>
      <c r="K38" s="203" t="n"/>
    </row>
    <row r="39" customFormat="1" s="148">
      <c r="A39" s="200" t="n">
        <v>25</v>
      </c>
      <c r="B39" s="263" t="n"/>
      <c r="C39" s="202" t="inlineStr">
        <is>
          <t>91.07.04-001</t>
        </is>
      </c>
      <c r="D39" s="191" t="inlineStr">
        <is>
          <t>Вибраторы глубинные</t>
        </is>
      </c>
      <c r="E39" s="202" t="inlineStr">
        <is>
          <t>маш.-ч.</t>
        </is>
      </c>
      <c r="F39" s="202" t="n">
        <v>0.4556</v>
      </c>
      <c r="G39" s="191" t="n">
        <v>1.91</v>
      </c>
      <c r="H39" s="212">
        <f>ROUND(F39*G39,2)</f>
        <v/>
      </c>
      <c r="K39" s="203" t="n"/>
    </row>
    <row r="40" customFormat="1" s="148">
      <c r="A40" s="200" t="n">
        <v>26</v>
      </c>
      <c r="B40" s="263" t="n"/>
      <c r="C40" s="202" t="inlineStr">
        <is>
          <t>91.06.05-011</t>
        </is>
      </c>
      <c r="D40" s="191" t="inlineStr">
        <is>
          <t>Погрузчики, грузоподъемность 5 т</t>
        </is>
      </c>
      <c r="E40" s="202" t="inlineStr">
        <is>
          <t>маш.-ч.</t>
        </is>
      </c>
      <c r="F40" s="202" t="n">
        <v>0.006748</v>
      </c>
      <c r="G40" s="191" t="n">
        <v>88.91</v>
      </c>
      <c r="H40" s="212">
        <f>ROUND(F40*G40,2)</f>
        <v/>
      </c>
      <c r="K40" s="203" t="n"/>
    </row>
    <row r="41" ht="25.5" customFormat="1" customHeight="1" s="148">
      <c r="A41" s="200" t="n">
        <v>27</v>
      </c>
      <c r="B41" s="263" t="n"/>
      <c r="C41" s="202" t="inlineStr">
        <is>
          <t>91.21.01-012</t>
        </is>
      </c>
      <c r="D41" s="191" t="inlineStr">
        <is>
          <t>Агрегаты окрасочные высокого давления для окраски поверхностей конструкций, мощность 1 кВт</t>
        </is>
      </c>
      <c r="E41" s="202" t="inlineStr">
        <is>
          <t>маш.-ч.</t>
        </is>
      </c>
      <c r="F41" s="202" t="n">
        <v>0.00708</v>
      </c>
      <c r="G41" s="191" t="n">
        <v>5.65</v>
      </c>
      <c r="H41" s="212">
        <f>ROUND(F41*G41,2)</f>
        <v/>
      </c>
      <c r="K41" s="203" t="n"/>
    </row>
    <row r="42" customFormat="1" s="148">
      <c r="A42" s="200" t="n">
        <v>28</v>
      </c>
      <c r="B42" s="263" t="n"/>
      <c r="C42" s="202" t="inlineStr">
        <is>
          <t>91.07.04-002</t>
        </is>
      </c>
      <c r="D42" s="191" t="inlineStr">
        <is>
          <t>Вибраторы поверхностные</t>
        </is>
      </c>
      <c r="E42" s="202" t="inlineStr">
        <is>
          <t>маш.-ч.</t>
        </is>
      </c>
      <c r="F42" s="202" t="n">
        <v>0.06635199999999999</v>
      </c>
      <c r="G42" s="191" t="n">
        <v>0.45</v>
      </c>
      <c r="H42" s="212">
        <f>ROUND(F42*G42,2)</f>
        <v/>
      </c>
      <c r="K42" s="203" t="n"/>
    </row>
    <row r="43">
      <c r="A43" s="262" t="inlineStr">
        <is>
          <t>Материалы</t>
        </is>
      </c>
      <c r="B43" s="340" t="n"/>
      <c r="C43" s="340" t="n"/>
      <c r="D43" s="340" t="n"/>
      <c r="E43" s="341" t="n"/>
      <c r="F43" s="262" t="n"/>
      <c r="G43" s="193" t="n"/>
      <c r="H43" s="211">
        <f>SUM(H44:H78)</f>
        <v/>
      </c>
      <c r="J43" s="224" t="n"/>
      <c r="K43" s="224" t="n"/>
      <c r="L43" s="224" t="n"/>
      <c r="M43" s="224" t="n"/>
      <c r="N43" s="224" t="n"/>
    </row>
    <row r="44" ht="25.5" customHeight="1" s="222">
      <c r="A44" s="200" t="n">
        <v>29</v>
      </c>
      <c r="B44" s="263" t="n"/>
      <c r="C44" s="202" t="inlineStr">
        <is>
          <t>04.1.02.05-0046</t>
        </is>
      </c>
      <c r="D44" s="191" t="inlineStr">
        <is>
          <t>Бетон тяжелый, крупность заполнителя 20 мм, класс В25 (М350)</t>
        </is>
      </c>
      <c r="E44" s="202" t="inlineStr">
        <is>
          <t>м3</t>
        </is>
      </c>
      <c r="F44" s="202" t="n">
        <v>2.7202</v>
      </c>
      <c r="G44" s="191" t="n">
        <v>720.17</v>
      </c>
      <c r="H44" s="212">
        <f>ROUND(F44*G44,2)</f>
        <v/>
      </c>
      <c r="J44" s="203" t="n"/>
      <c r="K44" s="224" t="n"/>
      <c r="L44" s="224" t="n"/>
      <c r="M44" s="224" t="n"/>
      <c r="N44" s="224" t="n"/>
    </row>
    <row r="45" ht="38.25" customHeight="1" s="222">
      <c r="A45" s="200" t="n">
        <v>30</v>
      </c>
      <c r="B45" s="263" t="n"/>
      <c r="C45" s="202" t="inlineStr">
        <is>
          <t>04.3.02.04-0316</t>
        </is>
      </c>
      <c r="D45" s="191" t="inlineStr">
        <is>
          <t>Смесь сухая безусадочная быстротвердеющая EMACO FAST TIXO тиксотропного типа (расход смеси 2000 кг на 1 м3)</t>
        </is>
      </c>
      <c r="E45" s="202" t="inlineStr">
        <is>
          <t>кг</t>
        </is>
      </c>
      <c r="F45" s="202" t="n">
        <v>80</v>
      </c>
      <c r="G45" s="191" t="n">
        <v>11.35</v>
      </c>
      <c r="H45" s="212">
        <f>ROUND(F45*G45,2)</f>
        <v/>
      </c>
      <c r="J45" s="203" t="n"/>
      <c r="K45" s="224" t="n"/>
      <c r="L45" s="224" t="n"/>
      <c r="M45" s="224" t="n"/>
      <c r="N45" s="224" t="n"/>
    </row>
    <row r="46" ht="25.5" customHeight="1" s="222">
      <c r="A46" s="200" t="n">
        <v>31</v>
      </c>
      <c r="B46" s="263" t="n"/>
      <c r="C46" s="202" t="inlineStr">
        <is>
          <t>08.4.03.03-0004</t>
        </is>
      </c>
      <c r="D46" s="191" t="inlineStr">
        <is>
          <t>Горячекатанная арматурная сталь класса А500 С, диаметром 12 мм</t>
        </is>
      </c>
      <c r="E46" s="202" t="inlineStr">
        <is>
          <t>т</t>
        </is>
      </c>
      <c r="F46" s="202" t="n">
        <v>0.1208</v>
      </c>
      <c r="G46" s="191" t="n">
        <v>5587.75</v>
      </c>
      <c r="H46" s="212">
        <f>ROUND(F46*G46,2)</f>
        <v/>
      </c>
      <c r="J46" s="203" t="n"/>
      <c r="K46" s="224" t="n"/>
      <c r="L46" s="203" t="n"/>
      <c r="M46" s="224" t="n"/>
      <c r="N46" s="224" t="n"/>
    </row>
    <row r="47" ht="25.5" customHeight="1" s="222">
      <c r="A47" s="200" t="n">
        <v>32</v>
      </c>
      <c r="B47" s="263" t="n"/>
      <c r="C47" s="202" t="inlineStr">
        <is>
          <t>04.1.02.05-0041</t>
        </is>
      </c>
      <c r="D47" s="191" t="inlineStr">
        <is>
          <t>Бетон тяжелый, крупность заполнителя 20 мм, класс В10 (М150)</t>
        </is>
      </c>
      <c r="E47" s="202" t="inlineStr">
        <is>
          <t>м3</t>
        </is>
      </c>
      <c r="F47" s="202" t="n">
        <v>0.612</v>
      </c>
      <c r="G47" s="191" t="n">
        <v>542.48</v>
      </c>
      <c r="H47" s="212">
        <f>ROUND(F47*G47,2)</f>
        <v/>
      </c>
      <c r="J47" s="203" t="n"/>
      <c r="K47" s="224" t="n"/>
      <c r="L47" s="224" t="n"/>
      <c r="M47" s="224" t="n"/>
      <c r="N47" s="224" t="n"/>
    </row>
    <row r="48" ht="25.5" customHeight="1" s="222">
      <c r="A48" s="200" t="n">
        <v>33</v>
      </c>
      <c r="B48" s="263" t="n"/>
      <c r="C48" s="202" t="inlineStr">
        <is>
          <t>08.4.01.01-0022</t>
        </is>
      </c>
      <c r="D48" s="191" t="inlineStr">
        <is>
          <t>Детали анкерные с резьбой из прямых или гнутых круглых стержней</t>
        </is>
      </c>
      <c r="E48" s="202" t="inlineStr">
        <is>
          <t>т</t>
        </is>
      </c>
      <c r="F48" s="202" t="n">
        <v>0.02736</v>
      </c>
      <c r="G48" s="191" t="n">
        <v>10100.15</v>
      </c>
      <c r="H48" s="212">
        <f>ROUND(F48*G48,2)</f>
        <v/>
      </c>
      <c r="J48" s="203" t="n"/>
      <c r="K48" s="224" t="n"/>
      <c r="L48" s="224" t="n"/>
      <c r="M48" s="224" t="n"/>
      <c r="N48" s="224" t="n"/>
    </row>
    <row r="49">
      <c r="A49" s="200" t="n">
        <v>34</v>
      </c>
      <c r="B49" s="263" t="n"/>
      <c r="C49" s="202" t="inlineStr">
        <is>
          <t>02.2.05.04-1777</t>
        </is>
      </c>
      <c r="D49" s="191" t="inlineStr">
        <is>
          <t>Щебень М 800, фракция 20-40 мм, группа 2</t>
        </is>
      </c>
      <c r="E49" s="202" t="inlineStr">
        <is>
          <t>м3</t>
        </is>
      </c>
      <c r="F49" s="202" t="n">
        <v>2.5</v>
      </c>
      <c r="G49" s="191" t="n">
        <v>108.4</v>
      </c>
      <c r="H49" s="212">
        <f>ROUND(F49*G49,2)</f>
        <v/>
      </c>
      <c r="J49" s="203" t="n"/>
      <c r="K49" s="224" t="n"/>
      <c r="L49" s="203" t="n"/>
      <c r="M49" s="224" t="n"/>
      <c r="N49" s="224" t="n"/>
    </row>
    <row r="50" ht="25.5" customHeight="1" s="222">
      <c r="A50" s="200" t="n">
        <v>35</v>
      </c>
      <c r="B50" s="263" t="n"/>
      <c r="C50" s="202" t="inlineStr">
        <is>
          <t>01.2.03.03-0103</t>
        </is>
      </c>
      <c r="D50" s="191" t="inlineStr">
        <is>
          <t>Мастика гидроизоляционная холодная ТЕХНОНИКОЛЬ №24 (МГТН)</t>
        </is>
      </c>
      <c r="E50" s="202" t="inlineStr">
        <is>
          <t>кг</t>
        </is>
      </c>
      <c r="F50" s="202" t="n">
        <v>29.4</v>
      </c>
      <c r="G50" s="191" t="n">
        <v>9.15</v>
      </c>
      <c r="H50" s="212">
        <f>ROUND(F50*G50,2)</f>
        <v/>
      </c>
      <c r="J50" s="203" t="n"/>
      <c r="K50" s="224" t="n"/>
      <c r="L50" s="224" t="n"/>
      <c r="M50" s="224" t="n"/>
      <c r="N50" s="224" t="n"/>
    </row>
    <row r="51">
      <c r="A51" s="200" t="n">
        <v>36</v>
      </c>
      <c r="B51" s="263" t="n"/>
      <c r="C51" s="202" t="inlineStr">
        <is>
          <t>02.2.05.04-1577</t>
        </is>
      </c>
      <c r="D51" s="191" t="inlineStr">
        <is>
          <t>Щебень М 800, фракция 5(3)-10 мм, группа 2</t>
        </is>
      </c>
      <c r="E51" s="202" t="inlineStr">
        <is>
          <t>м3</t>
        </is>
      </c>
      <c r="F51" s="202" t="n">
        <v>0.76</v>
      </c>
      <c r="G51" s="191" t="n">
        <v>156.58</v>
      </c>
      <c r="H51" s="212">
        <f>ROUND(F51*G51,2)</f>
        <v/>
      </c>
      <c r="J51" s="203" t="n"/>
      <c r="K51" s="224" t="n"/>
      <c r="L51" s="224" t="n"/>
      <c r="M51" s="224" t="n"/>
      <c r="N51" s="224" t="n"/>
    </row>
    <row r="52" ht="25.5" customHeight="1" s="222">
      <c r="A52" s="200" t="n">
        <v>37</v>
      </c>
      <c r="B52" s="263" t="n"/>
      <c r="C52" s="202" t="inlineStr">
        <is>
          <t>08.4.03.02-0001</t>
        </is>
      </c>
      <c r="D52" s="191" t="inlineStr">
        <is>
          <t>Горячекатаная арматурная сталь гладкая класса А-I, диаметром 6 мм</t>
        </is>
      </c>
      <c r="E52" s="202" t="inlineStr">
        <is>
          <t>т</t>
        </is>
      </c>
      <c r="F52" s="202" t="n">
        <v>0.012</v>
      </c>
      <c r="G52" s="191" t="n">
        <v>7416.67</v>
      </c>
      <c r="H52" s="212">
        <f>ROUND(F52*G52,2)</f>
        <v/>
      </c>
      <c r="J52" s="203" t="n"/>
      <c r="K52" s="224" t="n"/>
      <c r="L52" s="224" t="n"/>
      <c r="M52" s="224" t="n"/>
      <c r="N52" s="224" t="n"/>
    </row>
    <row r="53" ht="25.5" customHeight="1" s="222">
      <c r="A53" s="200" t="n">
        <v>38</v>
      </c>
      <c r="B53" s="263" t="n"/>
      <c r="C53" s="202" t="inlineStr">
        <is>
          <t>08.4.03.03-0002</t>
        </is>
      </c>
      <c r="D53" s="191" t="inlineStr">
        <is>
          <t>Горячекатанная арматурная сталь класса А500 С, диаметром 8 мм</t>
        </is>
      </c>
      <c r="E53" s="202" t="inlineStr">
        <is>
          <t>т</t>
        </is>
      </c>
      <c r="F53" s="202" t="n">
        <v>0.009599999999999999</v>
      </c>
      <c r="G53" s="191" t="n">
        <v>6250</v>
      </c>
      <c r="H53" s="212">
        <f>ROUND(F53*G53,2)</f>
        <v/>
      </c>
      <c r="J53" s="203" t="n"/>
      <c r="K53" s="224" t="n"/>
      <c r="L53" s="224" t="n"/>
      <c r="M53" s="224" t="n"/>
      <c r="N53" s="224" t="n"/>
    </row>
    <row r="54">
      <c r="A54" s="200" t="n">
        <v>39</v>
      </c>
      <c r="B54" s="263" t="n"/>
      <c r="C54" s="202" t="inlineStr">
        <is>
          <t>01.7.15.03-0042</t>
        </is>
      </c>
      <c r="D54" s="191" t="inlineStr">
        <is>
          <t>Болты с гайками и шайбами строительные</t>
        </is>
      </c>
      <c r="E54" s="202" t="inlineStr">
        <is>
          <t>кг</t>
        </is>
      </c>
      <c r="F54" s="202" t="n">
        <v>6.48</v>
      </c>
      <c r="G54" s="191" t="n">
        <v>9.039999999999999</v>
      </c>
      <c r="H54" s="212">
        <f>ROUND(F54*G54,2)</f>
        <v/>
      </c>
      <c r="J54" s="203" t="n"/>
      <c r="K54" s="224" t="n"/>
      <c r="L54" s="224" t="n"/>
      <c r="M54" s="224" t="n"/>
      <c r="N54" s="224" t="n"/>
    </row>
    <row r="55">
      <c r="A55" s="200" t="n">
        <v>40</v>
      </c>
      <c r="B55" s="205" t="n"/>
      <c r="C55" s="202" t="inlineStr">
        <is>
          <t>11.2.13.04-0011</t>
        </is>
      </c>
      <c r="D55" s="191" t="inlineStr">
        <is>
          <t>Щиты из досок, толщина 25 мм</t>
        </is>
      </c>
      <c r="E55" s="202" t="inlineStr">
        <is>
          <t>м2</t>
        </is>
      </c>
      <c r="F55" s="202" t="n">
        <v>1.3266</v>
      </c>
      <c r="G55" s="191" t="n">
        <v>35.53</v>
      </c>
      <c r="H55" s="212">
        <f>ROUND(F55*G55,2)</f>
        <v/>
      </c>
      <c r="J55" s="224" t="n"/>
      <c r="K55" s="224" t="n"/>
      <c r="L55" s="224" t="n"/>
      <c r="M55" s="224" t="n"/>
      <c r="N55" s="224" t="n"/>
    </row>
    <row r="56">
      <c r="A56" s="200" t="n">
        <v>41</v>
      </c>
      <c r="B56" s="205" t="n"/>
      <c r="C56" s="202" t="inlineStr">
        <is>
          <t>01.2.03.05-0011</t>
        </is>
      </c>
      <c r="D56" s="191" t="inlineStr">
        <is>
          <t>Праймер битумный ТЕХНОНИКОЛЬ №01</t>
        </is>
      </c>
      <c r="E56" s="202" t="inlineStr">
        <is>
          <t>л</t>
        </is>
      </c>
      <c r="F56" s="202" t="n">
        <v>5.2</v>
      </c>
      <c r="G56" s="191" t="n">
        <v>8.460000000000001</v>
      </c>
      <c r="H56" s="212">
        <f>ROUND(F56*G56,2)</f>
        <v/>
      </c>
      <c r="J56" s="224" t="n"/>
      <c r="K56" s="224" t="n"/>
      <c r="L56" s="224" t="n"/>
      <c r="M56" s="224" t="n"/>
      <c r="N56" s="224" t="n"/>
    </row>
    <row r="57">
      <c r="A57" s="200" t="n">
        <v>42</v>
      </c>
      <c r="B57" s="205" t="n"/>
      <c r="C57" s="202" t="inlineStr">
        <is>
          <t>01.7.15.07-0031</t>
        </is>
      </c>
      <c r="D57" s="191" t="inlineStr">
        <is>
          <t>Дюбели распорные с гайкой</t>
        </is>
      </c>
      <c r="E57" s="202" t="inlineStr">
        <is>
          <t>100 шт</t>
        </is>
      </c>
      <c r="F57" s="202" t="n">
        <v>0.192</v>
      </c>
      <c r="G57" s="191" t="n">
        <v>110</v>
      </c>
      <c r="H57" s="212">
        <f>ROUND(F57*G57,2)</f>
        <v/>
      </c>
      <c r="J57" s="224" t="n"/>
      <c r="K57" s="224" t="n"/>
      <c r="L57" s="224" t="n"/>
      <c r="M57" s="224" t="n"/>
      <c r="N57" s="224" t="n"/>
    </row>
    <row r="58" ht="25.5" customHeight="1" s="222">
      <c r="A58" s="200" t="n">
        <v>43</v>
      </c>
      <c r="B58" s="205" t="n"/>
      <c r="C58" s="202" t="inlineStr">
        <is>
          <t>03.2.01.01-0003</t>
        </is>
      </c>
      <c r="D58" s="191" t="inlineStr">
        <is>
          <t>Портландцемент общестроительного назначения бездобавочный М500 Д0 (ЦЕМ I 42,5Н)</t>
        </is>
      </c>
      <c r="E58" s="202" t="inlineStr">
        <is>
          <t>т</t>
        </is>
      </c>
      <c r="F58" s="202" t="n">
        <v>0.0432</v>
      </c>
      <c r="G58" s="191" t="n">
        <v>480.09</v>
      </c>
      <c r="H58" s="212">
        <f>ROUND(F58*G58,2)</f>
        <v/>
      </c>
      <c r="J58" s="224" t="n"/>
      <c r="K58" s="224" t="n"/>
      <c r="L58" s="224" t="n"/>
      <c r="M58" s="224" t="n"/>
      <c r="N58" s="224" t="n"/>
    </row>
    <row r="59" ht="25.5" customHeight="1" s="222">
      <c r="A59" s="200" t="n">
        <v>44</v>
      </c>
      <c r="B59" s="205" t="n"/>
      <c r="C59" s="202" t="inlineStr">
        <is>
          <t>11.1.03.06-0095</t>
        </is>
      </c>
      <c r="D59" s="191" t="inlineStr">
        <is>
          <t>Доска обрезная, хвойных пород, ширина 75-150 мм, толщина 44 мм и более, длина 4-6,5 м, сорт III</t>
        </is>
      </c>
      <c r="E59" s="202" t="inlineStr">
        <is>
          <t>м3</t>
        </is>
      </c>
      <c r="F59" s="202" t="n">
        <v>0.018982</v>
      </c>
      <c r="G59" s="191" t="n">
        <v>1055.73</v>
      </c>
      <c r="H59" s="212">
        <f>ROUND(F59*G59,2)</f>
        <v/>
      </c>
      <c r="J59" s="224" t="n"/>
      <c r="K59" s="224" t="n"/>
      <c r="L59" s="224" t="n"/>
      <c r="M59" s="224" t="n"/>
      <c r="N59" s="224" t="n"/>
    </row>
    <row r="60">
      <c r="A60" s="200" t="n">
        <v>45</v>
      </c>
      <c r="B60" s="205" t="n"/>
      <c r="C60" s="202" t="inlineStr">
        <is>
          <t>01.7.15.06-0111</t>
        </is>
      </c>
      <c r="D60" s="191" t="inlineStr">
        <is>
          <t>Гвозди строительные</t>
        </is>
      </c>
      <c r="E60" s="202" t="inlineStr">
        <is>
          <t>т</t>
        </is>
      </c>
      <c r="F60" s="202" t="n">
        <v>0.001022</v>
      </c>
      <c r="G60" s="191" t="n">
        <v>11966.74</v>
      </c>
      <c r="H60" s="212">
        <f>ROUND(F60*G60,2)</f>
        <v/>
      </c>
      <c r="J60" s="224" t="n"/>
      <c r="K60" s="224" t="n"/>
      <c r="L60" s="224" t="n"/>
      <c r="M60" s="224" t="n"/>
      <c r="N60" s="224" t="n"/>
    </row>
    <row r="61">
      <c r="A61" s="200" t="n">
        <v>46</v>
      </c>
      <c r="B61" s="205" t="n"/>
      <c r="C61" s="202" t="inlineStr">
        <is>
          <t>01.7.11.07-0034</t>
        </is>
      </c>
      <c r="D61" s="191" t="inlineStr">
        <is>
          <t>Электроды сварочные Э42А, диаметр 4 мм</t>
        </is>
      </c>
      <c r="E61" s="202" t="inlineStr">
        <is>
          <t>кг</t>
        </is>
      </c>
      <c r="F61" s="202" t="n">
        <v>1.008</v>
      </c>
      <c r="G61" s="191" t="n">
        <v>10.57</v>
      </c>
      <c r="H61" s="212">
        <f>ROUND(F61*G61,2)</f>
        <v/>
      </c>
      <c r="J61" s="224" t="n"/>
      <c r="K61" s="224" t="n"/>
      <c r="L61" s="224" t="n"/>
      <c r="M61" s="224" t="n"/>
      <c r="N61" s="224" t="n"/>
    </row>
    <row r="62" ht="25.5" customHeight="1" s="222">
      <c r="A62" s="200" t="n">
        <v>47</v>
      </c>
      <c r="B62" s="205" t="n"/>
      <c r="C62" s="202" t="inlineStr">
        <is>
          <t>11.1.02.04-0031</t>
        </is>
      </c>
      <c r="D62" s="191" t="inlineStr">
        <is>
          <t>Лесоматериалы круглые, хвойных пород, для строительства, диаметр 14-24 см, длина 3-6,5 м</t>
        </is>
      </c>
      <c r="E62" s="202" t="inlineStr">
        <is>
          <t>м3</t>
        </is>
      </c>
      <c r="F62" s="202" t="n">
        <v>0.018492</v>
      </c>
      <c r="G62" s="191" t="n">
        <v>558.08</v>
      </c>
      <c r="H62" s="212">
        <f>ROUND(F62*G62,2)</f>
        <v/>
      </c>
      <c r="J62" s="224" t="n"/>
      <c r="K62" s="224" t="n"/>
      <c r="L62" s="224" t="n"/>
      <c r="M62" s="224" t="n"/>
      <c r="N62" s="224" t="n"/>
    </row>
    <row r="63">
      <c r="A63" s="200" t="n">
        <v>48</v>
      </c>
      <c r="B63" s="205" t="n"/>
      <c r="C63" s="202" t="inlineStr">
        <is>
          <t>01.3.01.03-0002</t>
        </is>
      </c>
      <c r="D63" s="191" t="inlineStr">
        <is>
          <t>Керосин для технических целей</t>
        </is>
      </c>
      <c r="E63" s="202" t="inlineStr">
        <is>
          <t>т</t>
        </is>
      </c>
      <c r="F63" s="202" t="n">
        <v>0.003523</v>
      </c>
      <c r="G63" s="191" t="n">
        <v>2608.57</v>
      </c>
      <c r="H63" s="212">
        <f>ROUND(F63*G63,2)</f>
        <v/>
      </c>
      <c r="J63" s="224" t="n"/>
      <c r="K63" s="224" t="n"/>
      <c r="L63" s="224" t="n"/>
      <c r="M63" s="224" t="n"/>
      <c r="N63" s="224" t="n"/>
    </row>
    <row r="64">
      <c r="A64" s="200" t="n">
        <v>49</v>
      </c>
      <c r="B64" s="205" t="n"/>
      <c r="C64" s="202" t="inlineStr">
        <is>
          <t>14.4.02.09-0301</t>
        </is>
      </c>
      <c r="D64" s="191" t="inlineStr">
        <is>
          <t>Композиция антикоррозионная цинкнаполненная</t>
        </is>
      </c>
      <c r="E64" s="202" t="inlineStr">
        <is>
          <t>кг</t>
        </is>
      </c>
      <c r="F64" s="202" t="n">
        <v>0.036</v>
      </c>
      <c r="G64" s="191" t="n">
        <v>250</v>
      </c>
      <c r="H64" s="212">
        <f>ROUND(F64*G64,2)</f>
        <v/>
      </c>
      <c r="J64" s="224" t="n"/>
      <c r="K64" s="224" t="n"/>
      <c r="L64" s="224" t="n"/>
      <c r="M64" s="224" t="n"/>
      <c r="N64" s="224" t="n"/>
    </row>
    <row r="65" ht="25.5" customHeight="1" s="222">
      <c r="A65" s="200" t="n">
        <v>50</v>
      </c>
      <c r="B65" s="205" t="n"/>
      <c r="C65" s="202" t="inlineStr">
        <is>
          <t>11.1.03.06-0087</t>
        </is>
      </c>
      <c r="D65" s="191" t="inlineStr">
        <is>
          <t>Доска обрезная, хвойных пород, ширина 75-150 мм, толщина 25 мм, длина 4-6,5 м, сорт III</t>
        </is>
      </c>
      <c r="E65" s="202" t="inlineStr">
        <is>
          <t>м3</t>
        </is>
      </c>
      <c r="F65" s="202" t="n">
        <v>0.006536</v>
      </c>
      <c r="G65" s="191" t="n">
        <v>1101.59</v>
      </c>
      <c r="H65" s="212">
        <f>ROUND(F65*G65,2)</f>
        <v/>
      </c>
      <c r="J65" s="224" t="n"/>
      <c r="K65" s="224" t="n"/>
      <c r="L65" s="224" t="n"/>
      <c r="M65" s="224" t="n"/>
      <c r="N65" s="224" t="n"/>
    </row>
    <row r="66">
      <c r="A66" s="200" t="n">
        <v>51</v>
      </c>
      <c r="B66" s="205" t="n"/>
      <c r="C66" s="202" t="inlineStr">
        <is>
          <t>01.7.07.12-0024</t>
        </is>
      </c>
      <c r="D66" s="191" t="inlineStr">
        <is>
          <t>Пленка полиэтиленовая, толщина 0,15 мм</t>
        </is>
      </c>
      <c r="E66" s="202" t="inlineStr">
        <is>
          <t>м2</t>
        </is>
      </c>
      <c r="F66" s="202" t="n">
        <v>1.77068</v>
      </c>
      <c r="G66" s="191" t="n">
        <v>3.62</v>
      </c>
      <c r="H66" s="212">
        <f>ROUND(F66*G66,2)</f>
        <v/>
      </c>
      <c r="J66" s="224" t="n"/>
      <c r="K66" s="224" t="n"/>
      <c r="L66" s="224" t="n"/>
      <c r="M66" s="224" t="n"/>
      <c r="N66" s="224" t="n"/>
    </row>
    <row r="67" ht="25.5" customHeight="1" s="222">
      <c r="A67" s="200" t="n">
        <v>52</v>
      </c>
      <c r="B67" s="205" t="n"/>
      <c r="C67" s="202" t="inlineStr">
        <is>
          <t>08.3.03.06-0002</t>
        </is>
      </c>
      <c r="D67" s="191" t="inlineStr">
        <is>
          <t>Проволока горячекатаная в мотках, диаметр 6,3-6,5 мм</t>
        </is>
      </c>
      <c r="E67" s="202" t="inlineStr">
        <is>
          <t>т</t>
        </is>
      </c>
      <c r="F67" s="202" t="n">
        <v>0.001072</v>
      </c>
      <c r="G67" s="191" t="n">
        <v>4458.96</v>
      </c>
      <c r="H67" s="212">
        <f>ROUND(F67*G67,2)</f>
        <v/>
      </c>
      <c r="J67" s="224" t="n"/>
      <c r="K67" s="224" t="n"/>
      <c r="L67" s="224" t="n"/>
      <c r="M67" s="224" t="n"/>
      <c r="N67" s="224" t="n"/>
    </row>
    <row r="68" ht="25.5" customHeight="1" s="222">
      <c r="A68" s="200" t="n">
        <v>53</v>
      </c>
      <c r="B68" s="205" t="n"/>
      <c r="C68" s="202" t="inlineStr">
        <is>
          <t>11.1.03.01-0079</t>
        </is>
      </c>
      <c r="D68" s="191" t="inlineStr">
        <is>
          <t>Бруски обрезные, хвойных пород, длина 4-6,5 м, ширина 75-150 мм, толщина 40-75 мм, сорт III</t>
        </is>
      </c>
      <c r="E68" s="202" t="inlineStr">
        <is>
          <t>м3</t>
        </is>
      </c>
      <c r="F68" s="202" t="n">
        <v>0.002144</v>
      </c>
      <c r="G68" s="191" t="n">
        <v>1287.31</v>
      </c>
      <c r="H68" s="212">
        <f>ROUND(F68*G68,2)</f>
        <v/>
      </c>
      <c r="J68" s="224" t="n"/>
      <c r="K68" s="224" t="n"/>
      <c r="L68" s="224" t="n"/>
      <c r="M68" s="224" t="n"/>
      <c r="N68" s="224" t="n"/>
    </row>
    <row r="69" ht="25.5" customHeight="1" s="222">
      <c r="A69" s="200" t="n">
        <v>54</v>
      </c>
      <c r="B69" s="205" t="n"/>
      <c r="C69" s="202" t="inlineStr">
        <is>
          <t>999-9950</t>
        </is>
      </c>
      <c r="D69" s="191" t="inlineStr">
        <is>
          <t>Вспомогательные ненормируемые материальные ресурсы</t>
        </is>
      </c>
      <c r="E69" s="202" t="inlineStr">
        <is>
          <t>руб</t>
        </is>
      </c>
      <c r="F69" s="202" t="n">
        <v>2.475024</v>
      </c>
      <c r="G69" s="191" t="n">
        <v>1</v>
      </c>
      <c r="H69" s="212">
        <f>ROUND(F69*G69,2)</f>
        <v/>
      </c>
      <c r="J69" s="224" t="n"/>
      <c r="K69" s="224" t="n"/>
      <c r="L69" s="224" t="n"/>
      <c r="M69" s="224" t="n"/>
      <c r="N69" s="224" t="n"/>
    </row>
    <row r="70">
      <c r="A70" s="200" t="n">
        <v>55</v>
      </c>
      <c r="B70" s="205" t="n"/>
      <c r="C70" s="202" t="inlineStr">
        <is>
          <t>02.3.01.02-1012</t>
        </is>
      </c>
      <c r="D70" s="191" t="inlineStr">
        <is>
          <t>Песок природный II класс, средний, круглые сита</t>
        </is>
      </c>
      <c r="E70" s="202" t="inlineStr">
        <is>
          <t>м3</t>
        </is>
      </c>
      <c r="F70" s="202" t="n">
        <v>0.036</v>
      </c>
      <c r="G70" s="191" t="n">
        <v>60</v>
      </c>
      <c r="H70" s="212">
        <f>ROUND(F70*G70,2)</f>
        <v/>
      </c>
      <c r="J70" s="224" t="n"/>
      <c r="K70" s="224" t="n"/>
      <c r="L70" s="224" t="n"/>
      <c r="M70" s="224" t="n"/>
      <c r="N70" s="224" t="n"/>
    </row>
    <row r="71">
      <c r="A71" s="200" t="n">
        <v>56</v>
      </c>
      <c r="B71" s="205" t="n"/>
      <c r="C71" s="202" t="inlineStr">
        <is>
          <t>14.2.01.05-0001</t>
        </is>
      </c>
      <c r="D71" s="191" t="inlineStr">
        <is>
          <t>Композиция на основе термопластичных полимеров</t>
        </is>
      </c>
      <c r="E71" s="202" t="inlineStr">
        <is>
          <t>кг</t>
        </is>
      </c>
      <c r="F71" s="202" t="n">
        <v>0.045</v>
      </c>
      <c r="G71" s="191" t="n">
        <v>44.44</v>
      </c>
      <c r="H71" s="212">
        <f>ROUND(F71*G71,2)</f>
        <v/>
      </c>
      <c r="J71" s="224" t="n"/>
      <c r="K71" s="224" t="n"/>
      <c r="L71" s="224" t="n"/>
      <c r="M71" s="224" t="n"/>
      <c r="N71" s="224" t="n"/>
    </row>
    <row r="72">
      <c r="A72" s="200" t="n">
        <v>57</v>
      </c>
      <c r="B72" s="205" t="n"/>
      <c r="C72" s="202" t="inlineStr">
        <is>
          <t>01.7.03.01-0001</t>
        </is>
      </c>
      <c r="D72" s="191" t="inlineStr">
        <is>
          <t>Вода</t>
        </is>
      </c>
      <c r="E72" s="202" t="inlineStr">
        <is>
          <t>м3</t>
        </is>
      </c>
      <c r="F72" s="202" t="n">
        <v>0.464212</v>
      </c>
      <c r="G72" s="191" t="n">
        <v>2.48</v>
      </c>
      <c r="H72" s="212">
        <f>ROUND(F72*G72,2)</f>
        <v/>
      </c>
      <c r="J72" s="224" t="n"/>
      <c r="K72" s="224" t="n"/>
      <c r="L72" s="224" t="n"/>
      <c r="M72" s="224" t="n"/>
      <c r="N72" s="224" t="n"/>
    </row>
    <row r="73">
      <c r="A73" s="200" t="n">
        <v>58</v>
      </c>
      <c r="B73" s="205" t="n"/>
      <c r="C73" s="202" t="inlineStr">
        <is>
          <t>01.7.11.07-0054</t>
        </is>
      </c>
      <c r="D73" s="191" t="inlineStr">
        <is>
          <t>Электроды сварочные Э42, диаметр 6 мм</t>
        </is>
      </c>
      <c r="E73" s="202" t="inlineStr">
        <is>
          <t>т</t>
        </is>
      </c>
      <c r="F73" s="202" t="n">
        <v>0.000107</v>
      </c>
      <c r="G73" s="191" t="n">
        <v>9439.25</v>
      </c>
      <c r="H73" s="212">
        <f>ROUND(F73*G73,2)</f>
        <v/>
      </c>
      <c r="J73" s="224" t="n"/>
      <c r="K73" s="224" t="n"/>
      <c r="L73" s="224" t="n"/>
      <c r="M73" s="224" t="n"/>
      <c r="N73" s="224" t="n"/>
    </row>
    <row r="74">
      <c r="A74" s="200" t="n">
        <v>59</v>
      </c>
      <c r="B74" s="205" t="n"/>
      <c r="C74" s="202" t="inlineStr">
        <is>
          <t>03.1.02.03-0011</t>
        </is>
      </c>
      <c r="D74" s="191" t="inlineStr">
        <is>
          <t>Известь строительная негашеная комовая, сорт I</t>
        </is>
      </c>
      <c r="E74" s="202" t="inlineStr">
        <is>
          <t>т</t>
        </is>
      </c>
      <c r="F74" s="202" t="n">
        <v>0.001233</v>
      </c>
      <c r="G74" s="191" t="n">
        <v>738.04</v>
      </c>
      <c r="H74" s="212">
        <f>ROUND(F74*G74,2)</f>
        <v/>
      </c>
      <c r="J74" s="224" t="n"/>
      <c r="K74" s="224" t="n"/>
      <c r="L74" s="224" t="n"/>
      <c r="M74" s="224" t="n"/>
      <c r="N74" s="224" t="n"/>
    </row>
    <row r="75">
      <c r="A75" s="200" t="n">
        <v>60</v>
      </c>
      <c r="B75" s="205" t="n"/>
      <c r="C75" s="202" t="inlineStr">
        <is>
          <t>01.7.11.07-0032</t>
        </is>
      </c>
      <c r="D75" s="191" t="inlineStr">
        <is>
          <t>Электроды сварочные Э42, диаметр 4 мм</t>
        </is>
      </c>
      <c r="E75" s="202" t="inlineStr">
        <is>
          <t>т</t>
        </is>
      </c>
      <c r="F75" s="202" t="n">
        <v>5.5e-05</v>
      </c>
      <c r="G75" s="191" t="n">
        <v>10181.82</v>
      </c>
      <c r="H75" s="212">
        <f>ROUND(F75*G75,2)</f>
        <v/>
      </c>
      <c r="J75" s="224" t="n"/>
      <c r="K75" s="224" t="n"/>
      <c r="L75" s="224" t="n"/>
      <c r="M75" s="224" t="n"/>
      <c r="N75" s="224" t="n"/>
    </row>
    <row r="76">
      <c r="A76" s="200" t="n">
        <v>61</v>
      </c>
      <c r="B76" s="205" t="n"/>
      <c r="C76" s="202" t="inlineStr">
        <is>
          <t>07.2.07.02-0001</t>
        </is>
      </c>
      <c r="D76" s="191" t="inlineStr">
        <is>
          <t>Кондуктор инвентарный металлический</t>
        </is>
      </c>
      <c r="E76" s="202" t="inlineStr">
        <is>
          <t>шт</t>
        </is>
      </c>
      <c r="F76" s="202" t="n">
        <v>0.000274</v>
      </c>
      <c r="G76" s="191" t="n">
        <v>328.47</v>
      </c>
      <c r="H76" s="212">
        <f>ROUND(F76*G76,2)</f>
        <v/>
      </c>
      <c r="J76" s="224" t="n"/>
      <c r="K76" s="224" t="n"/>
      <c r="L76" s="224" t="n"/>
      <c r="M76" s="224" t="n"/>
      <c r="N76" s="224" t="n"/>
    </row>
    <row r="77">
      <c r="A77" s="200" t="n">
        <v>62</v>
      </c>
      <c r="B77" s="205" t="n"/>
      <c r="C77" s="202" t="inlineStr">
        <is>
          <t>14.5.09.07-0030</t>
        </is>
      </c>
      <c r="D77" s="191" t="inlineStr">
        <is>
          <t>Растворитель Р-4</t>
        </is>
      </c>
      <c r="E77" s="202" t="inlineStr">
        <is>
          <t>кг</t>
        </is>
      </c>
      <c r="F77" s="202" t="n">
        <v>0.0042</v>
      </c>
      <c r="G77" s="191" t="n">
        <v>9.52</v>
      </c>
      <c r="H77" s="212">
        <f>ROUND(F77*G77,2)</f>
        <v/>
      </c>
      <c r="J77" s="224" t="n"/>
      <c r="K77" s="224" t="n"/>
      <c r="L77" s="224" t="n"/>
      <c r="M77" s="224" t="n"/>
      <c r="N77" s="224" t="n"/>
    </row>
    <row r="78">
      <c r="A78" s="200" t="n">
        <v>63</v>
      </c>
      <c r="B78" s="205" t="n"/>
      <c r="C78" s="202" t="inlineStr">
        <is>
          <t>01.7.20.08-0051</t>
        </is>
      </c>
      <c r="D78" s="191" t="inlineStr">
        <is>
          <t>Ветошь</t>
        </is>
      </c>
      <c r="E78" s="202" t="inlineStr">
        <is>
          <t>кг</t>
        </is>
      </c>
      <c r="F78" s="202" t="n">
        <v>0.01468</v>
      </c>
      <c r="G78" s="191" t="n">
        <v>2.04</v>
      </c>
      <c r="H78" s="212">
        <f>ROUND(F78*G78,2)</f>
        <v/>
      </c>
      <c r="J78" s="224" t="n"/>
      <c r="K78" s="224" t="n"/>
      <c r="L78" s="224" t="n"/>
      <c r="M78" s="224" t="n"/>
      <c r="N78" s="224" t="n"/>
    </row>
    <row r="79">
      <c r="A79" s="206" t="n"/>
      <c r="C79" s="207" t="n"/>
      <c r="D79" s="207" t="n"/>
      <c r="E79" s="207" t="n"/>
      <c r="F79" s="207" t="n"/>
      <c r="G79" s="207" t="n"/>
      <c r="H79" s="208" t="n"/>
    </row>
    <row r="80">
      <c r="B80" s="224" t="inlineStr">
        <is>
          <t>Составил ______________________        А.Р. Маркова</t>
        </is>
      </c>
    </row>
    <row r="81">
      <c r="B81" s="134" t="inlineStr">
        <is>
          <t xml:space="preserve">                         (подпись, инициалы, фамилия)</t>
        </is>
      </c>
    </row>
    <row r="83">
      <c r="B83" s="224" t="inlineStr">
        <is>
          <t>Проверил ______________________        А.В. Костянецкая</t>
        </is>
      </c>
    </row>
    <row r="84">
      <c r="B84" s="134" t="inlineStr">
        <is>
          <t xml:space="preserve">                        (подпись, инициалы, фамилия)</t>
        </is>
      </c>
    </row>
  </sheetData>
  <mergeCells count="14">
    <mergeCell ref="C9:C10"/>
    <mergeCell ref="B9:B10"/>
    <mergeCell ref="A12:E12"/>
    <mergeCell ref="A3:H3"/>
    <mergeCell ref="D9:D10"/>
    <mergeCell ref="A43:E43"/>
    <mergeCell ref="E9:E10"/>
    <mergeCell ref="F9:F10"/>
    <mergeCell ref="A9:A10"/>
    <mergeCell ref="A2:H2"/>
    <mergeCell ref="A25:E25"/>
    <mergeCell ref="A23:E23"/>
    <mergeCell ref="A5:H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222" min="1" max="1"/>
    <col width="36.28515625" customWidth="1" style="222" min="2" max="2"/>
    <col width="18.85546875" customWidth="1" style="222" min="3" max="3"/>
    <col width="18.28515625" customWidth="1" style="222" min="4" max="4"/>
    <col width="18.85546875" customWidth="1" style="222" min="5" max="5"/>
    <col width="11.42578125" customWidth="1" style="222" min="6" max="6"/>
    <col width="14.42578125" customWidth="1" style="222" min="7" max="7"/>
    <col width="13.5703125" customWidth="1" style="222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5" t="inlineStr">
        <is>
          <t>Ресурсная модель</t>
        </is>
      </c>
    </row>
    <row r="6">
      <c r="B6" s="166" t="n"/>
      <c r="C6" s="4" t="n"/>
      <c r="D6" s="4" t="n"/>
      <c r="E6" s="4" t="n"/>
    </row>
    <row r="7" ht="25.5" customHeight="1" s="222">
      <c r="B7" s="267" t="inlineStr">
        <is>
          <t>Наименование разрабатываемого показателя УНЦ — Опора под ВЧ-КС/ ВЧ-заградитель</t>
        </is>
      </c>
    </row>
    <row r="8">
      <c r="B8" s="268" t="inlineStr">
        <is>
          <t>Единица измерения  — 1 ед</t>
        </is>
      </c>
    </row>
    <row r="9">
      <c r="B9" s="166" t="n"/>
      <c r="C9" s="4" t="n"/>
      <c r="D9" s="4" t="n"/>
      <c r="E9" s="4" t="n"/>
    </row>
    <row r="10" ht="51" customHeight="1" s="222">
      <c r="B10" s="276" t="inlineStr">
        <is>
          <t>Наименование</t>
        </is>
      </c>
      <c r="C10" s="276" t="inlineStr">
        <is>
          <t>Сметная стоимость в ценах на 01.01.2023
 (руб.)</t>
        </is>
      </c>
      <c r="D10" s="276" t="inlineStr">
        <is>
          <t>Удельный вес, 
(в СМР)</t>
        </is>
      </c>
      <c r="E10" s="276" t="inlineStr">
        <is>
          <t>Удельный вес, % 
(от всего по РМ)</t>
        </is>
      </c>
    </row>
    <row r="11">
      <c r="B11" s="100" t="inlineStr">
        <is>
          <t>Оплата труда рабочих</t>
        </is>
      </c>
      <c r="C11" s="160">
        <f>'Прил.5 Расчет СМР и ОБ'!J14</f>
        <v/>
      </c>
      <c r="D11" s="161">
        <f>C11/$C$24</f>
        <v/>
      </c>
      <c r="E11" s="161">
        <f>C11/$C$40</f>
        <v/>
      </c>
    </row>
    <row r="12">
      <c r="B12" s="100" t="inlineStr">
        <is>
          <t>Эксплуатация машин основных</t>
        </is>
      </c>
      <c r="C12" s="160">
        <f>'Прил.5 Расчет СМР и ОБ'!J25</f>
        <v/>
      </c>
      <c r="D12" s="161">
        <f>C12/$C$24</f>
        <v/>
      </c>
      <c r="E12" s="161">
        <f>C12/$C$40</f>
        <v/>
      </c>
    </row>
    <row r="13">
      <c r="B13" s="100" t="inlineStr">
        <is>
          <t>Эксплуатация машин прочих</t>
        </is>
      </c>
      <c r="C13" s="160">
        <f>'Прил.5 Расчет СМР и ОБ'!J37</f>
        <v/>
      </c>
      <c r="D13" s="161">
        <f>C13/$C$24</f>
        <v/>
      </c>
      <c r="E13" s="161">
        <f>C13/$C$40</f>
        <v/>
      </c>
    </row>
    <row r="14">
      <c r="B14" s="100" t="inlineStr">
        <is>
          <t>ЭКСПЛУАТАЦИЯ МАШИН, ВСЕГО:</t>
        </is>
      </c>
      <c r="C14" s="160">
        <f>C13+C12</f>
        <v/>
      </c>
      <c r="D14" s="161">
        <f>C14/$C$24</f>
        <v/>
      </c>
      <c r="E14" s="161">
        <f>C14/$C$40</f>
        <v/>
      </c>
    </row>
    <row r="15">
      <c r="B15" s="100" t="inlineStr">
        <is>
          <t>в том числе зарплата машинистов</t>
        </is>
      </c>
      <c r="C15" s="160">
        <f>'Прил.5 Расчет СМР и ОБ'!J16</f>
        <v/>
      </c>
      <c r="D15" s="161">
        <f>C15/$C$24</f>
        <v/>
      </c>
      <c r="E15" s="161">
        <f>C15/$C$40</f>
        <v/>
      </c>
    </row>
    <row r="16">
      <c r="B16" s="100" t="inlineStr">
        <is>
          <t>Материалы основные</t>
        </is>
      </c>
      <c r="C16" s="160">
        <f>'Прил.5 Расчет СМР и ОБ'!J54</f>
        <v/>
      </c>
      <c r="D16" s="161">
        <f>C16/$C$24</f>
        <v/>
      </c>
      <c r="E16" s="161">
        <f>C16/$C$40</f>
        <v/>
      </c>
    </row>
    <row r="17">
      <c r="B17" s="100" t="inlineStr">
        <is>
          <t>Материалы прочие</t>
        </is>
      </c>
      <c r="C17" s="160">
        <f>'Прил.5 Расчет СМР и ОБ'!J83</f>
        <v/>
      </c>
      <c r="D17" s="161">
        <f>C17/$C$24</f>
        <v/>
      </c>
      <c r="E17" s="161">
        <f>C17/$C$40</f>
        <v/>
      </c>
      <c r="G17" s="347" t="n"/>
    </row>
    <row r="18">
      <c r="B18" s="100" t="inlineStr">
        <is>
          <t>МАТЕРИАЛЫ, ВСЕГО:</t>
        </is>
      </c>
      <c r="C18" s="160">
        <f>C17+C16</f>
        <v/>
      </c>
      <c r="D18" s="161">
        <f>C18/$C$24</f>
        <v/>
      </c>
      <c r="E18" s="161">
        <f>C18/$C$40</f>
        <v/>
      </c>
    </row>
    <row r="19">
      <c r="B19" s="100" t="inlineStr">
        <is>
          <t>ИТОГО</t>
        </is>
      </c>
      <c r="C19" s="160">
        <f>C18+C14+C11</f>
        <v/>
      </c>
      <c r="D19" s="161" t="n"/>
      <c r="E19" s="100" t="n"/>
    </row>
    <row r="20">
      <c r="B20" s="100" t="inlineStr">
        <is>
          <t>Сметная прибыль, руб.</t>
        </is>
      </c>
      <c r="C20" s="160">
        <f>ROUND(C21*(C11+C15),2)</f>
        <v/>
      </c>
      <c r="D20" s="161">
        <f>C20/$C$24</f>
        <v/>
      </c>
      <c r="E20" s="161">
        <f>C20/$C$40</f>
        <v/>
      </c>
    </row>
    <row r="21">
      <c r="B21" s="100" t="inlineStr">
        <is>
          <t>Сметная прибыль, %</t>
        </is>
      </c>
      <c r="C21" s="164">
        <f>'Прил.5 Расчет СМР и ОБ'!D87</f>
        <v/>
      </c>
      <c r="D21" s="161" t="n"/>
      <c r="E21" s="100" t="n"/>
    </row>
    <row r="22">
      <c r="B22" s="100" t="inlineStr">
        <is>
          <t>Накладные расходы, руб.</t>
        </is>
      </c>
      <c r="C22" s="160">
        <f>ROUND(C23*(C11+C15),2)</f>
        <v/>
      </c>
      <c r="D22" s="161">
        <f>C22/$C$24</f>
        <v/>
      </c>
      <c r="E22" s="161">
        <f>C22/$C$40</f>
        <v/>
      </c>
    </row>
    <row r="23">
      <c r="B23" s="100" t="inlineStr">
        <is>
          <t>Накладные расходы, %</t>
        </is>
      </c>
      <c r="C23" s="164">
        <f>'Прил.5 Расчет СМР и ОБ'!D86</f>
        <v/>
      </c>
      <c r="D23" s="161" t="n"/>
      <c r="E23" s="100" t="n"/>
    </row>
    <row r="24">
      <c r="B24" s="100" t="inlineStr">
        <is>
          <t>ВСЕГО СМР с НР и СП</t>
        </is>
      </c>
      <c r="C24" s="160">
        <f>C19+C20+C22</f>
        <v/>
      </c>
      <c r="D24" s="161">
        <f>C24/$C$24</f>
        <v/>
      </c>
      <c r="E24" s="161">
        <f>C24/$C$40</f>
        <v/>
      </c>
    </row>
    <row r="25" ht="25.5" customHeight="1" s="222">
      <c r="B25" s="100" t="inlineStr">
        <is>
          <t>ВСЕГО стоимость оборудования, в том числе</t>
        </is>
      </c>
      <c r="C25" s="160">
        <f>'Прил.5 Расчет СМР и ОБ'!J43</f>
        <v/>
      </c>
      <c r="D25" s="161" t="n"/>
      <c r="E25" s="161">
        <f>C25/$C$40</f>
        <v/>
      </c>
    </row>
    <row r="26" ht="25.5" customHeight="1" s="222">
      <c r="B26" s="100" t="inlineStr">
        <is>
          <t>стоимость оборудования технологического</t>
        </is>
      </c>
      <c r="C26" s="160">
        <f>'Прил.5 Расчет СМР и ОБ'!J44</f>
        <v/>
      </c>
      <c r="D26" s="161" t="n"/>
      <c r="E26" s="161">
        <f>C26/$C$40</f>
        <v/>
      </c>
    </row>
    <row r="27">
      <c r="B27" s="100" t="inlineStr">
        <is>
          <t>ИТОГО (СМР + ОБОРУДОВАНИЕ)</t>
        </is>
      </c>
      <c r="C27" s="163">
        <f>C24+C25</f>
        <v/>
      </c>
      <c r="D27" s="161" t="n"/>
      <c r="E27" s="161">
        <f>C27/$C$40</f>
        <v/>
      </c>
    </row>
    <row r="28" ht="33" customHeight="1" s="222">
      <c r="B28" s="100" t="inlineStr">
        <is>
          <t>ПРОЧ. ЗАТР., УЧТЕННЫЕ ПОКАЗАТЕЛЕМ,  в том числе</t>
        </is>
      </c>
      <c r="C28" s="100" t="n"/>
      <c r="D28" s="100" t="n"/>
      <c r="E28" s="100" t="n"/>
      <c r="F28" s="162" t="n"/>
    </row>
    <row r="29" ht="25.5" customHeight="1" s="222">
      <c r="B29" s="100" t="inlineStr">
        <is>
          <t>Временные здания и сооружения - 3,3%</t>
        </is>
      </c>
      <c r="C29" s="163">
        <f>ROUND(C24*3.3%,2)</f>
        <v/>
      </c>
      <c r="D29" s="100" t="n"/>
      <c r="E29" s="161">
        <f>C29/$C$40</f>
        <v/>
      </c>
    </row>
    <row r="30" ht="38.25" customHeight="1" s="222">
      <c r="B30" s="100" t="inlineStr">
        <is>
          <t>Дополнительные затраты при производстве строительно-монтажных работ в зимнее время - 1%</t>
        </is>
      </c>
      <c r="C30" s="163">
        <f>ROUND((C24+C29)*1%,2)</f>
        <v/>
      </c>
      <c r="D30" s="100" t="n"/>
      <c r="E30" s="161">
        <f>C30/$C$40</f>
        <v/>
      </c>
      <c r="F30" s="162" t="n"/>
    </row>
    <row r="31">
      <c r="B31" s="100" t="inlineStr">
        <is>
          <t>Пусконаладочные работы</t>
        </is>
      </c>
      <c r="C31" s="221" t="n">
        <v>0</v>
      </c>
      <c r="D31" s="100" t="n"/>
      <c r="E31" s="161">
        <f>C31/$C$40</f>
        <v/>
      </c>
    </row>
    <row r="32" ht="25.5" customHeight="1" s="222">
      <c r="B32" s="100" t="inlineStr">
        <is>
          <t>Затраты по перевозке работников к месту работы и обратно</t>
        </is>
      </c>
      <c r="C32" s="163">
        <f>ROUND($C$27*0,2)</f>
        <v/>
      </c>
      <c r="D32" s="100" t="n"/>
      <c r="E32" s="161">
        <f>C32/$C$40</f>
        <v/>
      </c>
    </row>
    <row r="33" ht="25.5" customHeight="1" s="222">
      <c r="B33" s="100" t="inlineStr">
        <is>
          <t>Затраты, связанные с осуществлением работ вахтовым методом</t>
        </is>
      </c>
      <c r="C33" s="163">
        <f>ROUND($C$27*0,2)</f>
        <v/>
      </c>
      <c r="D33" s="100" t="n"/>
      <c r="E33" s="161">
        <f>C33/$C$40</f>
        <v/>
      </c>
    </row>
    <row r="34" ht="51" customHeight="1" s="222">
      <c r="B34" s="10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3">
        <f>ROUND($C$27*0,2)</f>
        <v/>
      </c>
      <c r="D34" s="100" t="n"/>
      <c r="E34" s="161">
        <f>C34/$C$40</f>
        <v/>
      </c>
      <c r="H34" s="167" t="n"/>
    </row>
    <row r="35" ht="76.5" customHeight="1" s="222">
      <c r="B35" s="10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3">
        <f>ROUND($C$27*0,2)</f>
        <v/>
      </c>
      <c r="D35" s="100" t="n"/>
      <c r="E35" s="215">
        <f>C35/$C$40</f>
        <v/>
      </c>
    </row>
    <row r="36" ht="25.5" customHeight="1" s="222">
      <c r="B36" s="100" t="inlineStr">
        <is>
          <t>Строительный контроль и содержание службы заказчика - 2,14%</t>
        </is>
      </c>
      <c r="C36" s="163">
        <f>ROUND((C27+C32+C33+C34+C35+C29+C31+C30)*2.14%,2)</f>
        <v/>
      </c>
      <c r="D36" s="100" t="n"/>
      <c r="E36" s="215">
        <f>C36/$C$40</f>
        <v/>
      </c>
      <c r="G36" s="217" t="n"/>
      <c r="L36" s="162" t="n"/>
    </row>
    <row r="37">
      <c r="B37" s="100" t="inlineStr">
        <is>
          <t>Авторский надзор - 0,2%</t>
        </is>
      </c>
      <c r="C37" s="163">
        <f>ROUND((C27+C32+C33+C34+C35+C29+C31+C30)*0.2%,2)</f>
        <v/>
      </c>
      <c r="D37" s="100" t="n"/>
      <c r="E37" s="215">
        <f>C37/$C$40</f>
        <v/>
      </c>
      <c r="G37" s="217" t="n"/>
      <c r="L37" s="162" t="n"/>
    </row>
    <row r="38" ht="38.25" customHeight="1" s="222">
      <c r="B38" s="100" t="inlineStr">
        <is>
          <t>ИТОГО (СМР+ОБОРУДОВАНИЕ+ПРОЧ. ЗАТР., УЧТЕННЫЕ ПОКАЗАТЕЛЕМ)</t>
        </is>
      </c>
      <c r="C38" s="160">
        <f>C27+C32+C33+C34+C35+C29+C31+C30+C36+C37</f>
        <v/>
      </c>
      <c r="D38" s="100" t="n"/>
      <c r="E38" s="215">
        <f>C38/$C$40</f>
        <v/>
      </c>
    </row>
    <row r="39" ht="13.5" customHeight="1" s="222">
      <c r="B39" s="100" t="inlineStr">
        <is>
          <t>Непредвиденные расходы</t>
        </is>
      </c>
      <c r="C39" s="160">
        <f>ROUND(C38*3%,2)</f>
        <v/>
      </c>
      <c r="D39" s="100" t="n"/>
      <c r="E39" s="215">
        <f>C39/$C$38</f>
        <v/>
      </c>
    </row>
    <row r="40">
      <c r="B40" s="100" t="inlineStr">
        <is>
          <t>ВСЕГО:</t>
        </is>
      </c>
      <c r="C40" s="160">
        <f>C39+C38</f>
        <v/>
      </c>
      <c r="D40" s="100" t="n"/>
      <c r="E40" s="215">
        <f>C40/$C$40</f>
        <v/>
      </c>
    </row>
    <row r="41">
      <c r="B41" s="100" t="inlineStr">
        <is>
          <t>ИТОГО ПОКАЗАТЕЛЬ НА ЕД. ИЗМ.</t>
        </is>
      </c>
      <c r="C41" s="160">
        <f>C40/'Прил.5 Расчет СМР и ОБ'!E90</f>
        <v/>
      </c>
      <c r="D41" s="100" t="n"/>
      <c r="E41" s="216" t="n"/>
    </row>
    <row r="42">
      <c r="B42" s="159" t="n"/>
      <c r="C42" s="4" t="n"/>
      <c r="D42" s="4" t="n"/>
      <c r="E42" s="4" t="n"/>
    </row>
    <row r="43">
      <c r="B43" s="159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9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9" t="n"/>
      <c r="C45" s="4" t="n"/>
      <c r="D45" s="4" t="n"/>
      <c r="E45" s="4" t="n"/>
    </row>
    <row r="46">
      <c r="B46" s="159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6"/>
  <sheetViews>
    <sheetView view="pageBreakPreview" topLeftCell="A70" zoomScale="85" workbookViewId="0">
      <selection activeCell="C97" sqref="C97"/>
    </sheetView>
  </sheetViews>
  <sheetFormatPr baseColWidth="8" defaultColWidth="9.140625" defaultRowHeight="15" outlineLevelRow="1"/>
  <cols>
    <col width="5.7109375" customWidth="1" style="12" min="1" max="1"/>
    <col width="22.5703125" customWidth="1" style="181" min="2" max="2"/>
    <col width="39.140625" customWidth="1" style="183" min="3" max="3"/>
    <col width="10.7109375" customWidth="1" style="181" min="4" max="4"/>
    <col width="12.7109375" customWidth="1" style="181" min="5" max="5"/>
    <col width="15" customWidth="1" style="185" min="6" max="6"/>
    <col width="14.7109375" customWidth="1" style="185" min="7" max="7"/>
    <col width="12.7109375" customWidth="1" style="185" min="8" max="8"/>
    <col width="13.85546875" customWidth="1" style="185" min="9" max="9"/>
    <col width="17.5703125" customWidth="1" style="185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6.5" customHeight="1" s="222">
      <c r="H2" s="284" t="inlineStr">
        <is>
          <t>Приложение №5</t>
        </is>
      </c>
      <c r="M2" s="12" t="n"/>
      <c r="N2" s="12" t="n"/>
    </row>
    <row r="3" ht="12.75" customFormat="1" customHeight="1" s="4">
      <c r="A3" s="245" t="inlineStr">
        <is>
          <t>Расчет стоимости СМР и оборудования</t>
        </is>
      </c>
    </row>
    <row r="4" ht="12.75" customFormat="1" customHeight="1" s="4">
      <c r="A4" s="245" t="n"/>
      <c r="B4" s="245" t="n"/>
      <c r="C4" s="182" t="n"/>
      <c r="D4" s="245" t="n"/>
      <c r="E4" s="245" t="n"/>
      <c r="F4" s="245" t="n"/>
      <c r="G4" s="245" t="n"/>
      <c r="H4" s="245" t="n"/>
      <c r="I4" s="245" t="n"/>
      <c r="J4" s="245" t="n"/>
    </row>
    <row r="5" ht="26.45" customFormat="1" customHeight="1" s="4">
      <c r="A5" s="127" t="inlineStr">
        <is>
          <t>Наименование разрабатываемого показателя УНЦ</t>
        </is>
      </c>
      <c r="B5" s="288" t="n"/>
      <c r="C5" s="248" t="n"/>
      <c r="D5" s="288" t="inlineStr">
        <is>
          <t>Опора под ВЧ-КС/ ВЧ-заградитель</t>
        </is>
      </c>
    </row>
    <row r="6" ht="12.75" customFormat="1" customHeight="1" s="4">
      <c r="A6" s="248" t="inlineStr">
        <is>
          <t>Единица измерения  — 1 ед</t>
        </is>
      </c>
      <c r="I6" s="267" t="n"/>
      <c r="J6" s="267" t="n"/>
    </row>
    <row r="7" ht="12.75" customFormat="1" customHeight="1" s="4">
      <c r="A7" s="248" t="n"/>
      <c r="B7" s="267" t="n"/>
      <c r="C7" s="267" t="n"/>
      <c r="D7" s="267" t="n"/>
      <c r="E7" s="267" t="n"/>
      <c r="F7" s="267" t="n"/>
      <c r="G7" s="267" t="n"/>
      <c r="H7" s="267" t="n"/>
      <c r="I7" s="267" t="n"/>
      <c r="J7" s="267" t="n"/>
    </row>
    <row r="8" ht="13.15" customFormat="1" customHeight="1" s="4">
      <c r="B8" s="1" t="n"/>
      <c r="C8" s="268" t="n"/>
      <c r="D8" s="1" t="n"/>
      <c r="E8" s="1" t="n"/>
      <c r="F8" s="159" t="n"/>
      <c r="G8" s="159" t="n"/>
      <c r="H8" s="159" t="n"/>
      <c r="I8" s="159" t="n"/>
      <c r="J8" s="159" t="n"/>
    </row>
    <row r="9" ht="27" customHeight="1" s="222">
      <c r="A9" s="276" t="inlineStr">
        <is>
          <t>№ пп.</t>
        </is>
      </c>
      <c r="B9" s="276" t="inlineStr">
        <is>
          <t>Код ресурса</t>
        </is>
      </c>
      <c r="C9" s="276" t="inlineStr">
        <is>
          <t>Наименование</t>
        </is>
      </c>
      <c r="D9" s="276" t="inlineStr">
        <is>
          <t>Ед. изм.</t>
        </is>
      </c>
      <c r="E9" s="276" t="inlineStr">
        <is>
          <t>Кол-во единиц по проектным данным</t>
        </is>
      </c>
      <c r="F9" s="276" t="inlineStr">
        <is>
          <t>Сметная стоимость в ценах на 01.01.2000 (руб.)</t>
        </is>
      </c>
      <c r="G9" s="341" t="n"/>
      <c r="H9" s="276" t="inlineStr">
        <is>
          <t>Удельный вес, %</t>
        </is>
      </c>
      <c r="I9" s="276" t="inlineStr">
        <is>
          <t>Сметная стоимость в ценах на 01.01.2023 (руб.)</t>
        </is>
      </c>
      <c r="J9" s="341" t="n"/>
      <c r="M9" s="12" t="n"/>
      <c r="N9" s="12" t="n"/>
    </row>
    <row r="10" ht="28.5" customHeight="1" s="222">
      <c r="A10" s="343" t="n"/>
      <c r="B10" s="343" t="n"/>
      <c r="C10" s="343" t="n"/>
      <c r="D10" s="343" t="n"/>
      <c r="E10" s="343" t="n"/>
      <c r="F10" s="276" t="inlineStr">
        <is>
          <t>на ед. изм.</t>
        </is>
      </c>
      <c r="G10" s="276" t="inlineStr">
        <is>
          <t>общая</t>
        </is>
      </c>
      <c r="H10" s="343" t="n"/>
      <c r="I10" s="276" t="inlineStr">
        <is>
          <t>на ед. изм.</t>
        </is>
      </c>
      <c r="J10" s="276" t="inlineStr">
        <is>
          <t>общая</t>
        </is>
      </c>
      <c r="M10" s="12" t="n"/>
      <c r="N10" s="12" t="n"/>
    </row>
    <row r="11">
      <c r="A11" s="276" t="n">
        <v>1</v>
      </c>
      <c r="B11" s="276" t="n">
        <v>2</v>
      </c>
      <c r="C11" s="275" t="n">
        <v>3</v>
      </c>
      <c r="D11" s="276" t="n">
        <v>4</v>
      </c>
      <c r="E11" s="276" t="n">
        <v>5</v>
      </c>
      <c r="F11" s="276" t="n">
        <v>6</v>
      </c>
      <c r="G11" s="276" t="n">
        <v>7</v>
      </c>
      <c r="H11" s="276" t="n">
        <v>8</v>
      </c>
      <c r="I11" s="270" t="n">
        <v>9</v>
      </c>
      <c r="J11" s="270" t="n">
        <v>10</v>
      </c>
      <c r="M11" s="12" t="n"/>
      <c r="N11" s="12" t="n"/>
    </row>
    <row r="12">
      <c r="A12" s="276" t="n"/>
      <c r="B12" s="274" t="inlineStr">
        <is>
          <t>Затраты труда рабочих-строителей</t>
        </is>
      </c>
      <c r="C12" s="340" t="n"/>
      <c r="D12" s="340" t="n"/>
      <c r="E12" s="340" t="n"/>
      <c r="F12" s="340" t="n"/>
      <c r="G12" s="340" t="n"/>
      <c r="H12" s="341" t="n"/>
      <c r="I12" s="186" t="n"/>
      <c r="J12" s="186" t="n"/>
    </row>
    <row r="13" ht="25.5" customHeight="1" s="222">
      <c r="A13" s="276" t="n">
        <v>1</v>
      </c>
      <c r="B13" s="126" t="inlineStr">
        <is>
          <t>1-3-2</t>
        </is>
      </c>
      <c r="C13" s="275" t="inlineStr">
        <is>
          <t>Затраты труда рабочих-строителей среднего разряда (3,2)</t>
        </is>
      </c>
      <c r="D13" s="276" t="inlineStr">
        <is>
          <t>чел.-ч.</t>
        </is>
      </c>
      <c r="E13" s="348">
        <f>G13/F13</f>
        <v/>
      </c>
      <c r="F13" s="27" t="n">
        <v>8.74</v>
      </c>
      <c r="G13" s="27">
        <f>Прил.3!H12</f>
        <v/>
      </c>
      <c r="H13" s="119">
        <f>G13/G14</f>
        <v/>
      </c>
      <c r="I13" s="27">
        <f>ФОТр.тек.!E13</f>
        <v/>
      </c>
      <c r="J13" s="27">
        <f>ROUND(I13*E13,2)</f>
        <v/>
      </c>
    </row>
    <row r="14" ht="25.5" customFormat="1" customHeight="1" s="12">
      <c r="A14" s="276" t="n"/>
      <c r="B14" s="276" t="n"/>
      <c r="C14" s="274" t="inlineStr">
        <is>
          <t>Итого по разделу "Затраты труда рабочих-строителей"</t>
        </is>
      </c>
      <c r="D14" s="276" t="inlineStr">
        <is>
          <t>чел.-ч.</t>
        </is>
      </c>
      <c r="E14" s="348">
        <f>SUM(E13:E13)</f>
        <v/>
      </c>
      <c r="F14" s="27" t="n"/>
      <c r="G14" s="27">
        <f>SUM(G13:G13)</f>
        <v/>
      </c>
      <c r="H14" s="279" t="n">
        <v>1</v>
      </c>
      <c r="I14" s="186" t="n"/>
      <c r="J14" s="27">
        <f>SUM(J13:J13)</f>
        <v/>
      </c>
    </row>
    <row r="15" ht="14.25" customFormat="1" customHeight="1" s="12">
      <c r="A15" s="276" t="n"/>
      <c r="B15" s="275" t="inlineStr">
        <is>
          <t>Затраты труда машинистов</t>
        </is>
      </c>
      <c r="C15" s="340" t="n"/>
      <c r="D15" s="340" t="n"/>
      <c r="E15" s="340" t="n"/>
      <c r="F15" s="340" t="n"/>
      <c r="G15" s="340" t="n"/>
      <c r="H15" s="341" t="n"/>
      <c r="I15" s="186" t="n"/>
      <c r="J15" s="186" t="n"/>
    </row>
    <row r="16" ht="14.25" customFormat="1" customHeight="1" s="12">
      <c r="A16" s="276" t="n">
        <v>2</v>
      </c>
      <c r="B16" s="276" t="n">
        <v>2</v>
      </c>
      <c r="C16" s="275" t="inlineStr">
        <is>
          <t>Затраты труда машинистов</t>
        </is>
      </c>
      <c r="D16" s="276" t="inlineStr">
        <is>
          <t>чел.-ч.</t>
        </is>
      </c>
      <c r="E16" s="348" t="n">
        <v>3.767</v>
      </c>
      <c r="F16" s="27">
        <f>G16/E16</f>
        <v/>
      </c>
      <c r="G16" s="27">
        <f>Прил.3!H23</f>
        <v/>
      </c>
      <c r="H16" s="279" t="n">
        <v>1</v>
      </c>
      <c r="I16" s="27">
        <f>ROUND(F16*Прил.10!D11,2)</f>
        <v/>
      </c>
      <c r="J16" s="27">
        <f>ROUND(I16*E16,2)</f>
        <v/>
      </c>
    </row>
    <row r="17" ht="14.25" customFormat="1" customHeight="1" s="12">
      <c r="A17" s="276" t="n"/>
      <c r="B17" s="274" t="inlineStr">
        <is>
          <t>Машины и механизмы</t>
        </is>
      </c>
      <c r="C17" s="340" t="n"/>
      <c r="D17" s="340" t="n"/>
      <c r="E17" s="340" t="n"/>
      <c r="F17" s="340" t="n"/>
      <c r="G17" s="340" t="n"/>
      <c r="H17" s="341" t="n"/>
      <c r="I17" s="186" t="n"/>
      <c r="J17" s="186" t="n"/>
    </row>
    <row r="18" ht="14.25" customFormat="1" customHeight="1" s="12">
      <c r="A18" s="276" t="n"/>
      <c r="B18" s="269" t="inlineStr">
        <is>
          <t>Основные машины и механизмы</t>
        </is>
      </c>
      <c r="C18" s="349" t="n"/>
      <c r="D18" s="349" t="n"/>
      <c r="E18" s="349" t="n"/>
      <c r="F18" s="349" t="n"/>
      <c r="G18" s="349" t="n"/>
      <c r="H18" s="350" t="n"/>
      <c r="I18" s="187" t="n"/>
      <c r="J18" s="187" t="n"/>
    </row>
    <row r="19" ht="25.5" customFormat="1" customHeight="1" s="12">
      <c r="A19" s="285" t="n">
        <v>3</v>
      </c>
      <c r="B19" s="177" t="inlineStr">
        <is>
          <t>91.14.03-002</t>
        </is>
      </c>
      <c r="C19" s="178" t="inlineStr">
        <is>
          <t>Автомобили-самосвалы, грузоподъемность до 10 т</t>
        </is>
      </c>
      <c r="D19" s="177" t="inlineStr">
        <is>
          <t>маш.-ч.</t>
        </is>
      </c>
      <c r="E19" s="177" t="n">
        <v>2.05</v>
      </c>
      <c r="F19" s="178" t="n">
        <v>87.31999999999999</v>
      </c>
      <c r="G19" s="278">
        <f>ROUND(E19*F19,2)</f>
        <v/>
      </c>
      <c r="H19" s="119">
        <f>G19/$G$38</f>
        <v/>
      </c>
      <c r="I19" s="179">
        <f>ROUND(F19*Прил.10!$D$12,2)</f>
        <v/>
      </c>
      <c r="J19" s="179">
        <f>ROUND(I19*E19,2)</f>
        <v/>
      </c>
    </row>
    <row r="20" ht="25.5" customFormat="1" customHeight="1" s="12">
      <c r="A20" s="285" t="n">
        <v>4</v>
      </c>
      <c r="B20" s="177" t="inlineStr">
        <is>
          <t>91.01.05-085</t>
        </is>
      </c>
      <c r="C20" s="178" t="inlineStr">
        <is>
          <t>Экскаваторы одноковшовые дизельные на гусеничном ходу, емкость ковша 0,5 м3</t>
        </is>
      </c>
      <c r="D20" s="177" t="inlineStr">
        <is>
          <t>маш.-ч.</t>
        </is>
      </c>
      <c r="E20" s="177" t="n">
        <v>1.2162</v>
      </c>
      <c r="F20" s="178" t="n">
        <v>100</v>
      </c>
      <c r="G20" s="278">
        <f>ROUND(E20*F20,2)</f>
        <v/>
      </c>
      <c r="H20" s="119">
        <f>G20/$G$38</f>
        <v/>
      </c>
      <c r="I20" s="179">
        <f>ROUND(F20*Прил.10!$D$12,2)</f>
        <v/>
      </c>
      <c r="J20" s="179">
        <f>ROUND(I20*E20,2)</f>
        <v/>
      </c>
      <c r="L20" s="24" t="n"/>
    </row>
    <row r="21" ht="51" customFormat="1" customHeight="1" s="12">
      <c r="A21" s="285" t="n">
        <v>5</v>
      </c>
      <c r="B21" s="177" t="inlineStr">
        <is>
          <t>91.18.01-007</t>
        </is>
      </c>
      <c r="C21" s="1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177" t="inlineStr">
        <is>
          <t>маш.-ч.</t>
        </is>
      </c>
      <c r="E21" s="177" t="n">
        <v>0.679104</v>
      </c>
      <c r="F21" s="178" t="n">
        <v>90</v>
      </c>
      <c r="G21" s="278">
        <f>ROUND(E21*F21,2)</f>
        <v/>
      </c>
      <c r="H21" s="119">
        <f>G21/$G$38</f>
        <v/>
      </c>
      <c r="I21" s="179">
        <f>ROUND(F21*Прил.10!$D$12,2)</f>
        <v/>
      </c>
      <c r="J21" s="179">
        <f>ROUND(I21*E21,2)</f>
        <v/>
      </c>
    </row>
    <row r="22" ht="25.5" customFormat="1" customHeight="1" s="12">
      <c r="A22" s="285" t="n">
        <v>6</v>
      </c>
      <c r="B22" s="177" t="inlineStr">
        <is>
          <t>91.05.06-012</t>
        </is>
      </c>
      <c r="C22" s="178" t="inlineStr">
        <is>
          <t>Краны на гусеничном ходу, грузоподъемность до 16 т</t>
        </is>
      </c>
      <c r="D22" s="177" t="inlineStr">
        <is>
          <t>маш.-ч.</t>
        </is>
      </c>
      <c r="E22" s="177" t="n">
        <v>0.615328</v>
      </c>
      <c r="F22" s="178" t="n">
        <v>96.89</v>
      </c>
      <c r="G22" s="278">
        <f>ROUND(E22*F22,2)</f>
        <v/>
      </c>
      <c r="H22" s="119">
        <f>G22/$G$38</f>
        <v/>
      </c>
      <c r="I22" s="179">
        <f>ROUND(F22*Прил.10!$D$12,2)</f>
        <v/>
      </c>
      <c r="J22" s="179">
        <f>ROUND(I22*E22,2)</f>
        <v/>
      </c>
    </row>
    <row r="23" ht="25.5" customFormat="1" customHeight="1" s="12">
      <c r="A23" s="285" t="n">
        <v>7</v>
      </c>
      <c r="B23" s="177" t="inlineStr">
        <is>
          <t>91.05.05-015</t>
        </is>
      </c>
      <c r="C23" s="178" t="inlineStr">
        <is>
          <t>Краны на автомобильном ходу, грузоподъемность 16 т</t>
        </is>
      </c>
      <c r="D23" s="177" t="inlineStr">
        <is>
          <t>маш.-ч.</t>
        </is>
      </c>
      <c r="E23" s="177" t="n">
        <v>0.416951</v>
      </c>
      <c r="F23" s="178" t="n">
        <v>115.41</v>
      </c>
      <c r="G23" s="278">
        <f>ROUND(E23*F23,2)</f>
        <v/>
      </c>
      <c r="H23" s="119">
        <f>G23/$G$38</f>
        <v/>
      </c>
      <c r="I23" s="179">
        <f>ROUND(F23*Прил.10!$D$12,2)</f>
        <v/>
      </c>
      <c r="J23" s="179">
        <f>ROUND(I23*E23,2)</f>
        <v/>
      </c>
    </row>
    <row r="24" ht="25.5" customFormat="1" customHeight="1" s="12">
      <c r="A24" s="285" t="n">
        <v>8</v>
      </c>
      <c r="B24" s="177" t="inlineStr">
        <is>
          <t>91.14.02-001</t>
        </is>
      </c>
      <c r="C24" s="178" t="inlineStr">
        <is>
          <t>Автомобили бортовые, грузоподъемность до 5 т</t>
        </is>
      </c>
      <c r="D24" s="177" t="inlineStr">
        <is>
          <t>маш.-ч.</t>
        </is>
      </c>
      <c r="E24" s="177" t="n">
        <v>0.466864</v>
      </c>
      <c r="F24" s="178" t="n">
        <v>65.69</v>
      </c>
      <c r="G24" s="278">
        <f>ROUND(E24*F24,2)</f>
        <v/>
      </c>
      <c r="H24" s="119">
        <f>G24/$G$38</f>
        <v/>
      </c>
      <c r="I24" s="179">
        <f>ROUND(F24*Прил.10!$D$12,2)</f>
        <v/>
      </c>
      <c r="J24" s="179">
        <f>ROUND(I24*E24,2)</f>
        <v/>
      </c>
    </row>
    <row r="25" ht="14.25" customFormat="1" customHeight="1" s="12">
      <c r="A25" s="287" t="n"/>
      <c r="B25" s="287" t="n"/>
      <c r="C25" s="131" t="inlineStr">
        <is>
          <t>Итого основные машины и механизмы</t>
        </is>
      </c>
      <c r="D25" s="287" t="n"/>
      <c r="E25" s="351" t="n"/>
      <c r="F25" s="122" t="n"/>
      <c r="G25" s="122">
        <f>SUM(G19:G24)</f>
        <v/>
      </c>
      <c r="H25" s="120">
        <f>G25/G38</f>
        <v/>
      </c>
      <c r="I25" s="121" t="n"/>
      <c r="J25" s="122">
        <f>SUM(J19:J24)</f>
        <v/>
      </c>
    </row>
    <row r="26" outlineLevel="1" ht="25.5" customFormat="1" customHeight="1" s="12">
      <c r="A26" s="276" t="n">
        <v>9</v>
      </c>
      <c r="B26" s="202" t="inlineStr">
        <is>
          <t>91.17.04-233</t>
        </is>
      </c>
      <c r="C26" s="191" t="inlineStr">
        <is>
          <t>Установки для сварки ручной дуговой (постоянного тока)</t>
        </is>
      </c>
      <c r="D26" s="202" t="inlineStr">
        <is>
          <t>маш.-ч.</t>
        </is>
      </c>
      <c r="E26" s="202" t="n">
        <v>3.225806</v>
      </c>
      <c r="F26" s="191" t="n">
        <v>8.1</v>
      </c>
      <c r="G26" s="27">
        <f>ROUND(E26*F26,2)</f>
        <v/>
      </c>
      <c r="H26" s="119">
        <f>G26/$G$38</f>
        <v/>
      </c>
      <c r="I26" s="27">
        <f>ROUND(F26*Прил.10!$D$12,2)</f>
        <v/>
      </c>
      <c r="J26" s="27">
        <f>ROUND(I26*E26,2)</f>
        <v/>
      </c>
    </row>
    <row r="27" outlineLevel="1" ht="38.25" customFormat="1" customHeight="1" s="12">
      <c r="A27" s="276" t="n">
        <v>10</v>
      </c>
      <c r="B27" s="202" t="inlineStr">
        <is>
          <t>91.06.05-057</t>
        </is>
      </c>
      <c r="C27" s="191" t="inlineStr">
        <is>
          <t>Погрузчики одноковшовые универсальные фронтальные пневмоколесные, грузоподъемность 3 т</t>
        </is>
      </c>
      <c r="D27" s="202" t="inlineStr">
        <is>
          <t>маш.-ч.</t>
        </is>
      </c>
      <c r="E27" s="202" t="n">
        <v>0.175</v>
      </c>
      <c r="F27" s="191" t="n">
        <v>90.45999999999999</v>
      </c>
      <c r="G27" s="27">
        <f>ROUND(E27*F27,2)</f>
        <v/>
      </c>
      <c r="H27" s="119">
        <f>G27/$G$38</f>
        <v/>
      </c>
      <c r="I27" s="27">
        <f>ROUND(F27*Прил.10!$D$12,2)</f>
        <v/>
      </c>
      <c r="J27" s="27">
        <f>ROUND(I27*E27,2)</f>
        <v/>
      </c>
    </row>
    <row r="28" outlineLevel="1" ht="14.25" customFormat="1" customHeight="1" s="12">
      <c r="A28" s="276" t="n">
        <v>11</v>
      </c>
      <c r="B28" s="202" t="inlineStr">
        <is>
          <t>91.05.01-017</t>
        </is>
      </c>
      <c r="C28" s="191" t="inlineStr">
        <is>
          <t>Краны башенные, грузоподъемность 8 т</t>
        </is>
      </c>
      <c r="D28" s="202" t="inlineStr">
        <is>
          <t>маш.-ч.</t>
        </is>
      </c>
      <c r="E28" s="202" t="n">
        <v>0.108</v>
      </c>
      <c r="F28" s="191" t="n">
        <v>86.39</v>
      </c>
      <c r="G28" s="27">
        <f>ROUND(E28*F28,2)</f>
        <v/>
      </c>
      <c r="H28" s="119">
        <f>G28/$G$38</f>
        <v/>
      </c>
      <c r="I28" s="27">
        <f>ROUND(F28*Прил.10!$D$12,2)</f>
        <v/>
      </c>
      <c r="J28" s="27">
        <f>ROUND(I28*E28,2)</f>
        <v/>
      </c>
    </row>
    <row r="29" outlineLevel="1" ht="14.25" customFormat="1" customHeight="1" s="12">
      <c r="A29" s="276" t="n">
        <v>12</v>
      </c>
      <c r="B29" s="202" t="inlineStr">
        <is>
          <t>91.08.04-021</t>
        </is>
      </c>
      <c r="C29" s="191" t="inlineStr">
        <is>
          <t>Котлы битумные передвижные 400 л</t>
        </is>
      </c>
      <c r="D29" s="202" t="inlineStr">
        <is>
          <t>маш.-ч.</t>
        </is>
      </c>
      <c r="E29" s="202" t="n">
        <v>0.28626</v>
      </c>
      <c r="F29" s="191" t="n">
        <v>30.01</v>
      </c>
      <c r="G29" s="27">
        <f>ROUND(E29*F29,2)</f>
        <v/>
      </c>
      <c r="H29" s="119">
        <f>G29/$G$38</f>
        <v/>
      </c>
      <c r="I29" s="27">
        <f>ROUND(F29*Прил.10!$D$12,2)</f>
        <v/>
      </c>
      <c r="J29" s="27">
        <f>ROUND(I29*E29,2)</f>
        <v/>
      </c>
    </row>
    <row r="30" outlineLevel="1" ht="14.25" customFormat="1" customHeight="1" s="12">
      <c r="A30" s="276" t="n">
        <v>13</v>
      </c>
      <c r="B30" s="202" t="inlineStr">
        <is>
          <t>91.01.01-035</t>
        </is>
      </c>
      <c r="C30" s="191" t="inlineStr">
        <is>
          <t>Бульдозеры, мощность 79 кВт (108 л.с.)</t>
        </is>
      </c>
      <c r="D30" s="202" t="inlineStr">
        <is>
          <t>маш.-ч.</t>
        </is>
      </c>
      <c r="E30" s="202" t="n">
        <v>0.082426</v>
      </c>
      <c r="F30" s="191" t="n">
        <v>79.09999999999999</v>
      </c>
      <c r="G30" s="27">
        <f>ROUND(E30*F30,2)</f>
        <v/>
      </c>
      <c r="H30" s="119">
        <f>G30/$G$38</f>
        <v/>
      </c>
      <c r="I30" s="27">
        <f>ROUND(F30*Прил.10!$D$12,2)</f>
        <v/>
      </c>
      <c r="J30" s="27">
        <f>ROUND(I30*E30,2)</f>
        <v/>
      </c>
    </row>
    <row r="31" outlineLevel="1" ht="25.5" customFormat="1" customHeight="1" s="12">
      <c r="A31" s="276" t="n">
        <v>14</v>
      </c>
      <c r="B31" s="202" t="inlineStr">
        <is>
          <t>91.08.09-024</t>
        </is>
      </c>
      <c r="C31" s="191" t="inlineStr">
        <is>
          <t>Трамбовки пневматические при работе от стационарного компрессора</t>
        </is>
      </c>
      <c r="D31" s="202" t="inlineStr">
        <is>
          <t>маш.-ч.</t>
        </is>
      </c>
      <c r="E31" s="202" t="n">
        <v>1</v>
      </c>
      <c r="F31" s="191" t="n">
        <v>4.9</v>
      </c>
      <c r="G31" s="27">
        <f>ROUND(E31*F31,2)</f>
        <v/>
      </c>
      <c r="H31" s="119">
        <f>G31/$G$38</f>
        <v/>
      </c>
      <c r="I31" s="27">
        <f>ROUND(F31*Прил.10!$D$12,2)</f>
        <v/>
      </c>
      <c r="J31" s="27">
        <f>ROUND(I31*E31,2)</f>
        <v/>
      </c>
    </row>
    <row r="32" outlineLevel="1" ht="25.5" customFormat="1" customHeight="1" s="12">
      <c r="A32" s="276" t="n">
        <v>15</v>
      </c>
      <c r="B32" s="202" t="inlineStr">
        <is>
          <t>91.08.09-023</t>
        </is>
      </c>
      <c r="C32" s="191" t="inlineStr">
        <is>
          <t>Трамбовки пневматические при работе от передвижных компрессорных станций</t>
        </is>
      </c>
      <c r="D32" s="202" t="inlineStr">
        <is>
          <t>маш.-ч.</t>
        </is>
      </c>
      <c r="E32" s="202" t="n">
        <v>2.7216</v>
      </c>
      <c r="F32" s="191" t="n">
        <v>0.55</v>
      </c>
      <c r="G32" s="27">
        <f>ROUND(E32*F32,2)</f>
        <v/>
      </c>
      <c r="H32" s="119">
        <f>G32/$G$38</f>
        <v/>
      </c>
      <c r="I32" s="27">
        <f>ROUND(F32*Прил.10!$D$12,2)</f>
        <v/>
      </c>
      <c r="J32" s="27">
        <f>ROUND(I32*E32,2)</f>
        <v/>
      </c>
    </row>
    <row r="33" outlineLevel="1" ht="14.25" customFormat="1" customHeight="1" s="12">
      <c r="A33" s="276" t="n">
        <v>16</v>
      </c>
      <c r="B33" s="202" t="inlineStr">
        <is>
          <t>91.07.04-001</t>
        </is>
      </c>
      <c r="C33" s="191" t="inlineStr">
        <is>
          <t>Вибраторы глубинные</t>
        </is>
      </c>
      <c r="D33" s="202" t="inlineStr">
        <is>
          <t>маш.-ч.</t>
        </is>
      </c>
      <c r="E33" s="202" t="n">
        <v>0.4556</v>
      </c>
      <c r="F33" s="191" t="n">
        <v>1.91</v>
      </c>
      <c r="G33" s="27">
        <f>ROUND(E33*F33,2)</f>
        <v/>
      </c>
      <c r="H33" s="119">
        <f>G33/$G$38</f>
        <v/>
      </c>
      <c r="I33" s="27">
        <f>ROUND(F33*Прил.10!$D$12,2)</f>
        <v/>
      </c>
      <c r="J33" s="27">
        <f>ROUND(I33*E33,2)</f>
        <v/>
      </c>
    </row>
    <row r="34" outlineLevel="1" ht="14.25" customFormat="1" customHeight="1" s="12">
      <c r="A34" s="276" t="n">
        <v>17</v>
      </c>
      <c r="B34" s="202" t="inlineStr">
        <is>
          <t>91.06.05-011</t>
        </is>
      </c>
      <c r="C34" s="191" t="inlineStr">
        <is>
          <t>Погрузчики, грузоподъемность 5 т</t>
        </is>
      </c>
      <c r="D34" s="202" t="inlineStr">
        <is>
          <t>маш.-ч.</t>
        </is>
      </c>
      <c r="E34" s="202" t="n">
        <v>0.006748</v>
      </c>
      <c r="F34" s="191" t="n">
        <v>88.91</v>
      </c>
      <c r="G34" s="27">
        <f>ROUND(E34*F34,2)</f>
        <v/>
      </c>
      <c r="H34" s="119">
        <f>G34/$G$38</f>
        <v/>
      </c>
      <c r="I34" s="27">
        <f>ROUND(F34*Прил.10!$D$12,2)</f>
        <v/>
      </c>
      <c r="J34" s="27">
        <f>ROUND(I34*E34,2)</f>
        <v/>
      </c>
    </row>
    <row r="35" outlineLevel="1" ht="38.25" customFormat="1" customHeight="1" s="12">
      <c r="A35" s="276" t="n">
        <v>18</v>
      </c>
      <c r="B35" s="202" t="inlineStr">
        <is>
          <t>91.21.01-012</t>
        </is>
      </c>
      <c r="C35" s="191" t="inlineStr">
        <is>
          <t>Агрегаты окрасочные высокого давления для окраски поверхностей конструкций, мощность 1 кВт</t>
        </is>
      </c>
      <c r="D35" s="202" t="inlineStr">
        <is>
          <t>маш.-ч.</t>
        </is>
      </c>
      <c r="E35" s="202" t="n">
        <v>0.00708</v>
      </c>
      <c r="F35" s="191" t="n">
        <v>5.65</v>
      </c>
      <c r="G35" s="27">
        <f>ROUND(E35*F35,2)</f>
        <v/>
      </c>
      <c r="H35" s="119">
        <f>G35/$G$38</f>
        <v/>
      </c>
      <c r="I35" s="27">
        <f>ROUND(F35*Прил.10!$D$12,2)</f>
        <v/>
      </c>
      <c r="J35" s="27">
        <f>ROUND(I35*E35,2)</f>
        <v/>
      </c>
    </row>
    <row r="36" outlineLevel="1" ht="14.25" customFormat="1" customHeight="1" s="12">
      <c r="A36" s="276" t="n">
        <v>19</v>
      </c>
      <c r="B36" s="202" t="inlineStr">
        <is>
          <t>91.07.04-002</t>
        </is>
      </c>
      <c r="C36" s="191" t="inlineStr">
        <is>
          <t>Вибраторы поверхностные</t>
        </is>
      </c>
      <c r="D36" s="202" t="inlineStr">
        <is>
          <t>маш.-ч.</t>
        </is>
      </c>
      <c r="E36" s="202" t="n">
        <v>0.06635199999999999</v>
      </c>
      <c r="F36" s="191" t="n">
        <v>0.45</v>
      </c>
      <c r="G36" s="27">
        <f>ROUND(E36*F36,2)</f>
        <v/>
      </c>
      <c r="H36" s="119">
        <f>G36/$G$38</f>
        <v/>
      </c>
      <c r="I36" s="27">
        <f>ROUND(F36*Прил.10!$D$12,2)</f>
        <v/>
      </c>
      <c r="J36" s="27">
        <f>ROUND(I36*E36,2)</f>
        <v/>
      </c>
    </row>
    <row r="37" ht="14.25" customFormat="1" customHeight="1" s="12">
      <c r="A37" s="276" t="n"/>
      <c r="B37" s="276" t="n"/>
      <c r="C37" s="275" t="inlineStr">
        <is>
          <t>Итого прочие машины и механизмы</t>
        </is>
      </c>
      <c r="D37" s="276" t="n"/>
      <c r="E37" s="277" t="n"/>
      <c r="F37" s="27" t="n"/>
      <c r="G37" s="121">
        <f>SUM(G26:G36)</f>
        <v/>
      </c>
      <c r="H37" s="180">
        <f>G37/G38</f>
        <v/>
      </c>
      <c r="I37" s="122" t="n"/>
      <c r="J37" s="122">
        <f>SUM(J26:J36)</f>
        <v/>
      </c>
    </row>
    <row r="38" ht="25.5" customFormat="1" customHeight="1" s="12">
      <c r="A38" s="276" t="n"/>
      <c r="B38" s="276" t="n"/>
      <c r="C38" s="274" t="inlineStr">
        <is>
          <t>Итого по разделу «Машины и механизмы»</t>
        </is>
      </c>
      <c r="D38" s="276" t="n"/>
      <c r="E38" s="277" t="n"/>
      <c r="F38" s="27" t="n"/>
      <c r="G38" s="27">
        <f>G25+G37</f>
        <v/>
      </c>
      <c r="H38" s="120" t="n">
        <v>1</v>
      </c>
      <c r="I38" s="121" t="n"/>
      <c r="J38" s="122">
        <f>J37+J25</f>
        <v/>
      </c>
    </row>
    <row r="39" ht="14.25" customFormat="1" customHeight="1" s="12">
      <c r="A39" s="276" t="n"/>
      <c r="B39" s="274" t="inlineStr">
        <is>
          <t>Оборудование</t>
        </is>
      </c>
      <c r="C39" s="340" t="n"/>
      <c r="D39" s="340" t="n"/>
      <c r="E39" s="340" t="n"/>
      <c r="F39" s="340" t="n"/>
      <c r="G39" s="340" t="n"/>
      <c r="H39" s="341" t="n"/>
      <c r="I39" s="186" t="n"/>
      <c r="J39" s="186" t="n"/>
    </row>
    <row r="40">
      <c r="A40" s="276" t="n"/>
      <c r="B40" s="275" t="inlineStr">
        <is>
          <t>Основное оборудование</t>
        </is>
      </c>
      <c r="C40" s="340" t="n"/>
      <c r="D40" s="340" t="n"/>
      <c r="E40" s="340" t="n"/>
      <c r="F40" s="340" t="n"/>
      <c r="G40" s="340" t="n"/>
      <c r="H40" s="341" t="n"/>
      <c r="I40" s="187" t="n"/>
      <c r="J40" s="187" t="n"/>
    </row>
    <row r="41">
      <c r="A41" s="276" t="n"/>
      <c r="B41" s="276" t="n"/>
      <c r="C41" s="275" t="inlineStr">
        <is>
          <t>Итого основное оборудование</t>
        </is>
      </c>
      <c r="D41" s="276" t="n"/>
      <c r="E41" s="348" t="n"/>
      <c r="F41" s="278" t="n"/>
      <c r="G41" s="27" t="n">
        <v>0</v>
      </c>
      <c r="H41" s="120" t="n">
        <v>0</v>
      </c>
      <c r="I41" s="121" t="n"/>
      <c r="J41" s="122" t="n">
        <v>0</v>
      </c>
    </row>
    <row r="42">
      <c r="A42" s="276" t="n"/>
      <c r="B42" s="276" t="n"/>
      <c r="C42" s="275" t="inlineStr">
        <is>
          <t>Итого прочее оборудование</t>
        </is>
      </c>
      <c r="D42" s="276" t="n"/>
      <c r="E42" s="348" t="n"/>
      <c r="F42" s="278" t="n"/>
      <c r="G42" s="27" t="n">
        <v>0</v>
      </c>
      <c r="H42" s="279" t="n">
        <v>0</v>
      </c>
      <c r="I42" s="123" t="n"/>
      <c r="J42" s="27" t="n">
        <v>0</v>
      </c>
    </row>
    <row r="43">
      <c r="A43" s="276" t="n"/>
      <c r="B43" s="276" t="n"/>
      <c r="C43" s="274" t="inlineStr">
        <is>
          <t>Итого по разделу «Оборудование»</t>
        </is>
      </c>
      <c r="D43" s="276" t="n"/>
      <c r="E43" s="277" t="n"/>
      <c r="F43" s="278" t="n"/>
      <c r="G43" s="27">
        <f>G41+G42</f>
        <v/>
      </c>
      <c r="H43" s="279" t="n">
        <v>0</v>
      </c>
      <c r="I43" s="123" t="n"/>
      <c r="J43" s="27">
        <f>J42+J41</f>
        <v/>
      </c>
    </row>
    <row r="44" ht="25.5" customHeight="1" s="222">
      <c r="A44" s="276" t="n"/>
      <c r="B44" s="276" t="n"/>
      <c r="C44" s="275" t="inlineStr">
        <is>
          <t>в том числе технологическое оборудование</t>
        </is>
      </c>
      <c r="D44" s="276" t="n"/>
      <c r="E44" s="352" t="n"/>
      <c r="F44" s="278" t="n"/>
      <c r="G44" s="27" t="n">
        <v>0</v>
      </c>
      <c r="H44" s="279" t="n"/>
      <c r="I44" s="123" t="n"/>
      <c r="J44" s="27">
        <f>ROUND(G44*Прил.10!D14,2)</f>
        <v/>
      </c>
    </row>
    <row r="45" ht="14.25" customFormat="1" customHeight="1" s="12">
      <c r="A45" s="276" t="n"/>
      <c r="B45" s="274" t="inlineStr">
        <is>
          <t>Материалы</t>
        </is>
      </c>
      <c r="C45" s="340" t="n"/>
      <c r="D45" s="340" t="n"/>
      <c r="E45" s="340" t="n"/>
      <c r="F45" s="340" t="n"/>
      <c r="G45" s="340" t="n"/>
      <c r="H45" s="341" t="n"/>
      <c r="I45" s="186" t="n"/>
      <c r="J45" s="186" t="n"/>
    </row>
    <row r="46" ht="14.25" customFormat="1" customHeight="1" s="12">
      <c r="A46" s="270" t="n"/>
      <c r="B46" s="269" t="inlineStr">
        <is>
          <t>Основные материалы</t>
        </is>
      </c>
      <c r="C46" s="349" t="n"/>
      <c r="D46" s="349" t="n"/>
      <c r="E46" s="349" t="n"/>
      <c r="F46" s="349" t="n"/>
      <c r="G46" s="349" t="n"/>
      <c r="H46" s="350" t="n"/>
      <c r="I46" s="187" t="n"/>
      <c r="J46" s="187" t="n"/>
    </row>
    <row r="47" ht="25.5" customFormat="1" customHeight="1" s="12">
      <c r="A47" s="276" t="n">
        <v>20</v>
      </c>
      <c r="B47" s="202" t="inlineStr">
        <is>
          <t>04.1.02.05-0046</t>
        </is>
      </c>
      <c r="C47" s="191" t="inlineStr">
        <is>
          <t>Бетон тяжелый, крупность заполнителя 20 мм, класс В25 (М350)</t>
        </is>
      </c>
      <c r="D47" s="202" t="inlineStr">
        <is>
          <t>м3</t>
        </is>
      </c>
      <c r="E47" s="202" t="n">
        <v>2.7202</v>
      </c>
      <c r="F47" s="191" t="n">
        <v>720.17</v>
      </c>
      <c r="G47" s="192">
        <f>ROUND(E47*F47,2)</f>
        <v/>
      </c>
      <c r="H47" s="119">
        <f>G47/$G$84</f>
        <v/>
      </c>
      <c r="I47" s="27">
        <f>ROUND(F47*Прил.10!$D$13,2)</f>
        <v/>
      </c>
      <c r="J47" s="27">
        <f>ROUND(I47*E47,2)</f>
        <v/>
      </c>
    </row>
    <row r="48" ht="51" customFormat="1" customHeight="1" s="12">
      <c r="A48" s="276" t="n">
        <v>21</v>
      </c>
      <c r="B48" s="202" t="inlineStr">
        <is>
          <t>04.3.02.04-0316</t>
        </is>
      </c>
      <c r="C48" s="191" t="inlineStr">
        <is>
          <t>Смесь сухая безусадочная быстротвердеющая EMACO FAST TIXO тиксотропного типа (расход смеси 2000 кг на 1 м3)</t>
        </is>
      </c>
      <c r="D48" s="202" t="inlineStr">
        <is>
          <t>кг</t>
        </is>
      </c>
      <c r="E48" s="202" t="n">
        <v>80</v>
      </c>
      <c r="F48" s="191" t="n">
        <v>11.35</v>
      </c>
      <c r="G48" s="192">
        <f>ROUND(E48*F48,2)</f>
        <v/>
      </c>
      <c r="H48" s="119">
        <f>G48/$G$84</f>
        <v/>
      </c>
      <c r="I48" s="27">
        <f>ROUND(F48*Прил.10!$D$13,2)</f>
        <v/>
      </c>
      <c r="J48" s="27">
        <f>ROUND(I48*E48,2)</f>
        <v/>
      </c>
    </row>
    <row r="49" ht="25.5" customFormat="1" customHeight="1" s="12">
      <c r="A49" s="276" t="n">
        <v>22</v>
      </c>
      <c r="B49" s="202" t="inlineStr">
        <is>
          <t>08.4.03.03-0004</t>
        </is>
      </c>
      <c r="C49" s="191" t="inlineStr">
        <is>
          <t>Горячекатанная арматурная сталь класса А500 С, диаметром 12 мм</t>
        </is>
      </c>
      <c r="D49" s="202" t="inlineStr">
        <is>
          <t>т</t>
        </is>
      </c>
      <c r="E49" s="202" t="n">
        <v>0.1208</v>
      </c>
      <c r="F49" s="191" t="n">
        <v>5587.75</v>
      </c>
      <c r="G49" s="192">
        <f>ROUND(E49*F49,2)</f>
        <v/>
      </c>
      <c r="H49" s="119">
        <f>G49/$G$84</f>
        <v/>
      </c>
      <c r="I49" s="27">
        <f>ROUND(F49*Прил.10!$D$13,2)</f>
        <v/>
      </c>
      <c r="J49" s="27">
        <f>ROUND(I49*E49,2)</f>
        <v/>
      </c>
    </row>
    <row r="50" ht="25.5" customFormat="1" customHeight="1" s="12">
      <c r="A50" s="276" t="n">
        <v>23</v>
      </c>
      <c r="B50" s="202" t="inlineStr">
        <is>
          <t>04.1.02.05-0041</t>
        </is>
      </c>
      <c r="C50" s="191" t="inlineStr">
        <is>
          <t>Бетон тяжелый, крупность заполнителя 20 мм, класс В10 (М150)</t>
        </is>
      </c>
      <c r="D50" s="202" t="inlineStr">
        <is>
          <t>м3</t>
        </is>
      </c>
      <c r="E50" s="202" t="n">
        <v>0.612</v>
      </c>
      <c r="F50" s="191" t="n">
        <v>542.48</v>
      </c>
      <c r="G50" s="192">
        <f>ROUND(E50*F50,2)</f>
        <v/>
      </c>
      <c r="H50" s="119">
        <f>G50/$G$84</f>
        <v/>
      </c>
      <c r="I50" s="27">
        <f>ROUND(F50*Прил.10!$D$13,2)</f>
        <v/>
      </c>
      <c r="J50" s="27">
        <f>ROUND(I50*E50,2)</f>
        <v/>
      </c>
    </row>
    <row r="51" ht="25.5" customFormat="1" customHeight="1" s="12">
      <c r="A51" s="276" t="n">
        <v>24</v>
      </c>
      <c r="B51" s="202" t="inlineStr">
        <is>
          <t>08.4.01.01-0022</t>
        </is>
      </c>
      <c r="C51" s="191" t="inlineStr">
        <is>
          <t>Детали анкерные с резьбой из прямых или гнутых круглых стержней</t>
        </is>
      </c>
      <c r="D51" s="202" t="inlineStr">
        <is>
          <t>т</t>
        </is>
      </c>
      <c r="E51" s="202" t="n">
        <v>0.02736</v>
      </c>
      <c r="F51" s="191" t="n">
        <v>10100.15</v>
      </c>
      <c r="G51" s="192">
        <f>ROUND(E51*F51,2)</f>
        <v/>
      </c>
      <c r="H51" s="119">
        <f>G51/$G$84</f>
        <v/>
      </c>
      <c r="I51" s="27">
        <f>ROUND(F51*Прил.10!$D$13,2)</f>
        <v/>
      </c>
      <c r="J51" s="27">
        <f>ROUND(I51*E51,2)</f>
        <v/>
      </c>
    </row>
    <row r="52" ht="25.5" customFormat="1" customHeight="1" s="12">
      <c r="A52" s="276" t="n">
        <v>25</v>
      </c>
      <c r="B52" s="202" t="inlineStr">
        <is>
          <t>02.2.05.04-1777</t>
        </is>
      </c>
      <c r="C52" s="191" t="inlineStr">
        <is>
          <t>Щебень М 800, фракция 20-40 мм, группа 2</t>
        </is>
      </c>
      <c r="D52" s="202" t="inlineStr">
        <is>
          <t>м3</t>
        </is>
      </c>
      <c r="E52" s="202" t="n">
        <v>2.5</v>
      </c>
      <c r="F52" s="191" t="n">
        <v>108.4</v>
      </c>
      <c r="G52" s="192">
        <f>ROUND(E52*F52,2)</f>
        <v/>
      </c>
      <c r="H52" s="119">
        <f>G52/$G$84</f>
        <v/>
      </c>
      <c r="I52" s="27">
        <f>ROUND(F52*Прил.10!$D$13,2)</f>
        <v/>
      </c>
      <c r="J52" s="27">
        <f>ROUND(I52*E52,2)</f>
        <v/>
      </c>
    </row>
    <row r="53" ht="25.5" customFormat="1" customHeight="1" s="12">
      <c r="A53" s="276" t="n">
        <v>26</v>
      </c>
      <c r="B53" s="202" t="inlineStr">
        <is>
          <t>01.2.03.03-0103</t>
        </is>
      </c>
      <c r="C53" s="191" t="inlineStr">
        <is>
          <t>Мастика гидроизоляционная холодная ТЕХНОНИКОЛЬ №24 (МГТН)</t>
        </is>
      </c>
      <c r="D53" s="202" t="inlineStr">
        <is>
          <t>кг</t>
        </is>
      </c>
      <c r="E53" s="202" t="n">
        <v>29.4</v>
      </c>
      <c r="F53" s="191" t="n">
        <v>9.15</v>
      </c>
      <c r="G53" s="192">
        <f>ROUND(E53*F53,2)</f>
        <v/>
      </c>
      <c r="H53" s="119">
        <f>G53/$G$84</f>
        <v/>
      </c>
      <c r="I53" s="27">
        <f>ROUND(F53*Прил.10!$D$13,2)</f>
        <v/>
      </c>
      <c r="J53" s="27">
        <f>ROUND(I53*E53,2)</f>
        <v/>
      </c>
    </row>
    <row r="54" ht="14.25" customFormat="1" customHeight="1" s="12">
      <c r="A54" s="276" t="n"/>
      <c r="B54" s="130" t="n"/>
      <c r="C54" s="131" t="inlineStr">
        <is>
          <t>Итого основные материалы</t>
        </is>
      </c>
      <c r="D54" s="287" t="n"/>
      <c r="E54" s="351" t="n"/>
      <c r="F54" s="122" t="n"/>
      <c r="G54" s="122">
        <f>SUM(G47:G53)</f>
        <v/>
      </c>
      <c r="H54" s="119">
        <f>G54/$G$84</f>
        <v/>
      </c>
      <c r="I54" s="27" t="n"/>
      <c r="J54" s="122">
        <f>SUM(J47:J53)</f>
        <v/>
      </c>
    </row>
    <row r="55" outlineLevel="1" ht="25.5" customFormat="1" customHeight="1" s="12">
      <c r="A55" s="175" t="n">
        <v>27</v>
      </c>
      <c r="B55" s="202" t="inlineStr">
        <is>
          <t>02.2.05.04-1577</t>
        </is>
      </c>
      <c r="C55" s="191" t="inlineStr">
        <is>
          <t>Щебень М 800, фракция 5(3)-10 мм, группа 2</t>
        </is>
      </c>
      <c r="D55" s="202" t="inlineStr">
        <is>
          <t>м3</t>
        </is>
      </c>
      <c r="E55" s="202" t="n">
        <v>0.76</v>
      </c>
      <c r="F55" s="191" t="n">
        <v>156.58</v>
      </c>
      <c r="G55" s="192">
        <f>ROUND(E55*F55,2)</f>
        <v/>
      </c>
      <c r="H55" s="119">
        <f>G55/$G$84</f>
        <v/>
      </c>
      <c r="I55" s="27">
        <f>ROUND(F55*Прил.10!$D$13,2)</f>
        <v/>
      </c>
      <c r="J55" s="27">
        <f>ROUND(I55*E55,2)</f>
        <v/>
      </c>
    </row>
    <row r="56" outlineLevel="1" ht="25.5" customFormat="1" customHeight="1" s="12">
      <c r="A56" s="276" t="n">
        <v>28</v>
      </c>
      <c r="B56" s="202" t="inlineStr">
        <is>
          <t>08.4.03.02-0001</t>
        </is>
      </c>
      <c r="C56" s="191" t="inlineStr">
        <is>
          <t>Горячекатаная арматурная сталь гладкая класса А-I, диаметром 6 мм</t>
        </is>
      </c>
      <c r="D56" s="202" t="inlineStr">
        <is>
          <t>т</t>
        </is>
      </c>
      <c r="E56" s="202" t="n">
        <v>0.012</v>
      </c>
      <c r="F56" s="191" t="n">
        <v>7416.67</v>
      </c>
      <c r="G56" s="192">
        <f>ROUND(E56*F56,2)</f>
        <v/>
      </c>
      <c r="H56" s="119">
        <f>G56/$G$84</f>
        <v/>
      </c>
      <c r="I56" s="27">
        <f>ROUND(F56*Прил.10!$D$13,2)</f>
        <v/>
      </c>
      <c r="J56" s="27">
        <f>ROUND(I56*E56,2)</f>
        <v/>
      </c>
    </row>
    <row r="57" outlineLevel="1" ht="25.5" customFormat="1" customHeight="1" s="12">
      <c r="A57" s="175" t="n">
        <v>29</v>
      </c>
      <c r="B57" s="202" t="inlineStr">
        <is>
          <t>08.4.03.03-0002</t>
        </is>
      </c>
      <c r="C57" s="191" t="inlineStr">
        <is>
          <t>Горячекатанная арматурная сталь класса А500 С, диаметром 8 мм</t>
        </is>
      </c>
      <c r="D57" s="202" t="inlineStr">
        <is>
          <t>т</t>
        </is>
      </c>
      <c r="E57" s="202" t="n">
        <v>0.009599999999999999</v>
      </c>
      <c r="F57" s="191" t="n">
        <v>6250</v>
      </c>
      <c r="G57" s="192">
        <f>ROUND(E57*F57,2)</f>
        <v/>
      </c>
      <c r="H57" s="119">
        <f>G57/$G$84</f>
        <v/>
      </c>
      <c r="I57" s="27">
        <f>ROUND(F57*Прил.10!$D$13,2)</f>
        <v/>
      </c>
      <c r="J57" s="27">
        <f>ROUND(I57*E57,2)</f>
        <v/>
      </c>
    </row>
    <row r="58" outlineLevel="1" ht="14.25" customFormat="1" customHeight="1" s="12">
      <c r="A58" s="276" t="n">
        <v>30</v>
      </c>
      <c r="B58" s="202" t="inlineStr">
        <is>
          <t>01.7.15.03-0042</t>
        </is>
      </c>
      <c r="C58" s="191" t="inlineStr">
        <is>
          <t>Болты с гайками и шайбами строительные</t>
        </is>
      </c>
      <c r="D58" s="202" t="inlineStr">
        <is>
          <t>кг</t>
        </is>
      </c>
      <c r="E58" s="202" t="n">
        <v>6.48</v>
      </c>
      <c r="F58" s="191" t="n">
        <v>9.039999999999999</v>
      </c>
      <c r="G58" s="192">
        <f>ROUND(E58*F58,2)</f>
        <v/>
      </c>
      <c r="H58" s="119">
        <f>G58/$G$84</f>
        <v/>
      </c>
      <c r="I58" s="27">
        <f>ROUND(F58*Прил.10!$D$13,2)</f>
        <v/>
      </c>
      <c r="J58" s="27">
        <f>ROUND(I58*E58,2)</f>
        <v/>
      </c>
    </row>
    <row r="59" outlineLevel="1" ht="14.25" customFormat="1" customHeight="1" s="12">
      <c r="A59" s="175" t="n">
        <v>31</v>
      </c>
      <c r="B59" s="202" t="inlineStr">
        <is>
          <t>11.2.13.04-0011</t>
        </is>
      </c>
      <c r="C59" s="191" t="inlineStr">
        <is>
          <t>Щиты из досок, толщина 25 мм</t>
        </is>
      </c>
      <c r="D59" s="202" t="inlineStr">
        <is>
          <t>м2</t>
        </is>
      </c>
      <c r="E59" s="202" t="n">
        <v>1.3266</v>
      </c>
      <c r="F59" s="191" t="n">
        <v>35.53</v>
      </c>
      <c r="G59" s="192">
        <f>ROUND(E59*F59,2)</f>
        <v/>
      </c>
      <c r="H59" s="119">
        <f>G59/$G$84</f>
        <v/>
      </c>
      <c r="I59" s="27">
        <f>ROUND(F59*Прил.10!$D$13,2)</f>
        <v/>
      </c>
      <c r="J59" s="27">
        <f>ROUND(I59*E59,2)</f>
        <v/>
      </c>
    </row>
    <row r="60" outlineLevel="1" ht="14.25" customFormat="1" customHeight="1" s="12">
      <c r="A60" s="276" t="n">
        <v>32</v>
      </c>
      <c r="B60" s="202" t="inlineStr">
        <is>
          <t>01.2.03.05-0011</t>
        </is>
      </c>
      <c r="C60" s="191" t="inlineStr">
        <is>
          <t>Праймер битумный ТЕХНОНИКОЛЬ №01</t>
        </is>
      </c>
      <c r="D60" s="202" t="inlineStr">
        <is>
          <t>л</t>
        </is>
      </c>
      <c r="E60" s="202" t="n">
        <v>5.2</v>
      </c>
      <c r="F60" s="191" t="n">
        <v>8.460000000000001</v>
      </c>
      <c r="G60" s="192">
        <f>ROUND(E60*F60,2)</f>
        <v/>
      </c>
      <c r="H60" s="119">
        <f>G60/$G$84</f>
        <v/>
      </c>
      <c r="I60" s="27">
        <f>ROUND(F60*Прил.10!$D$13,2)</f>
        <v/>
      </c>
      <c r="J60" s="27">
        <f>ROUND(I60*E60,2)</f>
        <v/>
      </c>
    </row>
    <row r="61" outlineLevel="1" ht="14.25" customFormat="1" customHeight="1" s="12">
      <c r="A61" s="175" t="n">
        <v>33</v>
      </c>
      <c r="B61" s="202" t="inlineStr">
        <is>
          <t>01.7.15.07-0031</t>
        </is>
      </c>
      <c r="C61" s="191" t="inlineStr">
        <is>
          <t>Дюбели распорные с гайкой</t>
        </is>
      </c>
      <c r="D61" s="202" t="inlineStr">
        <is>
          <t>100 шт</t>
        </is>
      </c>
      <c r="E61" s="202" t="n">
        <v>0.192</v>
      </c>
      <c r="F61" s="191" t="n">
        <v>110</v>
      </c>
      <c r="G61" s="192">
        <f>ROUND(E61*F61,2)</f>
        <v/>
      </c>
      <c r="H61" s="119">
        <f>G61/$G$84</f>
        <v/>
      </c>
      <c r="I61" s="27">
        <f>ROUND(F61*Прил.10!$D$13,2)</f>
        <v/>
      </c>
      <c r="J61" s="27">
        <f>ROUND(I61*E61,2)</f>
        <v/>
      </c>
    </row>
    <row r="62" outlineLevel="1" ht="38.25" customFormat="1" customHeight="1" s="12">
      <c r="A62" s="276" t="n">
        <v>34</v>
      </c>
      <c r="B62" s="202" t="inlineStr">
        <is>
          <t>03.2.01.01-0003</t>
        </is>
      </c>
      <c r="C62" s="191" t="inlineStr">
        <is>
          <t>Портландцемент общестроительного назначения бездобавочный М500 Д0 (ЦЕМ I 42,5Н)</t>
        </is>
      </c>
      <c r="D62" s="202" t="inlineStr">
        <is>
          <t>т</t>
        </is>
      </c>
      <c r="E62" s="202" t="n">
        <v>0.0432</v>
      </c>
      <c r="F62" s="191" t="n">
        <v>480.09</v>
      </c>
      <c r="G62" s="192">
        <f>ROUND(E62*F62,2)</f>
        <v/>
      </c>
      <c r="H62" s="119">
        <f>G62/$G$84</f>
        <v/>
      </c>
      <c r="I62" s="27">
        <f>ROUND(F62*Прил.10!$D$13,2)</f>
        <v/>
      </c>
      <c r="J62" s="27">
        <f>ROUND(I62*E62,2)</f>
        <v/>
      </c>
    </row>
    <row r="63" outlineLevel="1" ht="38.25" customFormat="1" customHeight="1" s="12">
      <c r="A63" s="175" t="n">
        <v>35</v>
      </c>
      <c r="B63" s="202" t="inlineStr">
        <is>
          <t>11.1.03.06-0095</t>
        </is>
      </c>
      <c r="C63" s="191" t="inlineStr">
        <is>
          <t>Доска обрезная, хвойных пород, ширина 75-150 мм, толщина 44 мм и более, длина 4-6,5 м, сорт III</t>
        </is>
      </c>
      <c r="D63" s="202" t="inlineStr">
        <is>
          <t>м3</t>
        </is>
      </c>
      <c r="E63" s="202" t="n">
        <v>0.018982</v>
      </c>
      <c r="F63" s="191" t="n">
        <v>1055.73</v>
      </c>
      <c r="G63" s="192">
        <f>ROUND(E63*F63,2)</f>
        <v/>
      </c>
      <c r="H63" s="119">
        <f>G63/$G$84</f>
        <v/>
      </c>
      <c r="I63" s="27">
        <f>ROUND(F63*Прил.10!$D$13,2)</f>
        <v/>
      </c>
      <c r="J63" s="27">
        <f>ROUND(I63*E63,2)</f>
        <v/>
      </c>
    </row>
    <row r="64" outlineLevel="1" ht="14.25" customFormat="1" customHeight="1" s="12">
      <c r="A64" s="276" t="n">
        <v>36</v>
      </c>
      <c r="B64" s="202" t="inlineStr">
        <is>
          <t>01.7.15.06-0111</t>
        </is>
      </c>
      <c r="C64" s="191" t="inlineStr">
        <is>
          <t>Гвозди строительные</t>
        </is>
      </c>
      <c r="D64" s="202" t="inlineStr">
        <is>
          <t>т</t>
        </is>
      </c>
      <c r="E64" s="202" t="n">
        <v>0.001022</v>
      </c>
      <c r="F64" s="191" t="n">
        <v>11966.74</v>
      </c>
      <c r="G64" s="192">
        <f>ROUND(E64*F64,2)</f>
        <v/>
      </c>
      <c r="H64" s="119">
        <f>G64/$G$84</f>
        <v/>
      </c>
      <c r="I64" s="27">
        <f>ROUND(F64*Прил.10!$D$13,2)</f>
        <v/>
      </c>
      <c r="J64" s="27">
        <f>ROUND(I64*E64,2)</f>
        <v/>
      </c>
    </row>
    <row r="65" outlineLevel="1" ht="25.5" customFormat="1" customHeight="1" s="12">
      <c r="A65" s="175" t="n">
        <v>37</v>
      </c>
      <c r="B65" s="202" t="inlineStr">
        <is>
          <t>01.7.11.07-0034</t>
        </is>
      </c>
      <c r="C65" s="191" t="inlineStr">
        <is>
          <t>Электроды сварочные Э42А, диаметр 4 мм</t>
        </is>
      </c>
      <c r="D65" s="202" t="inlineStr">
        <is>
          <t>кг</t>
        </is>
      </c>
      <c r="E65" s="202" t="n">
        <v>1.008</v>
      </c>
      <c r="F65" s="191" t="n">
        <v>10.57</v>
      </c>
      <c r="G65" s="192">
        <f>ROUND(E65*F65,2)</f>
        <v/>
      </c>
      <c r="H65" s="119">
        <f>G65/$G$84</f>
        <v/>
      </c>
      <c r="I65" s="27">
        <f>ROUND(F65*Прил.10!$D$13,2)</f>
        <v/>
      </c>
      <c r="J65" s="27">
        <f>ROUND(I65*E65,2)</f>
        <v/>
      </c>
    </row>
    <row r="66" outlineLevel="1" ht="38.25" customFormat="1" customHeight="1" s="12">
      <c r="A66" s="276" t="n">
        <v>38</v>
      </c>
      <c r="B66" s="202" t="inlineStr">
        <is>
          <t>11.1.02.04-0031</t>
        </is>
      </c>
      <c r="C66" s="191" t="inlineStr">
        <is>
          <t>Лесоматериалы круглые, хвойных пород, для строительства, диаметр 14-24 см, длина 3-6,5 м</t>
        </is>
      </c>
      <c r="D66" s="202" t="inlineStr">
        <is>
          <t>м3</t>
        </is>
      </c>
      <c r="E66" s="202" t="n">
        <v>0.018492</v>
      </c>
      <c r="F66" s="191" t="n">
        <v>558.08</v>
      </c>
      <c r="G66" s="192">
        <f>ROUND(E66*F66,2)</f>
        <v/>
      </c>
      <c r="H66" s="119">
        <f>G66/$G$84</f>
        <v/>
      </c>
      <c r="I66" s="27">
        <f>ROUND(F66*Прил.10!$D$13,2)</f>
        <v/>
      </c>
      <c r="J66" s="27">
        <f>ROUND(I66*E66,2)</f>
        <v/>
      </c>
    </row>
    <row r="67" outlineLevel="1" ht="14.25" customFormat="1" customHeight="1" s="12">
      <c r="A67" s="175" t="n">
        <v>39</v>
      </c>
      <c r="B67" s="202" t="inlineStr">
        <is>
          <t>01.3.01.03-0002</t>
        </is>
      </c>
      <c r="C67" s="191" t="inlineStr">
        <is>
          <t>Керосин для технических целей</t>
        </is>
      </c>
      <c r="D67" s="202" t="inlineStr">
        <is>
          <t>т</t>
        </is>
      </c>
      <c r="E67" s="202" t="n">
        <v>0.003523</v>
      </c>
      <c r="F67" s="191" t="n">
        <v>2608.57</v>
      </c>
      <c r="G67" s="192">
        <f>ROUND(E67*F67,2)</f>
        <v/>
      </c>
      <c r="H67" s="119">
        <f>G67/$G$84</f>
        <v/>
      </c>
      <c r="I67" s="27">
        <f>ROUND(F67*Прил.10!$D$13,2)</f>
        <v/>
      </c>
      <c r="J67" s="27">
        <f>ROUND(I67*E67,2)</f>
        <v/>
      </c>
    </row>
    <row r="68" outlineLevel="1" ht="25.5" customFormat="1" customHeight="1" s="12">
      <c r="A68" s="276" t="n">
        <v>40</v>
      </c>
      <c r="B68" s="202" t="inlineStr">
        <is>
          <t>14.4.02.09-0301</t>
        </is>
      </c>
      <c r="C68" s="191" t="inlineStr">
        <is>
          <t>Композиция антикоррозионная цинкнаполненная</t>
        </is>
      </c>
      <c r="D68" s="202" t="inlineStr">
        <is>
          <t>кг</t>
        </is>
      </c>
      <c r="E68" s="202" t="n">
        <v>0.036</v>
      </c>
      <c r="F68" s="191" t="n">
        <v>250</v>
      </c>
      <c r="G68" s="192">
        <f>ROUND(E68*F68,2)</f>
        <v/>
      </c>
      <c r="H68" s="119">
        <f>G68/$G$84</f>
        <v/>
      </c>
      <c r="I68" s="27">
        <f>ROUND(F68*Прил.10!$D$13,2)</f>
        <v/>
      </c>
      <c r="J68" s="27">
        <f>ROUND(I68*E68,2)</f>
        <v/>
      </c>
    </row>
    <row r="69" outlineLevel="1" ht="38.25" customFormat="1" customHeight="1" s="12">
      <c r="A69" s="175" t="n">
        <v>41</v>
      </c>
      <c r="B69" s="202" t="inlineStr">
        <is>
          <t>11.1.03.06-0087</t>
        </is>
      </c>
      <c r="C69" s="191" t="inlineStr">
        <is>
          <t>Доска обрезная, хвойных пород, ширина 75-150 мм, толщина 25 мм, длина 4-6,5 м, сорт III</t>
        </is>
      </c>
      <c r="D69" s="202" t="inlineStr">
        <is>
          <t>м3</t>
        </is>
      </c>
      <c r="E69" s="202" t="n">
        <v>0.006536</v>
      </c>
      <c r="F69" s="191" t="n">
        <v>1101.59</v>
      </c>
      <c r="G69" s="192">
        <f>ROUND(E69*F69,2)</f>
        <v/>
      </c>
      <c r="H69" s="119">
        <f>G69/$G$84</f>
        <v/>
      </c>
      <c r="I69" s="27">
        <f>ROUND(F69*Прил.10!$D$13,2)</f>
        <v/>
      </c>
      <c r="J69" s="27">
        <f>ROUND(I69*E69,2)</f>
        <v/>
      </c>
    </row>
    <row r="70" outlineLevel="1" ht="14.25" customFormat="1" customHeight="1" s="12">
      <c r="A70" s="276" t="n">
        <v>42</v>
      </c>
      <c r="B70" s="202" t="inlineStr">
        <is>
          <t>01.7.07.12-0024</t>
        </is>
      </c>
      <c r="C70" s="191" t="inlineStr">
        <is>
          <t>Пленка полиэтиленовая, толщина 0,15 мм</t>
        </is>
      </c>
      <c r="D70" s="202" t="inlineStr">
        <is>
          <t>м2</t>
        </is>
      </c>
      <c r="E70" s="202" t="n">
        <v>1.77068</v>
      </c>
      <c r="F70" s="191" t="n">
        <v>3.62</v>
      </c>
      <c r="G70" s="192">
        <f>ROUND(E70*F70,2)</f>
        <v/>
      </c>
      <c r="H70" s="119">
        <f>G70/$G$84</f>
        <v/>
      </c>
      <c r="I70" s="27">
        <f>ROUND(F70*Прил.10!$D$13,2)</f>
        <v/>
      </c>
      <c r="J70" s="27">
        <f>ROUND(I70*E70,2)</f>
        <v/>
      </c>
    </row>
    <row r="71" outlineLevel="1" ht="25.5" customFormat="1" customHeight="1" s="12">
      <c r="A71" s="175" t="n">
        <v>43</v>
      </c>
      <c r="B71" s="202" t="inlineStr">
        <is>
          <t>08.3.03.06-0002</t>
        </is>
      </c>
      <c r="C71" s="191" t="inlineStr">
        <is>
          <t>Проволока горячекатаная в мотках, диаметр 6,3-6,5 мм</t>
        </is>
      </c>
      <c r="D71" s="202" t="inlineStr">
        <is>
          <t>т</t>
        </is>
      </c>
      <c r="E71" s="202" t="n">
        <v>0.001072</v>
      </c>
      <c r="F71" s="191" t="n">
        <v>4458.96</v>
      </c>
      <c r="G71" s="192">
        <f>ROUND(E71*F71,2)</f>
        <v/>
      </c>
      <c r="H71" s="119">
        <f>G71/$G$84</f>
        <v/>
      </c>
      <c r="I71" s="27">
        <f>ROUND(F71*Прил.10!$D$13,2)</f>
        <v/>
      </c>
      <c r="J71" s="27">
        <f>ROUND(I71*E71,2)</f>
        <v/>
      </c>
    </row>
    <row r="72" outlineLevel="1" ht="38.25" customFormat="1" customHeight="1" s="12">
      <c r="A72" s="276" t="n">
        <v>44</v>
      </c>
      <c r="B72" s="202" t="inlineStr">
        <is>
          <t>11.1.03.01-0079</t>
        </is>
      </c>
      <c r="C72" s="191" t="inlineStr">
        <is>
          <t>Бруски обрезные, хвойных пород, длина 4-6,5 м, ширина 75-150 мм, толщина 40-75 мм, сорт III</t>
        </is>
      </c>
      <c r="D72" s="202" t="inlineStr">
        <is>
          <t>м3</t>
        </is>
      </c>
      <c r="E72" s="202" t="n">
        <v>0.002144</v>
      </c>
      <c r="F72" s="191" t="n">
        <v>1287.31</v>
      </c>
      <c r="G72" s="192">
        <f>ROUND(E72*F72,2)</f>
        <v/>
      </c>
      <c r="H72" s="119">
        <f>G72/$G$84</f>
        <v/>
      </c>
      <c r="I72" s="27">
        <f>ROUND(F72*Прил.10!$D$13,2)</f>
        <v/>
      </c>
      <c r="J72" s="27">
        <f>ROUND(I72*E72,2)</f>
        <v/>
      </c>
    </row>
    <row r="73" outlineLevel="1" ht="25.5" customFormat="1" customHeight="1" s="12">
      <c r="A73" s="175" t="n">
        <v>45</v>
      </c>
      <c r="B73" s="202" t="inlineStr">
        <is>
          <t>999-9950</t>
        </is>
      </c>
      <c r="C73" s="191" t="inlineStr">
        <is>
          <t>Вспомогательные ненормируемые материальные ресурсы</t>
        </is>
      </c>
      <c r="D73" s="202" t="inlineStr">
        <is>
          <t>руб</t>
        </is>
      </c>
      <c r="E73" s="202" t="n">
        <v>2.475024</v>
      </c>
      <c r="F73" s="191" t="n">
        <v>1</v>
      </c>
      <c r="G73" s="192">
        <f>ROUND(E73*F73,2)</f>
        <v/>
      </c>
      <c r="H73" s="119">
        <f>G73/$G$84</f>
        <v/>
      </c>
      <c r="I73" s="27">
        <f>ROUND(F73*Прил.10!$D$13,2)</f>
        <v/>
      </c>
      <c r="J73" s="27">
        <f>ROUND(I73*E73,2)</f>
        <v/>
      </c>
    </row>
    <row r="74" outlineLevel="1" ht="25.5" customFormat="1" customHeight="1" s="12">
      <c r="A74" s="276" t="n">
        <v>46</v>
      </c>
      <c r="B74" s="202" t="inlineStr">
        <is>
          <t>02.3.01.02-1012</t>
        </is>
      </c>
      <c r="C74" s="191" t="inlineStr">
        <is>
          <t>Песок природный II класс, средний, круглые сита</t>
        </is>
      </c>
      <c r="D74" s="202" t="inlineStr">
        <is>
          <t>м3</t>
        </is>
      </c>
      <c r="E74" s="202" t="n">
        <v>0.036</v>
      </c>
      <c r="F74" s="191" t="n">
        <v>60</v>
      </c>
      <c r="G74" s="192">
        <f>ROUND(E74*F74,2)</f>
        <v/>
      </c>
      <c r="H74" s="119">
        <f>G74/$G$84</f>
        <v/>
      </c>
      <c r="I74" s="27">
        <f>ROUND(F74*Прил.10!$D$13,2)</f>
        <v/>
      </c>
      <c r="J74" s="27">
        <f>ROUND(I74*E74,2)</f>
        <v/>
      </c>
    </row>
    <row r="75" outlineLevel="1" ht="25.5" customFormat="1" customHeight="1" s="12">
      <c r="A75" s="175" t="n">
        <v>47</v>
      </c>
      <c r="B75" s="202" t="inlineStr">
        <is>
          <t>14.2.01.05-0001</t>
        </is>
      </c>
      <c r="C75" s="191" t="inlineStr">
        <is>
          <t>Композиция на основе термопластичных полимеров</t>
        </is>
      </c>
      <c r="D75" s="202" t="inlineStr">
        <is>
          <t>кг</t>
        </is>
      </c>
      <c r="E75" s="202" t="n">
        <v>0.045</v>
      </c>
      <c r="F75" s="191" t="n">
        <v>44.44</v>
      </c>
      <c r="G75" s="192">
        <f>ROUND(E75*F75,2)</f>
        <v/>
      </c>
      <c r="H75" s="119">
        <f>G75/$G$84</f>
        <v/>
      </c>
      <c r="I75" s="27">
        <f>ROUND(F75*Прил.10!$D$13,2)</f>
        <v/>
      </c>
      <c r="J75" s="27">
        <f>ROUND(I75*E75,2)</f>
        <v/>
      </c>
    </row>
    <row r="76" outlineLevel="1" ht="14.25" customFormat="1" customHeight="1" s="12">
      <c r="A76" s="276" t="n">
        <v>48</v>
      </c>
      <c r="B76" s="202" t="inlineStr">
        <is>
          <t>01.7.03.01-0001</t>
        </is>
      </c>
      <c r="C76" s="191" t="inlineStr">
        <is>
          <t>Вода</t>
        </is>
      </c>
      <c r="D76" s="202" t="inlineStr">
        <is>
          <t>м3</t>
        </is>
      </c>
      <c r="E76" s="202" t="n">
        <v>0.464212</v>
      </c>
      <c r="F76" s="191" t="n">
        <v>2.48</v>
      </c>
      <c r="G76" s="192">
        <f>ROUND(E76*F76,2)</f>
        <v/>
      </c>
      <c r="H76" s="119">
        <f>G76/$G$84</f>
        <v/>
      </c>
      <c r="I76" s="27">
        <f>ROUND(F76*Прил.10!$D$13,2)</f>
        <v/>
      </c>
      <c r="J76" s="27">
        <f>ROUND(I76*E76,2)</f>
        <v/>
      </c>
    </row>
    <row r="77" outlineLevel="1" ht="14.25" customFormat="1" customHeight="1" s="12">
      <c r="A77" s="175" t="n">
        <v>49</v>
      </c>
      <c r="B77" s="202" t="inlineStr">
        <is>
          <t>01.7.11.07-0054</t>
        </is>
      </c>
      <c r="C77" s="191" t="inlineStr">
        <is>
          <t>Электроды сварочные Э42, диаметр 6 мм</t>
        </is>
      </c>
      <c r="D77" s="202" t="inlineStr">
        <is>
          <t>т</t>
        </is>
      </c>
      <c r="E77" s="202" t="n">
        <v>0.000107</v>
      </c>
      <c r="F77" s="191" t="n">
        <v>9439.25</v>
      </c>
      <c r="G77" s="192">
        <f>ROUND(E77*F77,2)</f>
        <v/>
      </c>
      <c r="H77" s="119">
        <f>G77/$G$84</f>
        <v/>
      </c>
      <c r="I77" s="27">
        <f>ROUND(F77*Прил.10!$D$13,2)</f>
        <v/>
      </c>
      <c r="J77" s="27">
        <f>ROUND(I77*E77,2)</f>
        <v/>
      </c>
    </row>
    <row r="78" outlineLevel="1" ht="25.5" customFormat="1" customHeight="1" s="12">
      <c r="A78" s="276" t="n">
        <v>50</v>
      </c>
      <c r="B78" s="202" t="inlineStr">
        <is>
          <t>03.1.02.03-0011</t>
        </is>
      </c>
      <c r="C78" s="191" t="inlineStr">
        <is>
          <t>Известь строительная негашеная комовая, сорт I</t>
        </is>
      </c>
      <c r="D78" s="202" t="inlineStr">
        <is>
          <t>т</t>
        </is>
      </c>
      <c r="E78" s="202" t="n">
        <v>0.001233</v>
      </c>
      <c r="F78" s="191" t="n">
        <v>738.04</v>
      </c>
      <c r="G78" s="192">
        <f>ROUND(E78*F78,2)</f>
        <v/>
      </c>
      <c r="H78" s="119">
        <f>G78/$G$84</f>
        <v/>
      </c>
      <c r="I78" s="27">
        <f>ROUND(F78*Прил.10!$D$13,2)</f>
        <v/>
      </c>
      <c r="J78" s="27">
        <f>ROUND(I78*E78,2)</f>
        <v/>
      </c>
    </row>
    <row r="79" outlineLevel="1" ht="14.25" customFormat="1" customHeight="1" s="12">
      <c r="A79" s="175" t="n">
        <v>51</v>
      </c>
      <c r="B79" s="202" t="inlineStr">
        <is>
          <t>01.7.11.07-0032</t>
        </is>
      </c>
      <c r="C79" s="191" t="inlineStr">
        <is>
          <t>Электроды сварочные Э42, диаметр 4 мм</t>
        </is>
      </c>
      <c r="D79" s="202" t="inlineStr">
        <is>
          <t>т</t>
        </is>
      </c>
      <c r="E79" s="202" t="n">
        <v>5.5e-05</v>
      </c>
      <c r="F79" s="191" t="n">
        <v>10181.82</v>
      </c>
      <c r="G79" s="192">
        <f>ROUND(E79*F79,2)</f>
        <v/>
      </c>
      <c r="H79" s="119">
        <f>G79/$G$84</f>
        <v/>
      </c>
      <c r="I79" s="27">
        <f>ROUND(F79*Прил.10!$D$13,2)</f>
        <v/>
      </c>
      <c r="J79" s="27">
        <f>ROUND(I79*E79,2)</f>
        <v/>
      </c>
    </row>
    <row r="80" outlineLevel="1" ht="14.25" customFormat="1" customHeight="1" s="12">
      <c r="A80" s="276" t="n">
        <v>52</v>
      </c>
      <c r="B80" s="202" t="inlineStr">
        <is>
          <t>07.2.07.02-0001</t>
        </is>
      </c>
      <c r="C80" s="191" t="inlineStr">
        <is>
          <t>Кондуктор инвентарный металлический</t>
        </is>
      </c>
      <c r="D80" s="202" t="inlineStr">
        <is>
          <t>шт</t>
        </is>
      </c>
      <c r="E80" s="202" t="n">
        <v>0.000274</v>
      </c>
      <c r="F80" s="191" t="n">
        <v>328.47</v>
      </c>
      <c r="G80" s="192">
        <f>ROUND(E80*F80,2)</f>
        <v/>
      </c>
      <c r="H80" s="119">
        <f>G80/$G$84</f>
        <v/>
      </c>
      <c r="I80" s="27">
        <f>ROUND(F80*Прил.10!$D$13,2)</f>
        <v/>
      </c>
      <c r="J80" s="27">
        <f>ROUND(I80*E80,2)</f>
        <v/>
      </c>
    </row>
    <row r="81" outlineLevel="1" ht="14.25" customFormat="1" customHeight="1" s="12">
      <c r="A81" s="175" t="n">
        <v>53</v>
      </c>
      <c r="B81" s="202" t="inlineStr">
        <is>
          <t>14.5.09.07-0030</t>
        </is>
      </c>
      <c r="C81" s="191" t="inlineStr">
        <is>
          <t>Растворитель Р-4</t>
        </is>
      </c>
      <c r="D81" s="202" t="inlineStr">
        <is>
          <t>кг</t>
        </is>
      </c>
      <c r="E81" s="202" t="n">
        <v>0.0042</v>
      </c>
      <c r="F81" s="191" t="n">
        <v>9.52</v>
      </c>
      <c r="G81" s="192">
        <f>ROUND(E81*F81,2)</f>
        <v/>
      </c>
      <c r="H81" s="119">
        <f>G81/$G$84</f>
        <v/>
      </c>
      <c r="I81" s="27">
        <f>ROUND(F81*Прил.10!$D$13,2)</f>
        <v/>
      </c>
      <c r="J81" s="27">
        <f>ROUND(I81*E81,2)</f>
        <v/>
      </c>
    </row>
    <row r="82" outlineLevel="1" ht="14.25" customFormat="1" customHeight="1" s="12">
      <c r="A82" s="276" t="n">
        <v>54</v>
      </c>
      <c r="B82" s="202" t="inlineStr">
        <is>
          <t>01.7.20.08-0051</t>
        </is>
      </c>
      <c r="C82" s="191" t="inlineStr">
        <is>
          <t>Ветошь</t>
        </is>
      </c>
      <c r="D82" s="202" t="inlineStr">
        <is>
          <t>кг</t>
        </is>
      </c>
      <c r="E82" s="202" t="n">
        <v>0.01468</v>
      </c>
      <c r="F82" s="191" t="n">
        <v>2.04</v>
      </c>
      <c r="G82" s="192">
        <f>ROUND(E82*F82,2)</f>
        <v/>
      </c>
      <c r="H82" s="119">
        <f>G82/$G$84</f>
        <v/>
      </c>
      <c r="I82" s="27">
        <f>ROUND(F82*Прил.10!$D$13,2)</f>
        <v/>
      </c>
      <c r="J82" s="27">
        <f>ROUND(I82*E82,2)</f>
        <v/>
      </c>
    </row>
    <row r="83" ht="14.25" customFormat="1" customHeight="1" s="12">
      <c r="A83" s="276" t="n"/>
      <c r="B83" s="276" t="n"/>
      <c r="C83" s="275" t="inlineStr">
        <is>
          <t>Итого прочие материалы</t>
        </is>
      </c>
      <c r="D83" s="276" t="n"/>
      <c r="E83" s="277" t="n"/>
      <c r="F83" s="278" t="n"/>
      <c r="G83" s="27">
        <f>SUM(G55:G82)</f>
        <v/>
      </c>
      <c r="H83" s="119">
        <f>G83/$G$84</f>
        <v/>
      </c>
      <c r="I83" s="27" t="n"/>
      <c r="J83" s="27">
        <f>SUM(J55:J82)</f>
        <v/>
      </c>
    </row>
    <row r="84" ht="14.25" customFormat="1" customHeight="1" s="12">
      <c r="A84" s="276" t="n"/>
      <c r="B84" s="276" t="n"/>
      <c r="C84" s="274" t="inlineStr">
        <is>
          <t>Итого по разделу «Материалы»</t>
        </is>
      </c>
      <c r="D84" s="276" t="n"/>
      <c r="E84" s="277" t="n"/>
      <c r="F84" s="278" t="n"/>
      <c r="G84" s="27">
        <f>G54+G83</f>
        <v/>
      </c>
      <c r="H84" s="279">
        <f>G84/$G$84</f>
        <v/>
      </c>
      <c r="I84" s="27" t="n"/>
      <c r="J84" s="27">
        <f>J54+J83</f>
        <v/>
      </c>
    </row>
    <row r="85" ht="14.25" customFormat="1" customHeight="1" s="12">
      <c r="A85" s="276" t="n"/>
      <c r="B85" s="276" t="n"/>
      <c r="C85" s="275" t="inlineStr">
        <is>
          <t>ИТОГО ПО РМ</t>
        </is>
      </c>
      <c r="D85" s="276" t="n"/>
      <c r="E85" s="277" t="n"/>
      <c r="F85" s="278" t="n"/>
      <c r="G85" s="27">
        <f>G14+G38+G84</f>
        <v/>
      </c>
      <c r="H85" s="279" t="n"/>
      <c r="I85" s="27" t="n"/>
      <c r="J85" s="27">
        <f>J14+J38+J84</f>
        <v/>
      </c>
    </row>
    <row r="86" ht="14.25" customFormat="1" customHeight="1" s="12">
      <c r="A86" s="276" t="n"/>
      <c r="B86" s="276" t="n"/>
      <c r="C86" s="275" t="inlineStr">
        <is>
          <t>Накладные расходы</t>
        </is>
      </c>
      <c r="D86" s="184">
        <f>ROUND(G86/(G$16+$G$14),2)</f>
        <v/>
      </c>
      <c r="E86" s="277" t="n"/>
      <c r="F86" s="278" t="n"/>
      <c r="G86" s="27" t="n">
        <v>469</v>
      </c>
      <c r="H86" s="279" t="n"/>
      <c r="I86" s="27" t="n"/>
      <c r="J86" s="27">
        <f>ROUND(D86*(J14+J16),2)</f>
        <v/>
      </c>
    </row>
    <row r="87" ht="14.25" customFormat="1" customHeight="1" s="12">
      <c r="A87" s="276" t="n"/>
      <c r="B87" s="276" t="n"/>
      <c r="C87" s="275" t="inlineStr">
        <is>
          <t>Сметная прибыль</t>
        </is>
      </c>
      <c r="D87" s="184">
        <f>ROUND(G87/(G$14+G$16),2)</f>
        <v/>
      </c>
      <c r="E87" s="277" t="n"/>
      <c r="F87" s="278" t="n"/>
      <c r="G87" s="27" t="n">
        <v>258</v>
      </c>
      <c r="H87" s="279" t="n"/>
      <c r="I87" s="27" t="n"/>
      <c r="J87" s="27">
        <f>ROUND(D87*(J14+J16),2)</f>
        <v/>
      </c>
    </row>
    <row r="88" ht="14.25" customFormat="1" customHeight="1" s="12">
      <c r="A88" s="276" t="n"/>
      <c r="B88" s="276" t="n"/>
      <c r="C88" s="275" t="inlineStr">
        <is>
          <t>Итого СМР (с НР и СП)</t>
        </is>
      </c>
      <c r="D88" s="276" t="n"/>
      <c r="E88" s="277" t="n"/>
      <c r="F88" s="278" t="n"/>
      <c r="G88" s="27">
        <f>G14+G38+G84+G86+G87</f>
        <v/>
      </c>
      <c r="H88" s="279" t="n"/>
      <c r="I88" s="27" t="n"/>
      <c r="J88" s="27">
        <f>J14+J38+J84+J86+J87</f>
        <v/>
      </c>
    </row>
    <row r="89" ht="14.25" customFormat="1" customHeight="1" s="12">
      <c r="A89" s="276" t="n"/>
      <c r="B89" s="276" t="n"/>
      <c r="C89" s="275" t="inlineStr">
        <is>
          <t>ВСЕГО СМР + ОБОРУДОВАНИЕ</t>
        </is>
      </c>
      <c r="D89" s="276" t="n"/>
      <c r="E89" s="277" t="n"/>
      <c r="F89" s="278" t="n"/>
      <c r="G89" s="27">
        <f>G88+G43</f>
        <v/>
      </c>
      <c r="H89" s="279" t="n"/>
      <c r="I89" s="27" t="n"/>
      <c r="J89" s="27">
        <f>J88+J43</f>
        <v/>
      </c>
    </row>
    <row r="90" ht="34.5" customFormat="1" customHeight="1" s="12">
      <c r="A90" s="276" t="n"/>
      <c r="B90" s="276" t="n"/>
      <c r="C90" s="275" t="inlineStr">
        <is>
          <t>ИТОГО ПОКАЗАТЕЛЬ НА ЕД. ИЗМ.</t>
        </is>
      </c>
      <c r="D90" s="276" t="inlineStr">
        <is>
          <t>ед.</t>
        </is>
      </c>
      <c r="E90" s="353" t="n">
        <v>1</v>
      </c>
      <c r="F90" s="278" t="n"/>
      <c r="G90" s="27">
        <f>G89/E90</f>
        <v/>
      </c>
      <c r="H90" s="279" t="n"/>
      <c r="I90" s="27" t="n"/>
      <c r="J90" s="27">
        <f>J89/E90</f>
        <v/>
      </c>
    </row>
    <row r="92" ht="14.25" customFormat="1" customHeight="1" s="12">
      <c r="A92" s="4" t="inlineStr">
        <is>
          <t>Составил ______________________    А.Р. Маркова</t>
        </is>
      </c>
      <c r="B92" s="181" t="n"/>
      <c r="C92" s="183" t="n"/>
      <c r="D92" s="181" t="n"/>
      <c r="E92" s="181" t="n"/>
      <c r="F92" s="185" t="n"/>
      <c r="G92" s="185" t="n"/>
      <c r="H92" s="185" t="n"/>
      <c r="I92" s="185" t="n"/>
      <c r="J92" s="185" t="n"/>
    </row>
    <row r="93" ht="14.25" customFormat="1" customHeight="1" s="12">
      <c r="A93" s="28" t="inlineStr">
        <is>
          <t xml:space="preserve">                         (подпись, инициалы, фамилия)</t>
        </is>
      </c>
      <c r="B93" s="181" t="n"/>
      <c r="C93" s="183" t="n"/>
      <c r="D93" s="181" t="n"/>
      <c r="E93" s="181" t="n"/>
      <c r="F93" s="185" t="n"/>
      <c r="G93" s="185" t="n"/>
      <c r="H93" s="185" t="n"/>
      <c r="I93" s="185" t="n"/>
      <c r="J93" s="185" t="n"/>
    </row>
    <row r="94" ht="14.25" customFormat="1" customHeight="1" s="12">
      <c r="A94" s="4" t="n"/>
      <c r="B94" s="181" t="n"/>
      <c r="C94" s="183" t="n"/>
      <c r="D94" s="181" t="n"/>
      <c r="E94" s="181" t="n"/>
      <c r="F94" s="185" t="n"/>
      <c r="G94" s="185" t="n"/>
      <c r="H94" s="185" t="n"/>
      <c r="I94" s="185" t="n"/>
      <c r="J94" s="185" t="n"/>
    </row>
    <row r="95" ht="14.25" customFormat="1" customHeight="1" s="12">
      <c r="A95" s="4" t="inlineStr">
        <is>
          <t>Проверил ______________________        А.В. Костянецкая</t>
        </is>
      </c>
      <c r="B95" s="181" t="n"/>
      <c r="C95" s="183" t="n"/>
      <c r="D95" s="181" t="n"/>
      <c r="E95" s="181" t="n"/>
      <c r="F95" s="185" t="n"/>
      <c r="G95" s="185" t="n"/>
      <c r="H95" s="185" t="n"/>
      <c r="I95" s="185" t="n"/>
      <c r="J95" s="185" t="n"/>
    </row>
    <row r="96" ht="14.25" customFormat="1" customHeight="1" s="12">
      <c r="A96" s="28" t="inlineStr">
        <is>
          <t xml:space="preserve">                        (подпись, инициалы, фамилия)</t>
        </is>
      </c>
      <c r="B96" s="181" t="n"/>
      <c r="C96" s="183" t="n"/>
      <c r="D96" s="181" t="n"/>
      <c r="E96" s="181" t="n"/>
      <c r="F96" s="185" t="n"/>
      <c r="G96" s="185" t="n"/>
      <c r="H96" s="185" t="n"/>
      <c r="I96" s="185" t="n"/>
      <c r="J96" s="185" t="n"/>
    </row>
  </sheetData>
  <mergeCells count="20">
    <mergeCell ref="H9:H10"/>
    <mergeCell ref="B40:H40"/>
    <mergeCell ref="B15:H15"/>
    <mergeCell ref="H2:J2"/>
    <mergeCell ref="A6:H6"/>
    <mergeCell ref="D5:J5"/>
    <mergeCell ref="B45:H45"/>
    <mergeCell ref="C9:C10"/>
    <mergeCell ref="E9:E10"/>
    <mergeCell ref="B46:H46"/>
    <mergeCell ref="B9:B10"/>
    <mergeCell ref="D9:D10"/>
    <mergeCell ref="B18:H18"/>
    <mergeCell ref="B12:H12"/>
    <mergeCell ref="B39:H39"/>
    <mergeCell ref="F9:G9"/>
    <mergeCell ref="B17:H17"/>
    <mergeCell ref="A9:A10"/>
    <mergeCell ref="A3:J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55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5" sqref="D25"/>
    </sheetView>
  </sheetViews>
  <sheetFormatPr baseColWidth="8" defaultRowHeight="15"/>
  <cols>
    <col width="5.7109375" customWidth="1" style="222" min="1" max="1"/>
    <col width="17.5703125" customWidth="1" style="222" min="2" max="2"/>
    <col width="39.140625" customWidth="1" style="222" min="3" max="3"/>
    <col width="10.7109375" customWidth="1" style="222" min="4" max="4"/>
    <col width="13.85546875" customWidth="1" style="222" min="5" max="5"/>
    <col width="13.28515625" customWidth="1" style="222" min="6" max="6"/>
    <col width="14.140625" customWidth="1" style="222" min="7" max="7"/>
  </cols>
  <sheetData>
    <row r="1">
      <c r="A1" s="289" t="inlineStr">
        <is>
          <t>Приложение №6</t>
        </is>
      </c>
    </row>
    <row r="2" ht="21.75" customHeight="1" s="222">
      <c r="A2" s="289" t="n"/>
      <c r="B2" s="289" t="n"/>
      <c r="C2" s="289" t="n"/>
      <c r="D2" s="289" t="n"/>
      <c r="E2" s="289" t="n"/>
      <c r="F2" s="289" t="n"/>
      <c r="G2" s="289" t="n"/>
    </row>
    <row r="3">
      <c r="A3" s="245" t="inlineStr">
        <is>
          <t>Расчет стоимости оборудования</t>
        </is>
      </c>
    </row>
    <row r="4" ht="25.5" customHeight="1" s="222">
      <c r="A4" s="248" t="inlineStr">
        <is>
          <t>Наименование разрабатываемого показателя УНЦ — Опора под ВЧ-КС/ ВЧ-заградитель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222">
      <c r="A6" s="294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76" t="inlineStr">
        <is>
          <t>Кол-во единиц по проектным данным</t>
        </is>
      </c>
      <c r="F6" s="294" t="inlineStr">
        <is>
          <t>Сметная стоимость в ценах на 01.01.2000 (руб.)</t>
        </is>
      </c>
      <c r="G6" s="341" t="n"/>
    </row>
    <row r="7">
      <c r="A7" s="343" t="n"/>
      <c r="B7" s="343" t="n"/>
      <c r="C7" s="343" t="n"/>
      <c r="D7" s="343" t="n"/>
      <c r="E7" s="343" t="n"/>
      <c r="F7" s="276" t="inlineStr">
        <is>
          <t>на ед. изм.</t>
        </is>
      </c>
      <c r="G7" s="276" t="inlineStr">
        <is>
          <t>общая</t>
        </is>
      </c>
    </row>
    <row r="8">
      <c r="A8" s="276" t="n">
        <v>1</v>
      </c>
      <c r="B8" s="276" t="n">
        <v>2</v>
      </c>
      <c r="C8" s="276" t="n">
        <v>3</v>
      </c>
      <c r="D8" s="276" t="n">
        <v>4</v>
      </c>
      <c r="E8" s="276" t="n">
        <v>5</v>
      </c>
      <c r="F8" s="276" t="n">
        <v>6</v>
      </c>
      <c r="G8" s="276" t="n">
        <v>7</v>
      </c>
    </row>
    <row r="9" ht="15" customHeight="1" s="222">
      <c r="A9" s="100" t="n"/>
      <c r="B9" s="275" t="inlineStr">
        <is>
          <t>ИНЖЕНЕРНОЕ ОБОРУДОВАНИЕ</t>
        </is>
      </c>
      <c r="C9" s="340" t="n"/>
      <c r="D9" s="340" t="n"/>
      <c r="E9" s="340" t="n"/>
      <c r="F9" s="340" t="n"/>
      <c r="G9" s="341" t="n"/>
    </row>
    <row r="10" ht="27" customHeight="1" s="222">
      <c r="A10" s="276" t="n"/>
      <c r="B10" s="274" t="n"/>
      <c r="C10" s="275" t="inlineStr">
        <is>
          <t>ИТОГО ИНЖЕНЕРНОЕ ОБОРУДОВАНИЕ</t>
        </is>
      </c>
      <c r="D10" s="274" t="n"/>
      <c r="E10" s="101" t="n"/>
      <c r="F10" s="278" t="n"/>
      <c r="G10" s="278" t="n">
        <v>0</v>
      </c>
    </row>
    <row r="11">
      <c r="A11" s="276" t="n"/>
      <c r="B11" s="275" t="inlineStr">
        <is>
          <t>ТЕХНОЛОГИЧЕСКОЕ ОБОРУДОВАНИЕ</t>
        </is>
      </c>
      <c r="C11" s="340" t="n"/>
      <c r="D11" s="340" t="n"/>
      <c r="E11" s="340" t="n"/>
      <c r="F11" s="340" t="n"/>
      <c r="G11" s="341" t="n"/>
    </row>
    <row r="12" ht="25.5" customHeight="1" s="222">
      <c r="A12" s="276" t="n"/>
      <c r="B12" s="274" t="n"/>
      <c r="C12" s="275" t="inlineStr">
        <is>
          <t>ИТОГО ТЕХНОЛОГИЧЕСКОЕ ОБОРУДОВАНИЕ</t>
        </is>
      </c>
      <c r="D12" s="274" t="n"/>
      <c r="E12" s="101" t="n"/>
      <c r="F12" s="278" t="n"/>
      <c r="G12" s="278" t="n">
        <v>0</v>
      </c>
    </row>
    <row r="13" ht="19.5" customHeight="1" s="222">
      <c r="A13" s="276" t="n"/>
      <c r="B13" s="275" t="n"/>
      <c r="C13" s="275" t="inlineStr">
        <is>
          <t>Всего по разделу «Оборудование»</t>
        </is>
      </c>
      <c r="D13" s="275" t="n"/>
      <c r="E13" s="293" t="n"/>
      <c r="F13" s="278" t="n"/>
      <c r="G13" s="27" t="n">
        <v>0</v>
      </c>
    </row>
    <row r="14">
      <c r="A14" s="25" t="n"/>
      <c r="B14" s="102" t="n"/>
      <c r="C14" s="25" t="n"/>
      <c r="D14" s="25" t="n"/>
      <c r="E14" s="25" t="n"/>
      <c r="F14" s="25" t="n"/>
      <c r="G14" s="25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25" t="n"/>
      <c r="E15" s="25" t="n"/>
      <c r="F15" s="25" t="n"/>
      <c r="G15" s="25" t="n"/>
    </row>
    <row r="16">
      <c r="A16" s="28" t="inlineStr">
        <is>
          <t xml:space="preserve">                         (подпись, инициалы, фамилия)</t>
        </is>
      </c>
      <c r="B16" s="12" t="n"/>
      <c r="C16" s="12" t="n"/>
      <c r="D16" s="25" t="n"/>
      <c r="E16" s="25" t="n"/>
      <c r="F16" s="25" t="n"/>
      <c r="G16" s="25" t="n"/>
    </row>
    <row r="17">
      <c r="A17" s="4" t="n"/>
      <c r="B17" s="12" t="n"/>
      <c r="C17" s="12" t="n"/>
      <c r="D17" s="25" t="n"/>
      <c r="E17" s="25" t="n"/>
      <c r="F17" s="25" t="n"/>
      <c r="G17" s="25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5" t="n"/>
      <c r="E18" s="25" t="n"/>
      <c r="F18" s="25" t="n"/>
      <c r="G18" s="25" t="n"/>
    </row>
    <row r="19">
      <c r="A19" s="28" t="inlineStr">
        <is>
          <t xml:space="preserve">                        (подпись, инициалы, фамилия)</t>
        </is>
      </c>
      <c r="B19" s="12" t="n"/>
      <c r="C19" s="12" t="n"/>
      <c r="D19" s="25" t="n"/>
      <c r="E19" s="25" t="n"/>
      <c r="F19" s="25" t="n"/>
      <c r="G19" s="2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22" min="1" max="1"/>
    <col width="29.7109375" customWidth="1" style="222" min="2" max="2"/>
    <col width="39.140625" customWidth="1" style="222" min="3" max="3"/>
    <col width="24.5703125" customWidth="1" style="222" min="4" max="4"/>
  </cols>
  <sheetData>
    <row r="1">
      <c r="B1" s="4" t="n"/>
      <c r="C1" s="4" t="n"/>
      <c r="D1" s="289" t="inlineStr">
        <is>
          <t>Приложение №7</t>
        </is>
      </c>
    </row>
    <row r="2">
      <c r="A2" s="289" t="n"/>
      <c r="B2" s="289" t="n"/>
      <c r="C2" s="289" t="n"/>
      <c r="D2" s="289" t="n"/>
    </row>
    <row r="3" ht="24.75" customHeight="1" s="222">
      <c r="A3" s="245" t="inlineStr">
        <is>
          <t>Расчет показателя УНЦ</t>
        </is>
      </c>
    </row>
    <row r="4" ht="24.75" customHeight="1" s="222">
      <c r="A4" s="245" t="n"/>
      <c r="B4" s="245" t="n"/>
      <c r="C4" s="245" t="n"/>
      <c r="D4" s="245" t="n"/>
    </row>
    <row r="5" ht="24.6" customHeight="1" s="222">
      <c r="A5" s="248" t="inlineStr">
        <is>
          <t xml:space="preserve">Наименование разрабатываемого показателя УНЦ - </t>
        </is>
      </c>
      <c r="D5" s="248">
        <f>'Прил.5 Расчет СМР и ОБ'!D5:J5</f>
        <v/>
      </c>
    </row>
    <row r="6" ht="19.9" customHeight="1" s="222">
      <c r="A6" s="248" t="inlineStr">
        <is>
          <t>Единица измерения  — 1 ед</t>
        </is>
      </c>
      <c r="D6" s="248" t="n"/>
    </row>
    <row r="7">
      <c r="A7" s="4" t="n"/>
      <c r="B7" s="4" t="n"/>
      <c r="C7" s="4" t="n"/>
      <c r="D7" s="4" t="n"/>
    </row>
    <row r="8" ht="14.45" customHeight="1" s="222">
      <c r="A8" s="257" t="inlineStr">
        <is>
          <t>Код показателя</t>
        </is>
      </c>
      <c r="B8" s="257" t="inlineStr">
        <is>
          <t>Наименование показателя</t>
        </is>
      </c>
      <c r="C8" s="257" t="inlineStr">
        <is>
          <t>Наименование РМ, входящих в состав показателя</t>
        </is>
      </c>
      <c r="D8" s="257" t="inlineStr">
        <is>
          <t>Норматив цены на 01.01.2023, тыс.руб.</t>
        </is>
      </c>
    </row>
    <row r="9" ht="15" customHeight="1" s="222">
      <c r="A9" s="343" t="n"/>
      <c r="B9" s="343" t="n"/>
      <c r="C9" s="343" t="n"/>
      <c r="D9" s="343" t="n"/>
    </row>
    <row r="10">
      <c r="A10" s="276" t="n">
        <v>1</v>
      </c>
      <c r="B10" s="276" t="n">
        <v>2</v>
      </c>
      <c r="C10" s="276" t="n">
        <v>3</v>
      </c>
      <c r="D10" s="276" t="n">
        <v>4</v>
      </c>
    </row>
    <row r="11" ht="41.45" customHeight="1" s="222">
      <c r="A11" s="276" t="inlineStr">
        <is>
          <t>А6-08</t>
        </is>
      </c>
      <c r="B11" s="276" t="inlineStr">
        <is>
          <t xml:space="preserve">УНЦ системы ВЧ связи 35-750 кВ </t>
        </is>
      </c>
      <c r="C11" s="160">
        <f>D5</f>
        <v/>
      </c>
      <c r="D11" s="3">
        <f>'Прил.4 РМ'!C41/1000</f>
        <v/>
      </c>
      <c r="E11" s="159" t="n"/>
    </row>
    <row r="12">
      <c r="A12" s="25" t="n"/>
      <c r="B12" s="102" t="n"/>
      <c r="C12" s="25" t="n"/>
      <c r="D12" s="25" t="n"/>
    </row>
    <row r="13">
      <c r="A13" s="4" t="inlineStr">
        <is>
          <t>Составил ______________________      А.Р. Маркова</t>
        </is>
      </c>
      <c r="B13" s="12" t="n"/>
      <c r="C13" s="12" t="n"/>
      <c r="D13" s="25" t="n"/>
    </row>
    <row r="14">
      <c r="A14" s="28" t="inlineStr">
        <is>
          <t xml:space="preserve">                         (подпись, инициалы, фамилия)</t>
        </is>
      </c>
      <c r="B14" s="12" t="n"/>
      <c r="C14" s="12" t="n"/>
      <c r="D14" s="25" t="n"/>
    </row>
    <row r="15">
      <c r="A15" s="4" t="n"/>
      <c r="B15" s="12" t="n"/>
      <c r="C15" s="12" t="n"/>
      <c r="D15" s="25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5" t="n"/>
    </row>
    <row r="17">
      <c r="A17" s="28" t="inlineStr">
        <is>
          <t xml:space="preserve">                        (подпись, инициалы, фамилия)</t>
        </is>
      </c>
      <c r="B17" s="12" t="n"/>
      <c r="C17" s="12" t="n"/>
      <c r="D17" s="2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topLeftCell="A10" zoomScale="60" zoomScaleNormal="85" workbookViewId="0">
      <selection activeCell="C27" sqref="C27"/>
    </sheetView>
  </sheetViews>
  <sheetFormatPr baseColWidth="8" defaultColWidth="9.140625" defaultRowHeight="15"/>
  <cols>
    <col width="40.7109375" customWidth="1" style="222" min="2" max="2"/>
    <col width="37" customWidth="1" style="222" min="3" max="3"/>
    <col width="32" customWidth="1" style="222" min="4" max="4"/>
  </cols>
  <sheetData>
    <row r="4" ht="15.75" customHeight="1" s="222">
      <c r="B4" s="252" t="inlineStr">
        <is>
          <t>Приложение № 10</t>
        </is>
      </c>
    </row>
    <row r="5" ht="18.75" customHeight="1" s="222">
      <c r="B5" s="113" t="n"/>
    </row>
    <row r="6" ht="15.75" customHeight="1" s="222">
      <c r="B6" s="253" t="inlineStr">
        <is>
          <t>Используемые индексы изменений сметной стоимости и нормы сопутствующих затрат</t>
        </is>
      </c>
    </row>
    <row r="7">
      <c r="B7" s="295" t="n"/>
    </row>
    <row r="8">
      <c r="B8" s="295" t="n"/>
      <c r="C8" s="295" t="n"/>
      <c r="D8" s="295" t="n"/>
      <c r="E8" s="295" t="n"/>
    </row>
    <row r="9" ht="47.25" customHeight="1" s="222">
      <c r="B9" s="257" t="inlineStr">
        <is>
          <t>Наименование индекса / норм сопутствующих затрат</t>
        </is>
      </c>
      <c r="C9" s="257" t="inlineStr">
        <is>
          <t>Дата применения и обоснование индекса / норм сопутствующих затрат</t>
        </is>
      </c>
      <c r="D9" s="257" t="inlineStr">
        <is>
          <t>Размер индекса / норма сопутствующих затрат</t>
        </is>
      </c>
    </row>
    <row r="10" ht="15.75" customHeight="1" s="222">
      <c r="B10" s="257" t="n">
        <v>1</v>
      </c>
      <c r="C10" s="257" t="n">
        <v>2</v>
      </c>
      <c r="D10" s="257" t="n">
        <v>3</v>
      </c>
    </row>
    <row r="11" ht="45" customHeight="1" s="222">
      <c r="B11" s="257" t="inlineStr">
        <is>
          <t xml:space="preserve">Индекс изменения сметной стоимости на 1 квартал 2023 года. ОЗП </t>
        </is>
      </c>
      <c r="C11" s="257" t="inlineStr">
        <is>
          <t>Письмо Минстроя России от 01.04.2023г. №17772-ИФ/09 прил.9</t>
        </is>
      </c>
      <c r="D11" s="257" t="n">
        <v>46.83</v>
      </c>
    </row>
    <row r="12" ht="29.25" customHeight="1" s="222">
      <c r="B12" s="257" t="inlineStr">
        <is>
          <t>Индекс изменения сметной стоимости на 1 квартал 2023 года. ЭМ</t>
        </is>
      </c>
      <c r="C12" s="257" t="inlineStr">
        <is>
          <t>Письмо Минстроя России от 01.04.2023г. №17772-ИФ/09 прил.9</t>
        </is>
      </c>
      <c r="D12" s="257" t="n">
        <v>9.84</v>
      </c>
    </row>
    <row r="13" ht="29.25" customHeight="1" s="222">
      <c r="B13" s="257" t="inlineStr">
        <is>
          <t>Индекс изменения сметной стоимости на 1 квартал 2023 года. МАТ</t>
        </is>
      </c>
      <c r="C13" s="257" t="inlineStr">
        <is>
          <t>Письмо Минстроя России от 01.04.2023г. №17772-ИФ/09 прил.9</t>
        </is>
      </c>
      <c r="D13" s="257" t="n">
        <v>11.96</v>
      </c>
    </row>
    <row r="14" ht="30.75" customHeight="1" s="222">
      <c r="B14" s="257" t="inlineStr">
        <is>
          <t>Индекс изменения сметной стоимости на 1 квартал 2023 года. ОБ</t>
        </is>
      </c>
      <c r="C14" s="112" t="inlineStr">
        <is>
          <t>Письмо Минстроя России от 23.02.2023г. №9791-ИФ/09 прил.6</t>
        </is>
      </c>
      <c r="D14" s="257" t="n">
        <v>6.26</v>
      </c>
    </row>
    <row r="15" ht="89.25" customHeight="1" s="222">
      <c r="B15" s="257" t="inlineStr">
        <is>
          <t>Временные здания и сооружения</t>
        </is>
      </c>
      <c r="C15" s="25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6" t="n">
        <v>0.033</v>
      </c>
    </row>
    <row r="16" ht="78.75" customHeight="1" s="222">
      <c r="B16" s="257" t="inlineStr">
        <is>
          <t>Дополнительные затраты при производстве строительно-монтажных работ в зимнее время</t>
        </is>
      </c>
      <c r="C16" s="257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0.01</v>
      </c>
    </row>
    <row r="17" ht="34.5" customHeight="1" s="222">
      <c r="B17" s="257" t="n"/>
      <c r="C17" s="257" t="n"/>
      <c r="D17" s="257" t="n"/>
    </row>
    <row r="18" ht="31.5" customHeight="1" s="222">
      <c r="B18" s="257" t="inlineStr">
        <is>
          <t>Строительный контроль</t>
        </is>
      </c>
      <c r="C18" s="257" t="inlineStr">
        <is>
          <t>Постановление Правительства РФ от 21.06.10 г. № 468</t>
        </is>
      </c>
      <c r="D18" s="116" t="n">
        <v>0.0214</v>
      </c>
    </row>
    <row r="19" ht="31.5" customHeight="1" s="222">
      <c r="B19" s="257" t="inlineStr">
        <is>
          <t>Авторский надзор - 0,2%</t>
        </is>
      </c>
      <c r="C19" s="257" t="inlineStr">
        <is>
          <t>Приказ от 4.08.2020 № 421/пр п.173</t>
        </is>
      </c>
      <c r="D19" s="116" t="n">
        <v>0.002</v>
      </c>
    </row>
    <row r="20" ht="24" customHeight="1" s="222">
      <c r="B20" s="257" t="inlineStr">
        <is>
          <t>Непредвиденные расходы</t>
        </is>
      </c>
      <c r="C20" s="257" t="inlineStr">
        <is>
          <t>Приказ от 4.08.2020 № 421/пр п.179</t>
        </is>
      </c>
      <c r="D20" s="116" t="n">
        <v>0.03</v>
      </c>
    </row>
    <row r="21" ht="18.75" customHeight="1" s="222">
      <c r="B21" s="114" t="n"/>
    </row>
    <row r="23">
      <c r="B23" s="4" t="inlineStr">
        <is>
          <t>Составил ______________________        А.Р. Маркова</t>
        </is>
      </c>
      <c r="C23" s="12" t="n"/>
    </row>
    <row r="24">
      <c r="B24" s="28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28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F13"/>
  <sheetViews>
    <sheetView tabSelected="1" view="pageBreakPreview" zoomScale="60" zoomScaleNormal="100" workbookViewId="0">
      <selection activeCell="D11" sqref="D11"/>
    </sheetView>
  </sheetViews>
  <sheetFormatPr baseColWidth="8" defaultColWidth="9.140625" defaultRowHeight="15"/>
  <cols>
    <col width="44.85546875" customWidth="1" style="222" min="2" max="2"/>
    <col width="13" customWidth="1" style="222" min="3" max="3"/>
    <col width="22.85546875" customWidth="1" style="222" min="4" max="4"/>
    <col width="21.5703125" customWidth="1" style="222" min="5" max="5"/>
    <col width="43.85546875" customWidth="1" style="222" min="6" max="6"/>
  </cols>
  <sheetData>
    <row r="1" s="222"/>
    <row r="2" ht="17.25" customHeight="1" s="222">
      <c r="A2" s="253" t="inlineStr">
        <is>
          <t>Расчет размера средств на оплату труда рабочих-строителей в текущем уровне цен (ФОТр.тек.)</t>
        </is>
      </c>
    </row>
    <row r="3" s="222"/>
    <row r="4" ht="18" customHeight="1" s="222">
      <c r="A4" s="223" t="inlineStr">
        <is>
          <t>Составлен в уровне цен на 01.01.2023 г.</t>
        </is>
      </c>
      <c r="B4" s="224" t="n"/>
      <c r="C4" s="224" t="n"/>
      <c r="D4" s="224" t="n"/>
      <c r="E4" s="224" t="n"/>
      <c r="F4" s="224" t="n"/>
    </row>
    <row r="5" ht="15.75" customHeight="1" s="222">
      <c r="A5" s="225" t="inlineStr">
        <is>
          <t>№ пп.</t>
        </is>
      </c>
      <c r="B5" s="225" t="inlineStr">
        <is>
          <t>Наименование элемента</t>
        </is>
      </c>
      <c r="C5" s="225" t="inlineStr">
        <is>
          <t>Обозначение</t>
        </is>
      </c>
      <c r="D5" s="225" t="inlineStr">
        <is>
          <t>Формула</t>
        </is>
      </c>
      <c r="E5" s="225" t="inlineStr">
        <is>
          <t>Величина элемента</t>
        </is>
      </c>
      <c r="F5" s="225" t="inlineStr">
        <is>
          <t>Наименования обосновывающих документов</t>
        </is>
      </c>
    </row>
    <row r="6" ht="15.75" customHeight="1" s="222">
      <c r="A6" s="225" t="n">
        <v>1</v>
      </c>
      <c r="B6" s="225" t="n">
        <v>2</v>
      </c>
      <c r="C6" s="225" t="n">
        <v>3</v>
      </c>
      <c r="D6" s="225" t="n">
        <v>4</v>
      </c>
      <c r="E6" s="225" t="n">
        <v>5</v>
      </c>
      <c r="F6" s="225" t="n">
        <v>6</v>
      </c>
    </row>
    <row r="7" ht="110.25" customHeight="1" s="222">
      <c r="A7" s="226" t="inlineStr">
        <is>
          <t>1.1</t>
        </is>
      </c>
      <c r="B7" s="26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7" t="inlineStr">
        <is>
          <t>С1ср</t>
        </is>
      </c>
      <c r="D7" s="257" t="inlineStr">
        <is>
          <t>-</t>
        </is>
      </c>
      <c r="E7" s="229" t="n">
        <v>47872.94</v>
      </c>
      <c r="F7" s="26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1.5" customHeight="1" s="222">
      <c r="A8" s="226" t="inlineStr">
        <is>
          <t>1.2</t>
        </is>
      </c>
      <c r="B8" s="265" t="inlineStr">
        <is>
          <t>Среднегодовое нормативное число часов работы одного рабочего в месяц, часы (ч.)</t>
        </is>
      </c>
      <c r="C8" s="257" t="inlineStr">
        <is>
          <t>tср</t>
        </is>
      </c>
      <c r="D8" s="257" t="inlineStr">
        <is>
          <t>1973ч/12мес.</t>
        </is>
      </c>
      <c r="E8" s="230">
        <f>1973/12</f>
        <v/>
      </c>
      <c r="F8" s="265" t="inlineStr">
        <is>
          <t>Производственный календарь 2023 год
(40-часов.неделя)</t>
        </is>
      </c>
    </row>
    <row r="9" ht="15.75" customHeight="1" s="222">
      <c r="A9" s="226" t="inlineStr">
        <is>
          <t>1.3</t>
        </is>
      </c>
      <c r="B9" s="265" t="inlineStr">
        <is>
          <t>Коэффициент увеличения</t>
        </is>
      </c>
      <c r="C9" s="257" t="inlineStr">
        <is>
          <t>Кув</t>
        </is>
      </c>
      <c r="D9" s="257" t="inlineStr">
        <is>
          <t>-</t>
        </is>
      </c>
      <c r="E9" s="230" t="n">
        <v>1</v>
      </c>
      <c r="F9" s="265" t="n"/>
    </row>
    <row r="10" ht="15.75" customHeight="1" s="222">
      <c r="A10" s="226" t="inlineStr">
        <is>
          <t>1.4</t>
        </is>
      </c>
      <c r="B10" s="265" t="inlineStr">
        <is>
          <t>Средний разряд работ</t>
        </is>
      </c>
      <c r="C10" s="257" t="n"/>
      <c r="D10" s="257" t="n"/>
      <c r="E10" s="354" t="n">
        <v>3.2</v>
      </c>
      <c r="F10" s="265" t="inlineStr">
        <is>
          <t>РТМ</t>
        </is>
      </c>
    </row>
    <row r="11" ht="78.75" customHeight="1" s="222">
      <c r="A11" s="226" t="inlineStr">
        <is>
          <t>1.5</t>
        </is>
      </c>
      <c r="B11" s="265" t="inlineStr">
        <is>
          <t>Тарифный коэффициент среднего разряда работ</t>
        </is>
      </c>
      <c r="C11" s="257" t="inlineStr">
        <is>
          <t>КТ</t>
        </is>
      </c>
      <c r="D11" s="257" t="inlineStr">
        <is>
          <t>-</t>
        </is>
      </c>
      <c r="E11" s="355" t="n">
        <v>1.217</v>
      </c>
      <c r="F11" s="26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8.75" customHeight="1" s="222">
      <c r="A12" s="226" t="inlineStr">
        <is>
          <t>1.6</t>
        </is>
      </c>
      <c r="B12" s="234" t="inlineStr">
        <is>
          <t>Коэффициент инфляции, определяемый поквартально</t>
        </is>
      </c>
      <c r="C12" s="257" t="inlineStr">
        <is>
          <t>Кинф</t>
        </is>
      </c>
      <c r="D12" s="257" t="inlineStr">
        <is>
          <t>-</t>
        </is>
      </c>
      <c r="E12" s="356" t="n">
        <v>1.139</v>
      </c>
      <c r="F12" s="2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13" ht="63" customHeight="1" s="222">
      <c r="A13" s="237" t="inlineStr">
        <is>
          <t>1.7</t>
        </is>
      </c>
      <c r="B13" s="238" t="inlineStr">
        <is>
          <t>Размер средств на оплату труда рабочих-строителей в текущем уровне цен (ФОТр.тек.), руб/чел.-ч</t>
        </is>
      </c>
      <c r="C13" s="239" t="inlineStr">
        <is>
          <t>ФОТр.тек.</t>
        </is>
      </c>
      <c r="D13" s="239" t="inlineStr">
        <is>
          <t>(С1ср/tср*КТ*Т*Кув)*Кинф</t>
        </is>
      </c>
      <c r="E13" s="240">
        <f>((E7*E9/E8)*E11)*E12</f>
        <v/>
      </c>
      <c r="F13" s="2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2025-01-24T11:52:51Z</dcterms:modified>
  <cp:lastModifiedBy>Виктор Плотников</cp:lastModifiedBy>
  <cp:lastPrinted>2023-11-24T08:53:38Z</cp:lastPrinted>
</cp:coreProperties>
</file>