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16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47" t="inlineStr">
        <is>
          <t>Приложение № 1</t>
        </is>
      </c>
    </row>
    <row r="4">
      <c r="B4" s="248" t="inlineStr">
        <is>
          <t>Сравнительная таблица отбора объекта-представителя</t>
        </is>
      </c>
    </row>
    <row r="5" ht="24.6" customHeight="1">
      <c r="B5" s="250" t="n"/>
    </row>
    <row r="6" ht="18.75" customHeight="1">
      <c r="B6" s="165" t="n"/>
      <c r="C6" s="165" t="n"/>
      <c r="D6" s="165" t="n"/>
    </row>
    <row r="7" ht="38.45" customHeight="1">
      <c r="B7" s="249" t="inlineStr">
        <is>
          <t>Наименование разрабатываемого показателя УНЦ - Шкаф противоаварийной автоматики энергорайона/энергоузла для небольших узловых ПС без возможности связи с ЦСПА</t>
        </is>
      </c>
    </row>
    <row r="8" ht="31.5" customHeight="1">
      <c r="B8" s="142" t="inlineStr">
        <is>
          <t xml:space="preserve">Сопоставимый уровень цен: </t>
        </is>
      </c>
      <c r="C8" s="142" t="n"/>
      <c r="D8" s="226">
        <f>D22</f>
        <v/>
      </c>
    </row>
    <row r="9" ht="15.75" customHeight="1">
      <c r="B9" s="249" t="inlineStr">
        <is>
          <t>Единица измерения  — 1 ед.</t>
        </is>
      </c>
    </row>
    <row r="10">
      <c r="B10" s="249" t="n"/>
    </row>
    <row r="11">
      <c r="B11" s="252" t="inlineStr">
        <is>
          <t>№ п/п</t>
        </is>
      </c>
      <c r="C11" s="252" t="inlineStr">
        <is>
          <t>Параметр</t>
        </is>
      </c>
      <c r="D11" s="252" t="inlineStr">
        <is>
          <t xml:space="preserve">Объект-представитель </t>
        </is>
      </c>
      <c r="E11" s="150" t="n"/>
    </row>
    <row r="12" ht="47.25" customHeight="1">
      <c r="B12" s="252" t="n">
        <v>1</v>
      </c>
      <c r="C12" s="145" t="inlineStr">
        <is>
          <t>Наименование объекта-представителя</t>
        </is>
      </c>
      <c r="D12" s="173" t="inlineStr">
        <is>
          <t>Строительство ПС 35/110 кв Джангар с двумя трансформаторами мощностью не менее 62.9 МВА каждый</t>
        </is>
      </c>
    </row>
    <row r="13">
      <c r="B13" s="252" t="n">
        <v>2</v>
      </c>
      <c r="C13" s="145" t="inlineStr">
        <is>
          <t>Наименование субъекта Российской Федерации</t>
        </is>
      </c>
      <c r="D13" s="173" t="inlineStr">
        <is>
          <t>Республика Калмыкия</t>
        </is>
      </c>
    </row>
    <row r="14">
      <c r="B14" s="252" t="n">
        <v>3</v>
      </c>
      <c r="C14" s="145" t="inlineStr">
        <is>
          <t>Климатический район и подрайон</t>
        </is>
      </c>
      <c r="D14" s="173" t="inlineStr">
        <is>
          <t>IVГ</t>
        </is>
      </c>
    </row>
    <row r="15">
      <c r="B15" s="252" t="n">
        <v>4</v>
      </c>
      <c r="C15" s="145" t="inlineStr">
        <is>
          <t>Мощность объекта</t>
        </is>
      </c>
      <c r="D15" s="173" t="n">
        <v>1</v>
      </c>
    </row>
    <row r="16" ht="63" customHeight="1">
      <c r="B16" s="25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ПА</t>
        </is>
      </c>
    </row>
    <row r="17" ht="63" customHeight="1">
      <c r="B17" s="25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64" t="n"/>
    </row>
    <row r="18">
      <c r="B18" s="149" t="inlineStr">
        <is>
          <t>6.1</t>
        </is>
      </c>
      <c r="C18" s="145" t="inlineStr">
        <is>
          <t>строительно-монтажные работы</t>
        </is>
      </c>
      <c r="D18" s="173">
        <f>'Прил.2 Расч стоим'!F14+'Прил.2 Расч стоим'!G14</f>
        <v/>
      </c>
    </row>
    <row r="19">
      <c r="B19" s="149" t="inlineStr">
        <is>
          <t>6.2</t>
        </is>
      </c>
      <c r="C19" s="145" t="inlineStr">
        <is>
          <t>оборудование и инвентарь</t>
        </is>
      </c>
      <c r="D19" s="173">
        <f>'Прил.2 Расч стоим'!H14</f>
        <v/>
      </c>
    </row>
    <row r="20">
      <c r="B20" s="149" t="inlineStr">
        <is>
          <t>6.3</t>
        </is>
      </c>
      <c r="C20" s="145" t="inlineStr">
        <is>
          <t>пусконаладочные работы</t>
        </is>
      </c>
      <c r="D20" s="252" t="n">
        <v>0</v>
      </c>
    </row>
    <row r="21">
      <c r="B21" s="149" t="inlineStr">
        <is>
          <t>6.4</t>
        </is>
      </c>
      <c r="C21" s="148" t="inlineStr">
        <is>
          <t>прочие и лимитированные затраты</t>
        </is>
      </c>
      <c r="D21" s="173">
        <f>D18*0.039+(D18*0.039+D18)*0.021</f>
        <v/>
      </c>
    </row>
    <row r="22">
      <c r="B22" s="252" t="n">
        <v>7</v>
      </c>
      <c r="C22" s="148" t="inlineStr">
        <is>
          <t>Сопоставимый уровень цен</t>
        </is>
      </c>
      <c r="D22" s="227" t="inlineStr">
        <is>
          <t>2 кв. 2020 г.</t>
        </is>
      </c>
      <c r="E22" s="146" t="n"/>
    </row>
    <row r="23" ht="78.75" customHeight="1">
      <c r="B23" s="252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64" t="n"/>
    </row>
    <row r="24" ht="31.5" customHeight="1">
      <c r="B24" s="25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3">
        <f>D23</f>
        <v/>
      </c>
      <c r="E24" s="146" t="n"/>
    </row>
    <row r="25">
      <c r="B25" s="252" t="n">
        <v>10</v>
      </c>
      <c r="C25" s="145" t="inlineStr">
        <is>
          <t>Примечание</t>
        </is>
      </c>
      <c r="D25" s="252" t="n"/>
    </row>
    <row r="26">
      <c r="B26" s="25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>
      <c r="B3" s="247" t="inlineStr">
        <is>
          <t>Приложение № 2</t>
        </is>
      </c>
      <c r="K3" s="142" t="n"/>
    </row>
    <row r="4">
      <c r="B4" s="248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43.15" customHeight="1">
      <c r="B6" s="253">
        <f>'Прил.1 Сравнит табл'!B7:D7</f>
        <v/>
      </c>
      <c r="K6" s="143" t="n"/>
    </row>
    <row r="7">
      <c r="B7" s="249">
        <f>'Прил.1 Сравнит табл'!B9:D9</f>
        <v/>
      </c>
    </row>
    <row r="8" ht="18.75" customHeight="1">
      <c r="B8" s="118" t="n"/>
    </row>
    <row r="9" ht="15.75" customHeight="1">
      <c r="B9" s="252" t="inlineStr">
        <is>
          <t>№ п/п</t>
        </is>
      </c>
      <c r="C9" s="2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2" t="inlineStr">
        <is>
          <t>Объект-представитель 1</t>
        </is>
      </c>
      <c r="E9" s="333" t="n"/>
      <c r="F9" s="333" t="n"/>
      <c r="G9" s="333" t="n"/>
      <c r="H9" s="333" t="n"/>
      <c r="I9" s="333" t="n"/>
      <c r="J9" s="334" t="n"/>
    </row>
    <row r="10" ht="15.75" customHeight="1">
      <c r="B10" s="335" t="n"/>
      <c r="C10" s="335" t="n"/>
      <c r="D10" s="252" t="inlineStr">
        <is>
          <t>Номер сметы</t>
        </is>
      </c>
      <c r="E10" s="252" t="inlineStr">
        <is>
          <t>Наименование сметы</t>
        </is>
      </c>
      <c r="F10" s="252" t="inlineStr">
        <is>
          <t>Сметная стоимость в уровне цен 2 кв. 2020 г., тыс. руб.</t>
        </is>
      </c>
      <c r="G10" s="333" t="n"/>
      <c r="H10" s="333" t="n"/>
      <c r="I10" s="333" t="n"/>
      <c r="J10" s="334" t="n"/>
    </row>
    <row r="11" ht="31.5" customHeight="1">
      <c r="B11" s="336" t="n"/>
      <c r="C11" s="336" t="n"/>
      <c r="D11" s="336" t="n"/>
      <c r="E11" s="336" t="n"/>
      <c r="F11" s="252" t="inlineStr">
        <is>
          <t>Строительные работы</t>
        </is>
      </c>
      <c r="G11" s="252" t="inlineStr">
        <is>
          <t>Монтажные работы</t>
        </is>
      </c>
      <c r="H11" s="252" t="inlineStr">
        <is>
          <t>Оборудование</t>
        </is>
      </c>
      <c r="I11" s="252" t="inlineStr">
        <is>
          <t>Прочее</t>
        </is>
      </c>
      <c r="J11" s="252" t="inlineStr">
        <is>
          <t>Всего</t>
        </is>
      </c>
    </row>
    <row r="12" ht="47.25" customHeight="1">
      <c r="B12" s="213" t="n">
        <v>1</v>
      </c>
      <c r="C12" s="157" t="inlineStr">
        <is>
          <t>Шкаф ПА</t>
        </is>
      </c>
      <c r="D12" s="221" t="inlineStr">
        <is>
          <t>02-07</t>
        </is>
      </c>
      <c r="E12" s="145" t="inlineStr">
        <is>
          <t>Приобретение и монтаж оборудования РЗА</t>
        </is>
      </c>
      <c r="F12" s="222" t="n"/>
      <c r="G12" s="222" t="n">
        <v>1996.6122117</v>
      </c>
      <c r="H12" s="222" t="n">
        <v>11016.4399783</v>
      </c>
      <c r="I12" s="222" t="n"/>
      <c r="J12" s="223">
        <f>SUM(F12:I12)</f>
        <v/>
      </c>
    </row>
    <row r="13" ht="15" customHeight="1">
      <c r="B13" s="251" t="inlineStr">
        <is>
          <t>Всего по объекту:</t>
        </is>
      </c>
      <c r="C13" s="333" t="n"/>
      <c r="D13" s="333" t="n"/>
      <c r="E13" s="334" t="n"/>
      <c r="F13" s="224">
        <f>SUM(F12:F12)</f>
        <v/>
      </c>
      <c r="G13" s="224">
        <f>SUM(G12:G12)</f>
        <v/>
      </c>
      <c r="H13" s="224">
        <f>SUM(H12:H12)</f>
        <v/>
      </c>
      <c r="I13" s="224" t="n"/>
      <c r="J13" s="224">
        <f>SUM(F13:I13)</f>
        <v/>
      </c>
      <c r="K13" s="225" t="n"/>
    </row>
    <row r="14" ht="15.75" customHeight="1">
      <c r="B14" s="251" t="inlineStr">
        <is>
          <t>Всего по объекту в сопоставимом уровне цен 2 кв. 2020 г. :</t>
        </is>
      </c>
      <c r="C14" s="333" t="n"/>
      <c r="D14" s="333" t="n"/>
      <c r="E14" s="334" t="n"/>
      <c r="F14" s="224">
        <f>F13</f>
        <v/>
      </c>
      <c r="G14" s="224">
        <f>G13</f>
        <v/>
      </c>
      <c r="H14" s="224">
        <f>H13</f>
        <v/>
      </c>
      <c r="I14" s="224">
        <f>'Прил.1 Сравнит табл'!D21</f>
        <v/>
      </c>
      <c r="J14" s="224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9"/>
  <sheetViews>
    <sheetView view="pageBreakPreview" topLeftCell="A43" zoomScale="115" zoomScaleSheetLayoutView="115" workbookViewId="0">
      <selection activeCell="D58" sqref="D58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90" min="3" max="3"/>
    <col width="49.7109375" customWidth="1" style="141" min="4" max="4"/>
    <col width="10.140625" customWidth="1" style="190" min="5" max="5"/>
    <col width="20.7109375" customWidth="1" style="190" min="6" max="6"/>
    <col width="20" customWidth="1" style="193" min="7" max="7"/>
    <col width="16" customWidth="1" style="142" min="8" max="8"/>
    <col width="9.140625" customWidth="1" style="141" min="9" max="10"/>
    <col width="15" customWidth="1" style="141" min="11" max="11"/>
    <col width="9.140625" customWidth="1" style="141" min="12" max="12"/>
  </cols>
  <sheetData>
    <row r="2">
      <c r="A2" s="247" t="inlineStr">
        <is>
          <t xml:space="preserve">Приложение № 3 </t>
        </is>
      </c>
    </row>
    <row r="3">
      <c r="A3" s="248" t="inlineStr">
        <is>
          <t>Объектная ресурсная ведомость</t>
        </is>
      </c>
    </row>
    <row r="4" ht="18.75" customHeight="1">
      <c r="A4" s="171" t="n"/>
      <c r="B4" s="171" t="n"/>
      <c r="C4" s="255" t="n"/>
    </row>
    <row r="5">
      <c r="A5" s="249" t="n"/>
    </row>
    <row r="6" ht="32.45" customHeight="1">
      <c r="A6" s="254" t="inlineStr">
        <is>
          <t>Наименование разрабатываемого показателя УНЦ -  Шкаф противоаварийной автоматики энергорайона/энергоузла для небольших узловых ПС без возможности связи с ЦСПА</t>
        </is>
      </c>
    </row>
    <row r="7">
      <c r="A7" s="152" t="n"/>
      <c r="B7" s="152" t="n"/>
      <c r="D7" s="152" t="n"/>
      <c r="G7" s="194" t="n"/>
    </row>
    <row r="8" ht="38.25" customHeight="1">
      <c r="A8" s="252" t="inlineStr">
        <is>
          <t>п/п</t>
        </is>
      </c>
      <c r="B8" s="252" t="inlineStr">
        <is>
          <t>№ЛСР</t>
        </is>
      </c>
      <c r="C8" s="252" t="inlineStr">
        <is>
          <t>Код ресурса</t>
        </is>
      </c>
      <c r="D8" s="252" t="inlineStr">
        <is>
          <t>Наименование ресурса</t>
        </is>
      </c>
      <c r="E8" s="252" t="inlineStr">
        <is>
          <t>Ед. изм.</t>
        </is>
      </c>
      <c r="F8" s="252" t="inlineStr">
        <is>
          <t>Кол-во единиц по данным объекта-представителя</t>
        </is>
      </c>
      <c r="G8" s="252" t="inlineStr">
        <is>
          <t>Сметная стоимость в ценах на 01.01.2000 (руб.)</t>
        </is>
      </c>
      <c r="H8" s="334" t="n"/>
    </row>
    <row r="9" ht="40.5" customHeight="1">
      <c r="A9" s="336" t="n"/>
      <c r="B9" s="336" t="n"/>
      <c r="C9" s="336" t="n"/>
      <c r="D9" s="336" t="n"/>
      <c r="E9" s="336" t="n"/>
      <c r="F9" s="336" t="n"/>
      <c r="G9" s="252" t="inlineStr">
        <is>
          <t>на ед.изм.</t>
        </is>
      </c>
      <c r="H9" s="252" t="inlineStr">
        <is>
          <t>общая</t>
        </is>
      </c>
    </row>
    <row r="10">
      <c r="A10" s="157" t="n">
        <v>1</v>
      </c>
      <c r="B10" s="157" t="n"/>
      <c r="C10" s="191" t="n">
        <v>2</v>
      </c>
      <c r="D10" s="157" t="inlineStr">
        <is>
          <t>З</t>
        </is>
      </c>
      <c r="E10" s="191" t="n">
        <v>4</v>
      </c>
      <c r="F10" s="191" t="n">
        <v>5</v>
      </c>
      <c r="G10" s="191" t="n">
        <v>6</v>
      </c>
      <c r="H10" s="157" t="n">
        <v>7</v>
      </c>
    </row>
    <row r="11" customFormat="1" s="154">
      <c r="A11" s="260" t="inlineStr">
        <is>
          <t>Затраты труда рабочих</t>
        </is>
      </c>
      <c r="B11" s="333" t="n"/>
      <c r="C11" s="333" t="n"/>
      <c r="D11" s="333" t="n"/>
      <c r="E11" s="334" t="n"/>
      <c r="F11" s="337" t="n">
        <v>573.5170000000001</v>
      </c>
      <c r="G11" s="198" t="n"/>
      <c r="H11" s="338">
        <f>SUM(H12:H15)</f>
        <v/>
      </c>
    </row>
    <row r="12">
      <c r="A12" s="288" t="n">
        <v>1</v>
      </c>
      <c r="B12" s="156" t="n"/>
      <c r="C12" s="192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526.49</v>
      </c>
      <c r="G12" s="189" t="n">
        <v>9.4</v>
      </c>
      <c r="H12" s="159">
        <f>ROUND(F12*G12,2)</f>
        <v/>
      </c>
      <c r="M12" s="339" t="n"/>
    </row>
    <row r="13">
      <c r="A13" s="288" t="n">
        <v>2</v>
      </c>
      <c r="B13" s="156" t="n"/>
      <c r="C13" s="192" t="inlineStr">
        <is>
          <t>1-4-1</t>
        </is>
      </c>
      <c r="D13" s="186" t="inlineStr">
        <is>
          <t>Затраты труда рабочих (средний разряд работы 4,1)</t>
        </is>
      </c>
      <c r="E13" s="181" t="inlineStr">
        <is>
          <t>чел.-ч</t>
        </is>
      </c>
      <c r="F13" s="181" t="n">
        <v>28.737</v>
      </c>
      <c r="G13" s="189" t="n">
        <v>9.76</v>
      </c>
      <c r="H13" s="159">
        <f>ROUND(F13*G13,2)</f>
        <v/>
      </c>
      <c r="M13" s="339" t="n"/>
    </row>
    <row r="14">
      <c r="A14" s="288" t="n">
        <v>3</v>
      </c>
      <c r="B14" s="156" t="n"/>
      <c r="C14" s="192" t="inlineStr">
        <is>
          <t>1-3-6</t>
        </is>
      </c>
      <c r="D14" s="186" t="inlineStr">
        <is>
          <t>Затраты труда рабочих (средний разряд работы 3,6)</t>
        </is>
      </c>
      <c r="E14" s="181" t="inlineStr">
        <is>
          <t>чел.-ч</t>
        </is>
      </c>
      <c r="F14" s="181" t="n">
        <v>15.2</v>
      </c>
      <c r="G14" s="189" t="n">
        <v>9.18</v>
      </c>
      <c r="H14" s="159">
        <f>ROUND(F14*G14,2)</f>
        <v/>
      </c>
      <c r="M14" s="339" t="n"/>
    </row>
    <row r="15">
      <c r="A15" s="288" t="n">
        <v>4</v>
      </c>
      <c r="B15" s="156" t="n"/>
      <c r="C15" s="192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3.09</v>
      </c>
      <c r="G15" s="189" t="n">
        <v>9.92</v>
      </c>
      <c r="H15" s="159">
        <f>ROUND(F15*G15,2)</f>
        <v/>
      </c>
      <c r="M15" s="339" t="n"/>
    </row>
    <row r="16">
      <c r="A16" s="256" t="inlineStr">
        <is>
          <t>Затраты труда машинистов</t>
        </is>
      </c>
      <c r="B16" s="333" t="n"/>
      <c r="C16" s="333" t="n"/>
      <c r="D16" s="333" t="n"/>
      <c r="E16" s="334" t="n"/>
      <c r="F16" s="195" t="n"/>
      <c r="G16" s="155" t="n"/>
      <c r="H16" s="338">
        <f>H17</f>
        <v/>
      </c>
    </row>
    <row r="17">
      <c r="A17" s="288" t="n">
        <v>5</v>
      </c>
      <c r="B17" s="261" t="n"/>
      <c r="C17" s="175" t="n">
        <v>2</v>
      </c>
      <c r="D17" s="176" t="inlineStr">
        <is>
          <t>Затраты труда машинистов(справочно)</t>
        </is>
      </c>
      <c r="E17" s="288" t="inlineStr">
        <is>
          <t>чел.-ч</t>
        </is>
      </c>
      <c r="F17" s="288" t="n">
        <v>24.6</v>
      </c>
      <c r="G17" s="166" t="n"/>
      <c r="H17" s="177" t="n">
        <v>308.74</v>
      </c>
    </row>
    <row r="18" customFormat="1" s="154">
      <c r="A18" s="257" t="inlineStr">
        <is>
          <t>Машины и механизмы</t>
        </is>
      </c>
      <c r="B18" s="333" t="n"/>
      <c r="C18" s="333" t="n"/>
      <c r="D18" s="333" t="n"/>
      <c r="E18" s="334" t="n"/>
      <c r="F18" s="195" t="n"/>
      <c r="G18" s="155" t="n"/>
      <c r="H18" s="338">
        <f>SUM(H19:H23)</f>
        <v/>
      </c>
    </row>
    <row r="19" ht="25.5" customHeight="1">
      <c r="A19" s="288" t="n">
        <v>6</v>
      </c>
      <c r="B19" s="261" t="n"/>
      <c r="C19" s="181" t="inlineStr">
        <is>
          <t>91.05.05-015</t>
        </is>
      </c>
      <c r="D19" s="189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12.3</v>
      </c>
      <c r="G19" s="201" t="n">
        <v>115.4</v>
      </c>
      <c r="H19" s="180">
        <f>ROUND(F19*G19,2)</f>
        <v/>
      </c>
      <c r="I19" s="168" t="n"/>
      <c r="J19" s="168" t="n"/>
      <c r="L19" s="168" t="n"/>
    </row>
    <row r="20" customFormat="1" s="154">
      <c r="A20" s="288" t="n">
        <v>7</v>
      </c>
      <c r="B20" s="261" t="n"/>
      <c r="C20" s="181" t="inlineStr">
        <is>
          <t>91.14.02-001</t>
        </is>
      </c>
      <c r="D20" s="189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12.3</v>
      </c>
      <c r="G20" s="201" t="n">
        <v>65.7</v>
      </c>
      <c r="H20" s="180">
        <f>ROUND(F20*G20,2)</f>
        <v/>
      </c>
      <c r="I20" s="168" t="n"/>
      <c r="J20" s="168" t="n"/>
      <c r="L20" s="168" t="n"/>
    </row>
    <row r="21" ht="25.5" customHeight="1">
      <c r="A21" s="288" t="n">
        <v>8</v>
      </c>
      <c r="B21" s="261" t="n"/>
      <c r="C21" s="181" t="inlineStr">
        <is>
          <t>91.06.03-061</t>
        </is>
      </c>
      <c r="D21" s="189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118.72</v>
      </c>
      <c r="G21" s="201" t="n">
        <v>3.28</v>
      </c>
      <c r="H21" s="180">
        <f>ROUND(F21*G21,2)</f>
        <v/>
      </c>
      <c r="I21" s="168" t="n"/>
      <c r="J21" s="168" t="n"/>
      <c r="K21" s="168" t="n"/>
      <c r="L21" s="168" t="n"/>
    </row>
    <row r="22">
      <c r="A22" s="288" t="n">
        <v>9</v>
      </c>
      <c r="B22" s="261" t="n"/>
      <c r="C22" s="181" t="inlineStr">
        <is>
          <t>91.06.01-003</t>
        </is>
      </c>
      <c r="D22" s="189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118.72</v>
      </c>
      <c r="G22" s="201" t="n">
        <v>0.9</v>
      </c>
      <c r="H22" s="180">
        <f>ROUND(F22*G22,2)</f>
        <v/>
      </c>
      <c r="I22" s="168" t="n"/>
      <c r="J22" s="168" t="n"/>
      <c r="L22" s="168" t="n"/>
    </row>
    <row r="23" ht="25.5" customHeight="1">
      <c r="A23" s="288" t="n">
        <v>10</v>
      </c>
      <c r="B23" s="261" t="n"/>
      <c r="C23" s="181" t="inlineStr">
        <is>
          <t>91.17.04-233</t>
        </is>
      </c>
      <c r="D23" s="189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0.68</v>
      </c>
      <c r="G23" s="201" t="n">
        <v>8.1</v>
      </c>
      <c r="H23" s="180">
        <f>ROUND(F23*G23,2)</f>
        <v/>
      </c>
      <c r="I23" s="168" t="n"/>
      <c r="J23" s="168" t="n"/>
      <c r="L23" s="168" t="n"/>
    </row>
    <row r="24" ht="15" customHeight="1">
      <c r="A24" s="256" t="inlineStr">
        <is>
          <t>Оборудование</t>
        </is>
      </c>
      <c r="B24" s="333" t="n"/>
      <c r="C24" s="333" t="n"/>
      <c r="D24" s="333" t="n"/>
      <c r="E24" s="334" t="n"/>
      <c r="F24" s="197" t="n"/>
      <c r="G24" s="198" t="n"/>
      <c r="H24" s="338">
        <f>SUM(H25:H25)</f>
        <v/>
      </c>
    </row>
    <row r="25" ht="43.15" customHeight="1">
      <c r="A25" s="167" t="n">
        <v>11</v>
      </c>
      <c r="B25" s="256" t="n"/>
      <c r="C25" s="181" t="inlineStr">
        <is>
          <t>Прайс из СД ОП</t>
        </is>
      </c>
      <c r="D25" s="200" t="inlineStr">
        <is>
          <t>Шкаф противоаварийной автоматики энергорайона/энергоузла для небольших узловых ПС без возможности связи с ЦСПА</t>
        </is>
      </c>
      <c r="E25" s="181" t="inlineStr">
        <is>
          <t>шт</t>
        </is>
      </c>
      <c r="F25" s="181" t="n">
        <v>1</v>
      </c>
      <c r="G25" s="201" t="n">
        <v>2243674.13</v>
      </c>
      <c r="H25" s="180">
        <f>ROUND(F25*G25,2)</f>
        <v/>
      </c>
      <c r="I25" s="163" t="n"/>
    </row>
    <row r="26">
      <c r="A26" s="257" t="inlineStr">
        <is>
          <t>Материалы</t>
        </is>
      </c>
      <c r="B26" s="333" t="n"/>
      <c r="C26" s="333" t="n"/>
      <c r="D26" s="333" t="n"/>
      <c r="E26" s="334" t="n"/>
      <c r="F26" s="195" t="n"/>
      <c r="G26" s="155" t="n"/>
      <c r="H26" s="338">
        <f>SUM(H27:H54)</f>
        <v/>
      </c>
    </row>
    <row r="27">
      <c r="A27" s="167" t="n">
        <v>12</v>
      </c>
      <c r="B27" s="261" t="n"/>
      <c r="C27" s="181" t="inlineStr">
        <is>
          <t>21.1.08.03-0586</t>
        </is>
      </c>
      <c r="D27" s="189" t="inlineStr">
        <is>
          <t>Кабель контрольный КВВГЭнг(A)-LS 10х1,5</t>
        </is>
      </c>
      <c r="E27" s="181" t="inlineStr">
        <is>
          <t>1000 м</t>
        </is>
      </c>
      <c r="F27" s="181" t="n">
        <v>2.04</v>
      </c>
      <c r="G27" s="189" t="n">
        <v>50351.14</v>
      </c>
      <c r="H27" s="180">
        <f>ROUND(F27*G27,2)</f>
        <v/>
      </c>
      <c r="I27" s="163" t="n"/>
      <c r="J27" s="168" t="n"/>
      <c r="K27" s="168" t="n"/>
    </row>
    <row r="28">
      <c r="A28" s="167" t="n">
        <v>13</v>
      </c>
      <c r="B28" s="261" t="n"/>
      <c r="C28" s="181" t="inlineStr">
        <is>
          <t>21.1.08.03-0579</t>
        </is>
      </c>
      <c r="D28" s="189" t="inlineStr">
        <is>
          <t>Кабель контрольный КВВГЭнг(А)-LS 5x2,5</t>
        </is>
      </c>
      <c r="E28" s="181" t="inlineStr">
        <is>
          <t>1000 м</t>
        </is>
      </c>
      <c r="F28" s="181" t="n">
        <v>2.04</v>
      </c>
      <c r="G28" s="189" t="n">
        <v>38348.22</v>
      </c>
      <c r="H28" s="180">
        <f>ROUND(F28*G28,2)</f>
        <v/>
      </c>
      <c r="I28" s="163" t="n"/>
      <c r="J28" s="168" t="n"/>
      <c r="K28" s="168" t="n"/>
    </row>
    <row r="29">
      <c r="A29" s="167" t="n">
        <v>14</v>
      </c>
      <c r="B29" s="261" t="n"/>
      <c r="C29" s="181" t="inlineStr">
        <is>
          <t>21.1.08.03-0581</t>
        </is>
      </c>
      <c r="D29" s="189" t="inlineStr">
        <is>
          <t>Кабель контрольный КВВГЭнг(A)-LS 7х1,5</t>
        </is>
      </c>
      <c r="E29" s="181" t="inlineStr">
        <is>
          <t>1000 м</t>
        </is>
      </c>
      <c r="F29" s="181" t="n">
        <v>2.04</v>
      </c>
      <c r="G29" s="189" t="n">
        <v>37014.5</v>
      </c>
      <c r="H29" s="180">
        <f>ROUND(F29*G29,2)</f>
        <v/>
      </c>
      <c r="I29" s="163" t="n"/>
      <c r="J29" s="168" t="n"/>
      <c r="K29" s="168" t="n"/>
    </row>
    <row r="30" ht="25.5" customHeight="1">
      <c r="A30" s="167" t="n">
        <v>15</v>
      </c>
      <c r="B30" s="261" t="n"/>
      <c r="C30" s="181" t="inlineStr">
        <is>
          <t>21.1.01.01-0001</t>
        </is>
      </c>
      <c r="D30" s="189" t="inlineStr">
        <is>
          <t>Кабель волоконно-оптический самонесущий биэлектрический ДСт-49-6z-6/32</t>
        </is>
      </c>
      <c r="E30" s="181" t="inlineStr">
        <is>
          <t>1000 м</t>
        </is>
      </c>
      <c r="F30" s="181" t="n">
        <v>0.1</v>
      </c>
      <c r="G30" s="189" t="n">
        <v>45920.9</v>
      </c>
      <c r="H30" s="180">
        <f>ROUND(F30*G30,2)</f>
        <v/>
      </c>
      <c r="I30" s="163" t="n"/>
      <c r="J30" s="168" t="n"/>
    </row>
    <row r="31" ht="25.5" customHeight="1">
      <c r="A31" s="167" t="n">
        <v>16</v>
      </c>
      <c r="B31" s="261" t="n"/>
      <c r="C31" s="181" t="inlineStr">
        <is>
          <t>10.3.02.03-0011</t>
        </is>
      </c>
      <c r="D31" s="189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0.02214</v>
      </c>
      <c r="G31" s="189" t="n">
        <v>68041.55</v>
      </c>
      <c r="H31" s="180">
        <f>ROUND(F31*G31,2)</f>
        <v/>
      </c>
      <c r="I31" s="163" t="n"/>
      <c r="J31" s="168" t="n"/>
    </row>
    <row r="32" ht="25.5" customHeight="1">
      <c r="A32" s="167" t="n">
        <v>17</v>
      </c>
      <c r="B32" s="261" t="n"/>
      <c r="C32" s="181" t="inlineStr">
        <is>
          <t>24.3.01.02-0002</t>
        </is>
      </c>
      <c r="D32" s="189" t="inlineStr">
        <is>
          <t>Трубы гибкие гофрированные из самозатухающего ПВХ легкие с протяжкой, диаметр 25 мм</t>
        </is>
      </c>
      <c r="E32" s="181" t="inlineStr">
        <is>
          <t>м</t>
        </is>
      </c>
      <c r="F32" s="181" t="n">
        <v>102</v>
      </c>
      <c r="G32" s="189" t="n">
        <v>3.43</v>
      </c>
      <c r="H32" s="180">
        <f>ROUND(F32*G32,2)</f>
        <v/>
      </c>
      <c r="I32" s="163" t="n"/>
      <c r="J32" s="168" t="n"/>
    </row>
    <row r="33" ht="25.5" customHeight="1">
      <c r="A33" s="167" t="n">
        <v>18</v>
      </c>
      <c r="B33" s="261" t="n"/>
      <c r="C33" s="181" t="inlineStr">
        <is>
          <t>07.2.07.04-0007</t>
        </is>
      </c>
      <c r="D33" s="189" t="inlineStr">
        <is>
          <t>Конструкции стальные индивидуальные решетчатые сварные, масса до 0,1 т</t>
        </is>
      </c>
      <c r="E33" s="181" t="inlineStr">
        <is>
          <t>т</t>
        </is>
      </c>
      <c r="F33" s="181" t="n">
        <v>0.025</v>
      </c>
      <c r="G33" s="189" t="n">
        <v>11500</v>
      </c>
      <c r="H33" s="180">
        <f>ROUND(F33*G33,2)</f>
        <v/>
      </c>
      <c r="I33" s="163" t="n"/>
      <c r="J33" s="168" t="n"/>
    </row>
    <row r="34">
      <c r="A34" s="167" t="n">
        <v>19</v>
      </c>
      <c r="B34" s="261" t="n"/>
      <c r="C34" s="181" t="inlineStr">
        <is>
          <t>14.4.03.03-0002</t>
        </is>
      </c>
      <c r="D34" s="189" t="inlineStr">
        <is>
          <t>Лак битумный БТ-123</t>
        </is>
      </c>
      <c r="E34" s="181" t="inlineStr">
        <is>
          <t>т</t>
        </is>
      </c>
      <c r="F34" s="181" t="n">
        <v>0.03264</v>
      </c>
      <c r="G34" s="189" t="n">
        <v>7833.33</v>
      </c>
      <c r="H34" s="180">
        <f>ROUND(F34*G34,2)</f>
        <v/>
      </c>
      <c r="I34" s="163" t="n"/>
      <c r="J34" s="168" t="n"/>
    </row>
    <row r="35">
      <c r="A35" s="167" t="n">
        <v>20</v>
      </c>
      <c r="B35" s="261" t="n"/>
      <c r="C35" s="181" t="inlineStr">
        <is>
          <t>01.7.06.07-0002</t>
        </is>
      </c>
      <c r="D35" s="189" t="inlineStr">
        <is>
          <t>Лента монтажная, тип ЛМ-5</t>
        </is>
      </c>
      <c r="E35" s="181" t="inlineStr">
        <is>
          <t>10 м</t>
        </is>
      </c>
      <c r="F35" s="181" t="n">
        <v>26.14</v>
      </c>
      <c r="G35" s="189" t="n">
        <v>6.9</v>
      </c>
      <c r="H35" s="180">
        <f>ROUND(F35*G35,2)</f>
        <v/>
      </c>
      <c r="I35" s="163" t="n"/>
      <c r="J35" s="168" t="n"/>
    </row>
    <row r="36" ht="25.5" customHeight="1">
      <c r="A36" s="167" t="n">
        <v>21</v>
      </c>
      <c r="B36" s="261" t="n"/>
      <c r="C36" s="181" t="inlineStr">
        <is>
          <t>21.2.01.02-0141</t>
        </is>
      </c>
      <c r="D36" s="189" t="inlineStr">
        <is>
          <t>Провод неизолированный для воздушных линий электропередачи медные, марка М, сечение 4 мм2</t>
        </is>
      </c>
      <c r="E36" s="181" t="inlineStr">
        <is>
          <t>т</t>
        </is>
      </c>
      <c r="F36" s="181" t="n">
        <v>0.00176</v>
      </c>
      <c r="G36" s="189" t="n">
        <v>96454.55</v>
      </c>
      <c r="H36" s="180">
        <f>ROUND(F36*G36,2)</f>
        <v/>
      </c>
      <c r="I36" s="163" t="n"/>
      <c r="J36" s="168" t="n"/>
    </row>
    <row r="37">
      <c r="A37" s="167" t="n">
        <v>22</v>
      </c>
      <c r="B37" s="261" t="n"/>
      <c r="C37" s="181" t="inlineStr">
        <is>
          <t>20.1.02.06-0001</t>
        </is>
      </c>
      <c r="D37" s="189" t="inlineStr">
        <is>
          <t>Жир паяльный</t>
        </is>
      </c>
      <c r="E37" s="181" t="inlineStr">
        <is>
          <t>кг</t>
        </is>
      </c>
      <c r="F37" s="181" t="n">
        <v>1.08</v>
      </c>
      <c r="G37" s="189" t="n">
        <v>101</v>
      </c>
      <c r="H37" s="180">
        <f>ROUND(F37*G37,2)</f>
        <v/>
      </c>
      <c r="I37" s="163" t="n"/>
      <c r="J37" s="168" t="n"/>
    </row>
    <row r="38" ht="25.5" customHeight="1">
      <c r="A38" s="167" t="n">
        <v>23</v>
      </c>
      <c r="B38" s="261" t="n"/>
      <c r="C38" s="181" t="inlineStr">
        <is>
          <t>999-9950</t>
        </is>
      </c>
      <c r="D38" s="189" t="inlineStr">
        <is>
          <t>Вспомогательные ненормируемые материальные ресурсы</t>
        </is>
      </c>
      <c r="E38" s="181" t="inlineStr">
        <is>
          <t>руб</t>
        </is>
      </c>
      <c r="F38" s="181" t="n">
        <v>107.99136</v>
      </c>
      <c r="G38" s="189" t="n">
        <v>1</v>
      </c>
      <c r="H38" s="180">
        <f>ROUND(F38*G38,2)</f>
        <v/>
      </c>
      <c r="I38" s="163" t="n"/>
      <c r="J38" s="168" t="n"/>
    </row>
    <row r="39">
      <c r="A39" s="167" t="n">
        <v>24</v>
      </c>
      <c r="B39" s="261" t="n"/>
      <c r="C39" s="181" t="inlineStr">
        <is>
          <t>25.2.01.01-0017</t>
        </is>
      </c>
      <c r="D39" s="189" t="inlineStr">
        <is>
          <t>Бирки маркировочные пластмассовые</t>
        </is>
      </c>
      <c r="E39" s="181" t="inlineStr">
        <is>
          <t>100 шт</t>
        </is>
      </c>
      <c r="F39" s="181" t="n">
        <v>3.1</v>
      </c>
      <c r="G39" s="189" t="n">
        <v>30.74</v>
      </c>
      <c r="H39" s="180">
        <f>ROUND(F39*G39,2)</f>
        <v/>
      </c>
      <c r="I39" s="163" t="n"/>
      <c r="J39" s="168" t="n"/>
    </row>
    <row r="40">
      <c r="A40" s="167" t="n">
        <v>25</v>
      </c>
      <c r="B40" s="261" t="n"/>
      <c r="C40" s="181" t="inlineStr">
        <is>
          <t>01.7.15.14-0165</t>
        </is>
      </c>
      <c r="D40" s="189" t="inlineStr">
        <is>
          <t>Шурупы с полукруглой головкой 4x40 мм</t>
        </is>
      </c>
      <c r="E40" s="181" t="inlineStr">
        <is>
          <t>т</t>
        </is>
      </c>
      <c r="F40" s="181" t="n">
        <v>0.00484</v>
      </c>
      <c r="G40" s="189" t="n">
        <v>12454.55</v>
      </c>
      <c r="H40" s="180">
        <f>ROUND(F40*G40,2)</f>
        <v/>
      </c>
      <c r="I40" s="163" t="n"/>
      <c r="J40" s="168" t="n"/>
    </row>
    <row r="41" ht="25.5" customHeight="1">
      <c r="A41" s="167" t="n">
        <v>26</v>
      </c>
      <c r="B41" s="261" t="n"/>
      <c r="C41" s="181" t="inlineStr">
        <is>
          <t>01.7.06.05-0041</t>
        </is>
      </c>
      <c r="D41" s="189" t="inlineStr">
        <is>
          <t>Лента изоляционная прорезиненная односторонняя, ширина 20 мм, толщина 0,25-0,35 мм</t>
        </is>
      </c>
      <c r="E41" s="181" t="inlineStr">
        <is>
          <t>кг</t>
        </is>
      </c>
      <c r="F41" s="181" t="n">
        <v>1.02</v>
      </c>
      <c r="G41" s="189" t="n">
        <v>30.29</v>
      </c>
      <c r="H41" s="180">
        <f>ROUND(F41*G41,2)</f>
        <v/>
      </c>
      <c r="I41" s="163" t="n"/>
      <c r="J41" s="168" t="n"/>
    </row>
    <row r="42" ht="25.5" customHeight="1">
      <c r="A42" s="167" t="n">
        <v>27</v>
      </c>
      <c r="B42" s="261" t="n"/>
      <c r="C42" s="181" t="inlineStr">
        <is>
          <t>10.3.02.03-0013</t>
        </is>
      </c>
      <c r="D42" s="189" t="inlineStr">
        <is>
          <t>Припои оловянно-свинцовые бессурьмянистые, марка ПОС61</t>
        </is>
      </c>
      <c r="E42" s="181" t="inlineStr">
        <is>
          <t>т</t>
        </is>
      </c>
      <c r="F42" s="181" t="n">
        <v>0.000248</v>
      </c>
      <c r="G42" s="189" t="n">
        <v>114233.87</v>
      </c>
      <c r="H42" s="180">
        <f>ROUND(F42*G42,2)</f>
        <v/>
      </c>
      <c r="I42" s="163" t="n"/>
      <c r="J42" s="168" t="n"/>
    </row>
    <row r="43">
      <c r="A43" s="167" t="n">
        <v>28</v>
      </c>
      <c r="B43" s="261" t="n"/>
      <c r="C43" s="181" t="inlineStr">
        <is>
          <t>01.7.15.07-0152</t>
        </is>
      </c>
      <c r="D43" s="189" t="inlineStr">
        <is>
          <t>Дюбели с шурупом, размер 6x35 мм</t>
        </is>
      </c>
      <c r="E43" s="181" t="inlineStr">
        <is>
          <t>100 шт</t>
        </is>
      </c>
      <c r="F43" s="181" t="n">
        <v>1.75</v>
      </c>
      <c r="G43" s="189" t="n">
        <v>8</v>
      </c>
      <c r="H43" s="180">
        <f>ROUND(F43*G43,2)</f>
        <v/>
      </c>
      <c r="I43" s="163" t="n"/>
      <c r="J43" s="168" t="n"/>
    </row>
    <row r="44">
      <c r="A44" s="167" t="n">
        <v>29</v>
      </c>
      <c r="B44" s="261" t="n"/>
      <c r="C44" s="181" t="inlineStr">
        <is>
          <t>20.2.01.05-0005</t>
        </is>
      </c>
      <c r="D44" s="189" t="inlineStr">
        <is>
          <t>Гильзы кабельные медные ГМ 16</t>
        </is>
      </c>
      <c r="E44" s="181" t="inlineStr">
        <is>
          <t>100 шт</t>
        </is>
      </c>
      <c r="F44" s="181" t="n">
        <v>0.05</v>
      </c>
      <c r="G44" s="189" t="n">
        <v>143</v>
      </c>
      <c r="H44" s="180">
        <f>ROUND(F44*G44,2)</f>
        <v/>
      </c>
      <c r="I44" s="163" t="n"/>
      <c r="J44" s="168" t="n"/>
    </row>
    <row r="45">
      <c r="A45" s="167" t="n">
        <v>30</v>
      </c>
      <c r="B45" s="261" t="n"/>
      <c r="C45" s="181" t="inlineStr">
        <is>
          <t>24.3.01.01-0002</t>
        </is>
      </c>
      <c r="D45" s="189" t="inlineStr">
        <is>
          <t>Трубка полихлорвиниловая</t>
        </is>
      </c>
      <c r="E45" s="181" t="inlineStr">
        <is>
          <t>кг</t>
        </is>
      </c>
      <c r="F45" s="181" t="n">
        <v>0.124</v>
      </c>
      <c r="G45" s="189" t="n">
        <v>35.73</v>
      </c>
      <c r="H45" s="180">
        <f>ROUND(F45*G45,2)</f>
        <v/>
      </c>
      <c r="I45" s="163" t="n"/>
      <c r="J45" s="168" t="n"/>
    </row>
    <row r="46">
      <c r="A46" s="167" t="n">
        <v>31</v>
      </c>
      <c r="B46" s="261" t="n"/>
      <c r="C46" s="181" t="inlineStr">
        <is>
          <t>01.3.01.05-0009</t>
        </is>
      </c>
      <c r="D46" s="189" t="inlineStr">
        <is>
          <t>Парафин нефтяной твердый Т-1</t>
        </is>
      </c>
      <c r="E46" s="181" t="inlineStr">
        <is>
          <t>т</t>
        </is>
      </c>
      <c r="F46" s="181" t="n">
        <v>0.00054</v>
      </c>
      <c r="G46" s="189" t="n">
        <v>8000</v>
      </c>
      <c r="H46" s="180">
        <f>ROUND(F46*G46,2)</f>
        <v/>
      </c>
      <c r="I46" s="163" t="n"/>
      <c r="J46" s="168" t="n"/>
    </row>
    <row r="47">
      <c r="A47" s="167" t="n">
        <v>32</v>
      </c>
      <c r="B47" s="261" t="n"/>
      <c r="C47" s="181" t="inlineStr">
        <is>
          <t>01.3.01.07-0009</t>
        </is>
      </c>
      <c r="D47" s="189" t="inlineStr">
        <is>
          <t>Спирт этиловый ректификованный технический, сорт I</t>
        </is>
      </c>
      <c r="E47" s="181" t="inlineStr">
        <is>
          <t>кг</t>
        </is>
      </c>
      <c r="F47" s="181" t="n">
        <v>0.08989999999999999</v>
      </c>
      <c r="G47" s="189" t="n">
        <v>38.93</v>
      </c>
      <c r="H47" s="180">
        <f>ROUND(F47*G47,2)</f>
        <v/>
      </c>
      <c r="I47" s="163" t="n"/>
      <c r="J47" s="168" t="n"/>
    </row>
    <row r="48">
      <c r="A48" s="167" t="n">
        <v>33</v>
      </c>
      <c r="B48" s="261" t="n"/>
      <c r="C48" s="181" t="inlineStr">
        <is>
          <t>01.7.11.07-0034</t>
        </is>
      </c>
      <c r="D48" s="189" t="inlineStr">
        <is>
          <t>Электроды сварочные Э42А, диаметр 4 мм</t>
        </is>
      </c>
      <c r="E48" s="181" t="inlineStr">
        <is>
          <t>кг</t>
        </is>
      </c>
      <c r="F48" s="181" t="n">
        <v>0.25</v>
      </c>
      <c r="G48" s="189" t="n">
        <v>10.56</v>
      </c>
      <c r="H48" s="180">
        <f>ROUND(F48*G48,2)</f>
        <v/>
      </c>
      <c r="I48" s="163" t="n"/>
      <c r="J48" s="168" t="n"/>
    </row>
    <row r="49">
      <c r="A49" s="167" t="n">
        <v>34</v>
      </c>
      <c r="B49" s="261" t="n"/>
      <c r="C49" s="181" t="inlineStr">
        <is>
          <t>20.2.02.01-0013</t>
        </is>
      </c>
      <c r="D49" s="189" t="inlineStr">
        <is>
          <t>Втулки, диаметр 28 мм</t>
        </is>
      </c>
      <c r="E49" s="181" t="inlineStr">
        <is>
          <t>1000 шт</t>
        </is>
      </c>
      <c r="F49" s="181" t="n">
        <v>0.0122</v>
      </c>
      <c r="G49" s="189" t="n">
        <v>176.23</v>
      </c>
      <c r="H49" s="180">
        <f>ROUND(F49*G49,2)</f>
        <v/>
      </c>
      <c r="I49" s="163" t="n"/>
      <c r="J49" s="168" t="n"/>
    </row>
    <row r="50">
      <c r="A50" s="167" t="n">
        <v>35</v>
      </c>
      <c r="B50" s="261" t="n"/>
      <c r="C50" s="181" t="inlineStr">
        <is>
          <t>01.7.07.20-0002</t>
        </is>
      </c>
      <c r="D50" s="189" t="inlineStr">
        <is>
          <t>Тальк молотый, сорт I</t>
        </is>
      </c>
      <c r="E50" s="181" t="inlineStr">
        <is>
          <t>т</t>
        </is>
      </c>
      <c r="F50" s="181" t="n">
        <v>0.00105</v>
      </c>
      <c r="G50" s="189" t="n">
        <v>1819.05</v>
      </c>
      <c r="H50" s="180">
        <f>ROUND(F50*G50,2)</f>
        <v/>
      </c>
      <c r="I50" s="163" t="n"/>
      <c r="J50" s="168" t="n"/>
    </row>
    <row r="51">
      <c r="A51" s="167" t="n">
        <v>36</v>
      </c>
      <c r="B51" s="261" t="n"/>
      <c r="C51" s="181" t="inlineStr">
        <is>
          <t>01.3.05.17-0002</t>
        </is>
      </c>
      <c r="D51" s="189" t="inlineStr">
        <is>
          <t>Канифоль сосновая</t>
        </is>
      </c>
      <c r="E51" s="181" t="inlineStr">
        <is>
          <t>кг</t>
        </is>
      </c>
      <c r="F51" s="181" t="n">
        <v>0.0589</v>
      </c>
      <c r="G51" s="189" t="n">
        <v>27.84</v>
      </c>
      <c r="H51" s="180">
        <f>ROUND(F51*G51,2)</f>
        <v/>
      </c>
      <c r="I51" s="163" t="n"/>
      <c r="J51" s="168" t="n"/>
    </row>
    <row r="52">
      <c r="A52" s="167" t="n">
        <v>37</v>
      </c>
      <c r="B52" s="261" t="n"/>
      <c r="C52" s="181" t="inlineStr">
        <is>
          <t>14.4.02.09-0001</t>
        </is>
      </c>
      <c r="D52" s="189" t="inlineStr">
        <is>
          <t>Краска</t>
        </is>
      </c>
      <c r="E52" s="181" t="inlineStr">
        <is>
          <t>кг</t>
        </is>
      </c>
      <c r="F52" s="181" t="n">
        <v>0.05</v>
      </c>
      <c r="G52" s="189" t="n">
        <v>28.6</v>
      </c>
      <c r="H52" s="180">
        <f>ROUND(F52*G52,2)</f>
        <v/>
      </c>
      <c r="I52" s="163" t="n"/>
      <c r="J52" s="168" t="n"/>
    </row>
    <row r="53">
      <c r="A53" s="167" t="n">
        <v>38</v>
      </c>
      <c r="B53" s="261" t="n"/>
      <c r="C53" s="181" t="inlineStr">
        <is>
          <t>01.7.15.03-0042</t>
        </is>
      </c>
      <c r="D53" s="189" t="inlineStr">
        <is>
          <t>Болты с гайками и шайбами строительные</t>
        </is>
      </c>
      <c r="E53" s="181" t="inlineStr">
        <is>
          <t>кг</t>
        </is>
      </c>
      <c r="F53" s="181" t="n">
        <v>0.06</v>
      </c>
      <c r="G53" s="189" t="n">
        <v>9</v>
      </c>
      <c r="H53" s="180">
        <f>ROUND(F53*G53,2)</f>
        <v/>
      </c>
      <c r="I53" s="163" t="n"/>
      <c r="J53" s="168" t="n"/>
    </row>
    <row r="54">
      <c r="A54" s="167" t="n">
        <v>39</v>
      </c>
      <c r="B54" s="210" t="n"/>
      <c r="C54" s="181" t="inlineStr">
        <is>
          <t>01.3.05.11-0001</t>
        </is>
      </c>
      <c r="D54" s="189" t="inlineStr">
        <is>
          <t>Дихлорэтан технический, сорт I</t>
        </is>
      </c>
      <c r="E54" s="181" t="inlineStr">
        <is>
          <t>т</t>
        </is>
      </c>
      <c r="F54" s="181" t="n">
        <v>6.2e-05</v>
      </c>
      <c r="G54" s="189" t="n">
        <v>5000</v>
      </c>
      <c r="H54" s="180">
        <f>ROUND(F54*G54,2)</f>
        <v/>
      </c>
    </row>
    <row r="55">
      <c r="B55" s="141" t="inlineStr">
        <is>
          <t>Составил ______________________     А.Р. Маркова</t>
        </is>
      </c>
    </row>
    <row r="56">
      <c r="B56" s="142" t="inlineStr">
        <is>
          <t xml:space="preserve">                         (подпись, инициалы, фамилия)</t>
        </is>
      </c>
    </row>
    <row r="58">
      <c r="B58" s="141" t="inlineStr">
        <is>
          <t>Проверил ______________________        А.В. Костянецкая</t>
        </is>
      </c>
    </row>
    <row r="59">
      <c r="B59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7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5.5" customHeight="1">
      <c r="B7" s="246" t="inlineStr">
        <is>
          <t>Наименование разрабатываемого показателя УНЦ — Шкаф противоаварийной автоматики энергорайона/энергоузла для небольших узловых ПС без возможности связи с ЦСПА</t>
        </is>
      </c>
    </row>
    <row r="8">
      <c r="B8" s="263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>
      <c r="B10" s="270" t="inlineStr">
        <is>
          <t>Наименование</t>
        </is>
      </c>
      <c r="C10" s="270" t="inlineStr">
        <is>
          <t>Сметная стоимость в ценах на 01.01.2023
 (руб.)</t>
        </is>
      </c>
      <c r="D10" s="270" t="inlineStr">
        <is>
          <t>Удельный вес, 
(в СМР)</t>
        </is>
      </c>
      <c r="E10" s="27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ОБ'!J67</f>
        <v/>
      </c>
      <c r="D17" s="27">
        <f>C17/$C$24</f>
        <v/>
      </c>
      <c r="E17" s="27">
        <f>C17/$C$40</f>
        <v/>
      </c>
      <c r="G17" s="340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ОБ'!D70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3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3">
        <f>C36/$C$40</f>
        <v/>
      </c>
      <c r="G36" s="204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3">
        <f>C37/$C$40</f>
        <v/>
      </c>
      <c r="G37" s="205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03">
        <f>C38/$C$40</f>
        <v/>
      </c>
    </row>
    <row r="39" ht="13.5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03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ОБ'!E74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0"/>
  <sheetViews>
    <sheetView tabSelected="1"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7" min="2" max="2"/>
    <col width="39.140625" customWidth="1" style="12" min="3" max="3"/>
    <col width="10.7109375" customWidth="1" style="208" min="4" max="4"/>
    <col width="12.7109375" customWidth="1" style="208" min="5" max="5"/>
    <col width="15" customWidth="1" style="208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7" t="inlineStr">
        <is>
          <t>Расчет стоимости СМР и оборудования</t>
        </is>
      </c>
    </row>
    <row r="5" ht="12.75" customFormat="1" customHeight="1" s="4">
      <c r="A5" s="237" t="n"/>
      <c r="B5" s="237" t="n"/>
      <c r="C5" s="290" t="n"/>
      <c r="D5" s="237" t="n"/>
      <c r="E5" s="237" t="n"/>
      <c r="F5" s="237" t="n"/>
      <c r="G5" s="237" t="n"/>
      <c r="H5" s="237" t="n"/>
      <c r="I5" s="237" t="n"/>
      <c r="J5" s="237" t="n"/>
    </row>
    <row r="6" ht="25.9" customFormat="1" customHeight="1" s="4">
      <c r="A6" s="135" t="inlineStr">
        <is>
          <t>Наименование разрабатываемого показателя УНЦ</t>
        </is>
      </c>
      <c r="B6" s="282" t="n"/>
      <c r="C6" s="134" t="n"/>
      <c r="D6" s="282" t="inlineStr">
        <is>
          <t>Шкаф противоаварийной автоматики энергорайона/энергоузла для небольших узловых ПС без возможности связи с ЦСПА</t>
        </is>
      </c>
    </row>
    <row r="7" ht="12.75" customFormat="1" customHeight="1" s="4">
      <c r="A7" s="240" t="inlineStr">
        <is>
          <t>Единица измерения  — 1 ед.</t>
        </is>
      </c>
      <c r="I7" s="246" t="n"/>
      <c r="J7" s="246" t="n"/>
    </row>
    <row r="8" ht="13.5" customFormat="1" customHeight="1" s="4">
      <c r="A8" s="240" t="n"/>
    </row>
    <row r="9" ht="13.15" customFormat="1" customHeight="1" s="4">
      <c r="B9" s="1" t="n"/>
      <c r="D9" s="158" t="n"/>
      <c r="E9" s="158" t="n"/>
      <c r="F9" s="158" t="n"/>
    </row>
    <row r="10" ht="27" customHeight="1">
      <c r="A10" s="270" t="inlineStr">
        <is>
          <t>№ пп.</t>
        </is>
      </c>
      <c r="B10" s="270" t="inlineStr">
        <is>
          <t>Код ресурса</t>
        </is>
      </c>
      <c r="C10" s="270" t="inlineStr">
        <is>
          <t>Наименование</t>
        </is>
      </c>
      <c r="D10" s="270" t="inlineStr">
        <is>
          <t>Ед. изм.</t>
        </is>
      </c>
      <c r="E10" s="270" t="inlineStr">
        <is>
          <t>Кол-во единиц по проектным данным</t>
        </is>
      </c>
      <c r="F10" s="270" t="inlineStr">
        <is>
          <t>Сметная стоимость в ценах на 01.01.2000 (руб.)</t>
        </is>
      </c>
      <c r="G10" s="334" t="n"/>
      <c r="H10" s="270" t="inlineStr">
        <is>
          <t>Удельный вес, %</t>
        </is>
      </c>
      <c r="I10" s="270" t="inlineStr">
        <is>
          <t>Сметная стоимость в ценах на 01.01.2023 (руб.)</t>
        </is>
      </c>
      <c r="J10" s="334" t="n"/>
      <c r="M10" s="12" t="n"/>
      <c r="N10" s="12" t="n"/>
    </row>
    <row r="11" ht="28.5" customHeight="1">
      <c r="A11" s="336" t="n"/>
      <c r="B11" s="336" t="n"/>
      <c r="C11" s="336" t="n"/>
      <c r="D11" s="336" t="n"/>
      <c r="E11" s="336" t="n"/>
      <c r="F11" s="270" t="inlineStr">
        <is>
          <t>на ед. изм.</t>
        </is>
      </c>
      <c r="G11" s="270" t="inlineStr">
        <is>
          <t>общая</t>
        </is>
      </c>
      <c r="H11" s="336" t="n"/>
      <c r="I11" s="270" t="inlineStr">
        <is>
          <t>на ед. изм.</t>
        </is>
      </c>
      <c r="J11" s="270" t="inlineStr">
        <is>
          <t>общая</t>
        </is>
      </c>
      <c r="M11" s="12" t="n"/>
      <c r="N11" s="12" t="n"/>
    </row>
    <row r="12">
      <c r="A12" s="270" t="n">
        <v>1</v>
      </c>
      <c r="B12" s="270" t="n">
        <v>2</v>
      </c>
      <c r="C12" s="270" t="n">
        <v>3</v>
      </c>
      <c r="D12" s="270" t="n">
        <v>4</v>
      </c>
      <c r="E12" s="270" t="n">
        <v>5</v>
      </c>
      <c r="F12" s="270" t="n">
        <v>6</v>
      </c>
      <c r="G12" s="270" t="n">
        <v>7</v>
      </c>
      <c r="H12" s="270" t="n">
        <v>8</v>
      </c>
      <c r="I12" s="265" t="n">
        <v>9</v>
      </c>
      <c r="J12" s="265" t="n">
        <v>10</v>
      </c>
      <c r="M12" s="12" t="n"/>
      <c r="N12" s="12" t="n"/>
    </row>
    <row r="13">
      <c r="A13" s="270" t="n"/>
      <c r="B13" s="256" t="inlineStr">
        <is>
          <t>Затраты труда рабочих-строителей</t>
        </is>
      </c>
      <c r="C13" s="333" t="n"/>
      <c r="D13" s="333" t="n"/>
      <c r="E13" s="333" t="n"/>
      <c r="F13" s="333" t="n"/>
      <c r="G13" s="333" t="n"/>
      <c r="H13" s="334" t="n"/>
      <c r="I13" s="124" t="n"/>
      <c r="J13" s="124" t="n"/>
    </row>
    <row r="14" ht="25.5" customHeight="1">
      <c r="A14" s="270" t="n">
        <v>1</v>
      </c>
      <c r="B14" s="133" t="inlineStr">
        <is>
          <t>1-3-8</t>
        </is>
      </c>
      <c r="C14" s="269" t="inlineStr">
        <is>
          <t>Затраты труда рабочих-строителей среднего разряда (3,8)</t>
        </is>
      </c>
      <c r="D14" s="270" t="inlineStr">
        <is>
          <t>чел.-ч.</t>
        </is>
      </c>
      <c r="E14" s="341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0" t="n"/>
      <c r="B15" s="270" t="n"/>
      <c r="C15" s="256" t="inlineStr">
        <is>
          <t>Итого по разделу "Затраты труда рабочих-строителей"</t>
        </is>
      </c>
      <c r="D15" s="270" t="inlineStr">
        <is>
          <t>чел.-ч.</t>
        </is>
      </c>
      <c r="E15" s="341">
        <f>SUM(E14:E14)</f>
        <v/>
      </c>
      <c r="F15" s="32" t="n"/>
      <c r="G15" s="32">
        <f>SUM(G14:G14)</f>
        <v/>
      </c>
      <c r="H15" s="273" t="n">
        <v>1</v>
      </c>
      <c r="I15" s="124" t="n"/>
      <c r="J15" s="32">
        <f>SUM(J14:J14)</f>
        <v/>
      </c>
    </row>
    <row r="16" ht="14.25" customFormat="1" customHeight="1" s="12">
      <c r="A16" s="270" t="n"/>
      <c r="B16" s="269" t="inlineStr">
        <is>
          <t>Затраты труда машинистов</t>
        </is>
      </c>
      <c r="C16" s="333" t="n"/>
      <c r="D16" s="333" t="n"/>
      <c r="E16" s="333" t="n"/>
      <c r="F16" s="333" t="n"/>
      <c r="G16" s="333" t="n"/>
      <c r="H16" s="334" t="n"/>
      <c r="I16" s="124" t="n"/>
      <c r="J16" s="124" t="n"/>
    </row>
    <row r="17" ht="14.25" customFormat="1" customHeight="1" s="12">
      <c r="A17" s="270" t="n">
        <v>2</v>
      </c>
      <c r="B17" s="270" t="n">
        <v>2</v>
      </c>
      <c r="C17" s="269" t="inlineStr">
        <is>
          <t>Затраты труда машинистов</t>
        </is>
      </c>
      <c r="D17" s="270" t="inlineStr">
        <is>
          <t>чел.-ч.</t>
        </is>
      </c>
      <c r="E17" s="342" t="n">
        <v>24.6</v>
      </c>
      <c r="F17" s="32">
        <f>G17/E17</f>
        <v/>
      </c>
      <c r="G17" s="32">
        <f>'Прил. 3'!H16</f>
        <v/>
      </c>
      <c r="H17" s="27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0" t="n"/>
      <c r="B18" s="256" t="inlineStr">
        <is>
          <t>Машины и механизмы</t>
        </is>
      </c>
      <c r="C18" s="333" t="n"/>
      <c r="D18" s="333" t="n"/>
      <c r="E18" s="333" t="n"/>
      <c r="F18" s="333" t="n"/>
      <c r="G18" s="333" t="n"/>
      <c r="H18" s="334" t="n"/>
      <c r="I18" s="124" t="n"/>
      <c r="J18" s="124" t="n"/>
    </row>
    <row r="19" ht="14.25" customFormat="1" customHeight="1" s="12">
      <c r="A19" s="270" t="n"/>
      <c r="B19" s="269" t="inlineStr">
        <is>
          <t>Основные машины и механизмы</t>
        </is>
      </c>
      <c r="C19" s="333" t="n"/>
      <c r="D19" s="333" t="n"/>
      <c r="E19" s="333" t="n"/>
      <c r="F19" s="333" t="n"/>
      <c r="G19" s="333" t="n"/>
      <c r="H19" s="334" t="n"/>
      <c r="I19" s="124" t="n"/>
      <c r="J19" s="124" t="n"/>
    </row>
    <row r="20" ht="25.5" customFormat="1" customHeight="1" s="12">
      <c r="A20" s="270" t="n">
        <v>3</v>
      </c>
      <c r="B20" s="187" t="inlineStr">
        <is>
          <t>91.05.05-015</t>
        </is>
      </c>
      <c r="C20" s="188" t="inlineStr">
        <is>
          <t>Краны на автомобильном ходу, грузоподъемность 16 т</t>
        </is>
      </c>
      <c r="D20" s="187" t="inlineStr">
        <is>
          <t>маш.-ч.</t>
        </is>
      </c>
      <c r="E20" s="343" t="n">
        <v>12.3</v>
      </c>
      <c r="F20" s="206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0" t="n">
        <v>4</v>
      </c>
      <c r="B21" s="187" t="inlineStr">
        <is>
          <t>91.14.02-001</t>
        </is>
      </c>
      <c r="C21" s="188" t="inlineStr">
        <is>
          <t>Автомобили бортовые, грузоподъемность до 5 т</t>
        </is>
      </c>
      <c r="D21" s="187" t="inlineStr">
        <is>
          <t>маш.-ч.</t>
        </is>
      </c>
      <c r="E21" s="343" t="n">
        <v>12.3</v>
      </c>
      <c r="F21" s="206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0" t="n">
        <v>5</v>
      </c>
      <c r="B22" s="187" t="inlineStr">
        <is>
          <t>91.06.03-061</t>
        </is>
      </c>
      <c r="C22" s="188" t="inlineStr">
        <is>
          <t>Лебедки электрические тяговым усилием до 12,26 кН (1,25 т)</t>
        </is>
      </c>
      <c r="D22" s="187" t="inlineStr">
        <is>
          <t>маш.-ч.</t>
        </is>
      </c>
      <c r="E22" s="343" t="n">
        <v>118.72</v>
      </c>
      <c r="F22" s="206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0" t="n"/>
      <c r="B23" s="270" t="n"/>
      <c r="C23" s="269" t="inlineStr">
        <is>
          <t>Итого основные машины и механизмы</t>
        </is>
      </c>
      <c r="D23" s="270" t="n"/>
      <c r="E23" s="342" t="n"/>
      <c r="F23" s="32" t="n"/>
      <c r="G23" s="32">
        <f>SUM(G20:G22)</f>
        <v/>
      </c>
      <c r="H23" s="273">
        <f>G23/G27</f>
        <v/>
      </c>
      <c r="I23" s="126" t="n"/>
      <c r="J23" s="32">
        <f>SUM(J20:J22)</f>
        <v/>
      </c>
    </row>
    <row r="24" outlineLevel="1" ht="25.5" customFormat="1" customHeight="1" s="12">
      <c r="A24" s="270" t="n">
        <v>6</v>
      </c>
      <c r="B24" s="187" t="inlineStr">
        <is>
          <t>91.06.01-003</t>
        </is>
      </c>
      <c r="C24" s="188" t="inlineStr">
        <is>
          <t>Домкраты гидравлические, грузоподъемность 63-100 т</t>
        </is>
      </c>
      <c r="D24" s="187" t="inlineStr">
        <is>
          <t>маш.-ч.</t>
        </is>
      </c>
      <c r="E24" s="343" t="n">
        <v>118.72</v>
      </c>
      <c r="F24" s="206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12">
      <c r="A25" s="270" t="n">
        <v>7</v>
      </c>
      <c r="B25" s="187" t="inlineStr">
        <is>
          <t>91.17.04-233</t>
        </is>
      </c>
      <c r="C25" s="188" t="inlineStr">
        <is>
          <t>Установки для сварки ручной дуговой (постоянного тока)</t>
        </is>
      </c>
      <c r="D25" s="187" t="inlineStr">
        <is>
          <t>маш.-ч.</t>
        </is>
      </c>
      <c r="E25" s="343" t="n">
        <v>0.68</v>
      </c>
      <c r="F25" s="206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70" t="n"/>
      <c r="B26" s="270" t="n"/>
      <c r="C26" s="269" t="inlineStr">
        <is>
          <t>Итого прочие машины и механизмы</t>
        </is>
      </c>
      <c r="D26" s="270" t="n"/>
      <c r="E26" s="271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0" t="n"/>
      <c r="B27" s="270" t="n"/>
      <c r="C27" s="256" t="inlineStr">
        <is>
          <t>Итого по разделу «Машины и механизмы»</t>
        </is>
      </c>
      <c r="D27" s="270" t="n"/>
      <c r="E27" s="271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0" t="n"/>
      <c r="B28" s="256" t="inlineStr">
        <is>
          <t>Оборудование</t>
        </is>
      </c>
      <c r="C28" s="333" t="n"/>
      <c r="D28" s="333" t="n"/>
      <c r="E28" s="333" t="n"/>
      <c r="F28" s="333" t="n"/>
      <c r="G28" s="333" t="n"/>
      <c r="H28" s="334" t="n"/>
      <c r="I28" s="124" t="n"/>
      <c r="J28" s="124" t="n"/>
    </row>
    <row r="29">
      <c r="A29" s="270" t="n"/>
      <c r="B29" s="269" t="inlineStr">
        <is>
          <t>Основное оборудование</t>
        </is>
      </c>
      <c r="C29" s="333" t="n"/>
      <c r="D29" s="333" t="n"/>
      <c r="E29" s="333" t="n"/>
      <c r="F29" s="333" t="n"/>
      <c r="G29" s="333" t="n"/>
      <c r="H29" s="334" t="n"/>
      <c r="I29" s="124" t="n"/>
      <c r="J29" s="124" t="n"/>
    </row>
    <row r="30" ht="60" customFormat="1" customHeight="1" s="12">
      <c r="A30" s="270" t="n">
        <v>8</v>
      </c>
      <c r="B30" s="270" t="inlineStr">
        <is>
          <t>БЦ.31_1.22</t>
        </is>
      </c>
      <c r="C30" s="269" t="inlineStr">
        <is>
          <t>Шкаф противоаварийной автоматики энергорайона/энергоузла для небольших узловых ПС без возможности связи с ЦСПА</t>
        </is>
      </c>
      <c r="D30" s="270" t="inlineStr">
        <is>
          <t>шт</t>
        </is>
      </c>
      <c r="E30" s="342" t="n">
        <v>1</v>
      </c>
      <c r="F30" s="287">
        <f>ROUND(I30/'Прил. 10'!$D$14,2)</f>
        <v/>
      </c>
      <c r="G30" s="32">
        <f>ROUND(E30*F30,2)</f>
        <v/>
      </c>
      <c r="H30" s="127">
        <f>G30/$G$33</f>
        <v/>
      </c>
      <c r="I30" s="178" t="n">
        <v>15606000</v>
      </c>
      <c r="J30" s="32">
        <f>ROUND(I30*E30,2)</f>
        <v/>
      </c>
    </row>
    <row r="31">
      <c r="A31" s="270" t="n"/>
      <c r="B31" s="270" t="n"/>
      <c r="C31" s="269" t="inlineStr">
        <is>
          <t>Итого основное оборудование</t>
        </is>
      </c>
      <c r="D31" s="270" t="n"/>
      <c r="E31" s="342" t="n"/>
      <c r="F31" s="272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0" t="n"/>
      <c r="B32" s="270" t="n"/>
      <c r="C32" s="269" t="inlineStr">
        <is>
          <t>Итого прочее оборудование</t>
        </is>
      </c>
      <c r="D32" s="183" t="n"/>
      <c r="E32" s="342" t="n"/>
      <c r="F32" s="272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0" t="n"/>
      <c r="B33" s="270" t="n"/>
      <c r="C33" s="256" t="inlineStr">
        <is>
          <t>Итого по разделу «Оборудование»</t>
        </is>
      </c>
      <c r="D33" s="270" t="n"/>
      <c r="E33" s="271" t="n"/>
      <c r="F33" s="272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0" t="n"/>
      <c r="B34" s="270" t="n"/>
      <c r="C34" s="269" t="inlineStr">
        <is>
          <t>в том числе технологическое оборудование</t>
        </is>
      </c>
      <c r="D34" s="270" t="n"/>
      <c r="E34" s="342" t="n"/>
      <c r="F34" s="272" t="n"/>
      <c r="G34" s="32">
        <f>'Прил.6 Расчет ОБ'!G13</f>
        <v/>
      </c>
      <c r="H34" s="273" t="n"/>
      <c r="I34" s="126" t="n"/>
      <c r="J34" s="32">
        <f>J33</f>
        <v/>
      </c>
    </row>
    <row r="35" ht="14.25" customFormat="1" customHeight="1" s="12">
      <c r="A35" s="270" t="n"/>
      <c r="B35" s="256" t="inlineStr">
        <is>
          <t>Материалы</t>
        </is>
      </c>
      <c r="C35" s="333" t="n"/>
      <c r="D35" s="333" t="n"/>
      <c r="E35" s="333" t="n"/>
      <c r="F35" s="333" t="n"/>
      <c r="G35" s="333" t="n"/>
      <c r="H35" s="334" t="n"/>
      <c r="I35" s="124" t="n"/>
      <c r="J35" s="124" t="n"/>
    </row>
    <row r="36" ht="14.25" customFormat="1" customHeight="1" s="12">
      <c r="A36" s="265" t="n"/>
      <c r="B36" s="264" t="inlineStr">
        <is>
          <t>Основные материалы</t>
        </is>
      </c>
      <c r="C36" s="344" t="n"/>
      <c r="D36" s="344" t="n"/>
      <c r="E36" s="344" t="n"/>
      <c r="F36" s="344" t="n"/>
      <c r="G36" s="344" t="n"/>
      <c r="H36" s="345" t="n"/>
      <c r="I36" s="136" t="n"/>
      <c r="J36" s="136" t="n"/>
    </row>
    <row r="37" ht="18.6" customFormat="1" customHeight="1" s="12">
      <c r="A37" s="270" t="n">
        <v>9</v>
      </c>
      <c r="B37" s="187" t="inlineStr">
        <is>
          <t>21.1.08.03-0586</t>
        </is>
      </c>
      <c r="C37" s="188" t="inlineStr">
        <is>
          <t>Кабель контрольный КВВГЭнг(A)-LS 10х1,5</t>
        </is>
      </c>
      <c r="D37" s="187" t="inlineStr">
        <is>
          <t>1000 м</t>
        </is>
      </c>
      <c r="E37" s="343">
        <f>G37/F37</f>
        <v/>
      </c>
      <c r="F37" s="188" t="n">
        <v>50351.14</v>
      </c>
      <c r="G37" s="32">
        <f>G38+G39+G40</f>
        <v/>
      </c>
      <c r="H37" s="127">
        <f>G37/$G$68</f>
        <v/>
      </c>
      <c r="I37" s="32">
        <f>ROUND(F37*'Прил. 10'!$D$13,2)</f>
        <v/>
      </c>
      <c r="J37" s="32">
        <f>ROUND(I37*E37,2)</f>
        <v/>
      </c>
    </row>
    <row r="38" outlineLevel="1" ht="18" customFormat="1" customHeight="1" s="12">
      <c r="A38" s="270" t="n"/>
      <c r="B38" s="187" t="inlineStr">
        <is>
          <t>21.1.08.03-0586</t>
        </is>
      </c>
      <c r="C38" s="188" t="inlineStr">
        <is>
          <t>Кабель контрольный КВВГЭнг(A)-LS 10х1,5</t>
        </is>
      </c>
      <c r="D38" s="187" t="inlineStr">
        <is>
          <t>1000 м</t>
        </is>
      </c>
      <c r="E38" s="343" t="n">
        <v>2.04</v>
      </c>
      <c r="F38" s="188" t="n">
        <v>50351.14</v>
      </c>
      <c r="G38" s="32">
        <f>ROUND(E38*F38,2)</f>
        <v/>
      </c>
      <c r="H38" s="127">
        <f>G38/$G$68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70" t="n"/>
      <c r="B39" s="187" t="inlineStr">
        <is>
          <t>21.1.08.03-0579</t>
        </is>
      </c>
      <c r="C39" s="188" t="inlineStr">
        <is>
          <t>Кабель контрольный КВВГЭнг(А)-LS 5x2,5</t>
        </is>
      </c>
      <c r="D39" s="187" t="inlineStr">
        <is>
          <t>1000 м</t>
        </is>
      </c>
      <c r="E39" s="343" t="n">
        <v>2.04</v>
      </c>
      <c r="F39" s="188" t="n">
        <v>38348.22</v>
      </c>
      <c r="G39" s="32">
        <f>ROUND(E39*F39,2)</f>
        <v/>
      </c>
      <c r="H39" s="127">
        <f>G39/$G$68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70" t="n"/>
      <c r="B40" s="187" t="inlineStr">
        <is>
          <t>21.1.08.03-0581</t>
        </is>
      </c>
      <c r="C40" s="188" t="inlineStr">
        <is>
          <t>Кабель контрольный КВВГЭнг(A)-LS 7х1,5</t>
        </is>
      </c>
      <c r="D40" s="187" t="inlineStr">
        <is>
          <t>1000 м</t>
        </is>
      </c>
      <c r="E40" s="343" t="n">
        <v>2.04</v>
      </c>
      <c r="F40" s="188" t="n">
        <v>37014.5</v>
      </c>
      <c r="G40" s="32">
        <f>ROUND(E40*F40,2)</f>
        <v/>
      </c>
      <c r="H40" s="127">
        <f>G40/$G$68</f>
        <v/>
      </c>
      <c r="I40" s="32">
        <f>ROUND(F40*'Прил. 10'!$D$13,2)</f>
        <v/>
      </c>
      <c r="J40" s="32">
        <f>ROUND(I40*E40,2)</f>
        <v/>
      </c>
    </row>
    <row r="41" ht="14.25" customFormat="1" customHeight="1" s="12">
      <c r="A41" s="270" t="n"/>
      <c r="B41" s="137" t="n"/>
      <c r="C41" s="138" t="inlineStr">
        <is>
          <t>Итого основные материалы</t>
        </is>
      </c>
      <c r="D41" s="281" t="n"/>
      <c r="E41" s="346" t="n"/>
      <c r="F41" s="130" t="n"/>
      <c r="G41" s="130">
        <f>SUM(G37:G37)</f>
        <v/>
      </c>
      <c r="H41" s="127">
        <f>G41/$G$68</f>
        <v/>
      </c>
      <c r="I41" s="32" t="n"/>
      <c r="J41" s="130">
        <f>SUM(J37:J37)</f>
        <v/>
      </c>
    </row>
    <row r="42" outlineLevel="1" ht="43.15" customFormat="1" customHeight="1" s="12">
      <c r="A42" s="270" t="n">
        <v>10</v>
      </c>
      <c r="B42" s="187" t="inlineStr">
        <is>
          <t>21.1.01.01-0001</t>
        </is>
      </c>
      <c r="C42" s="188" t="inlineStr">
        <is>
          <t>Кабель волоконно-оптический самонесущий биэлектрический ДСт-49-6z-6/32</t>
        </is>
      </c>
      <c r="D42" s="187" t="inlineStr">
        <is>
          <t>1000 м</t>
        </is>
      </c>
      <c r="E42" s="343" t="n">
        <v>0.1</v>
      </c>
      <c r="F42" s="188" t="n">
        <v>45920.9</v>
      </c>
      <c r="G42" s="32">
        <f>ROUND(E42*F42,2)</f>
        <v/>
      </c>
      <c r="H42" s="127">
        <f>G42/$G$68</f>
        <v/>
      </c>
      <c r="I42" s="32">
        <f>ROUND(F42*'Прил. 10'!$D$13,2)</f>
        <v/>
      </c>
      <c r="J42" s="32">
        <f>ROUND(I42*E42,2)</f>
        <v/>
      </c>
    </row>
    <row r="43" outlineLevel="1" ht="25.5" customFormat="1" customHeight="1" s="12">
      <c r="A43" s="270" t="n">
        <v>11</v>
      </c>
      <c r="B43" s="187" t="inlineStr">
        <is>
          <t>10.3.02.03-0011</t>
        </is>
      </c>
      <c r="C43" s="188" t="inlineStr">
        <is>
          <t>Припои оловянно-свинцовые бессурьмянистые, марка ПОС30</t>
        </is>
      </c>
      <c r="D43" s="187" t="inlineStr">
        <is>
          <t>т</t>
        </is>
      </c>
      <c r="E43" s="343" t="n">
        <v>0.02214</v>
      </c>
      <c r="F43" s="188" t="n">
        <v>68041.55</v>
      </c>
      <c r="G43" s="32">
        <f>ROUND(E43*F43,2)</f>
        <v/>
      </c>
      <c r="H43" s="127">
        <f>G43/$G$68</f>
        <v/>
      </c>
      <c r="I43" s="32">
        <f>ROUND(F43*'Прил. 10'!$D$13,2)</f>
        <v/>
      </c>
      <c r="J43" s="32">
        <f>ROUND(I43*E43,2)</f>
        <v/>
      </c>
    </row>
    <row r="44" outlineLevel="1" ht="38.25" customFormat="1" customHeight="1" s="12">
      <c r="A44" s="270" t="n">
        <v>12</v>
      </c>
      <c r="B44" s="187" t="inlineStr">
        <is>
          <t>24.3.01.02-0002</t>
        </is>
      </c>
      <c r="C44" s="188" t="inlineStr">
        <is>
          <t>Трубы гибкие гофрированные из самозатухающего ПВХ легкие с протяжкой, диаметр 25 мм</t>
        </is>
      </c>
      <c r="D44" s="187" t="inlineStr">
        <is>
          <t>м</t>
        </is>
      </c>
      <c r="E44" s="343" t="n">
        <v>102</v>
      </c>
      <c r="F44" s="188" t="n">
        <v>3.43</v>
      </c>
      <c r="G44" s="32">
        <f>ROUND(E44*F44,2)</f>
        <v/>
      </c>
      <c r="H44" s="127">
        <f>G44/$G$68</f>
        <v/>
      </c>
      <c r="I44" s="32">
        <f>ROUND(F44*'Прил. 10'!$D$13,2)</f>
        <v/>
      </c>
      <c r="J44" s="32">
        <f>ROUND(I44*E44,2)</f>
        <v/>
      </c>
    </row>
    <row r="45" outlineLevel="1" ht="25.5" customFormat="1" customHeight="1" s="12">
      <c r="A45" s="270" t="n">
        <v>13</v>
      </c>
      <c r="B45" s="187" t="inlineStr">
        <is>
          <t>07.2.07.04-0007</t>
        </is>
      </c>
      <c r="C45" s="188" t="inlineStr">
        <is>
          <t>Конструкции стальные индивидуальные решетчатые сварные, масса до 0,1 т</t>
        </is>
      </c>
      <c r="D45" s="187" t="inlineStr">
        <is>
          <t>т</t>
        </is>
      </c>
      <c r="E45" s="343" t="n">
        <v>0.025</v>
      </c>
      <c r="F45" s="188" t="n">
        <v>11500</v>
      </c>
      <c r="G45" s="32">
        <f>ROUND(E45*F45,2)</f>
        <v/>
      </c>
      <c r="H45" s="127">
        <f>G45/$G$68</f>
        <v/>
      </c>
      <c r="I45" s="32">
        <f>ROUND(F45*'Прил. 10'!$D$13,2)</f>
        <v/>
      </c>
      <c r="J45" s="32">
        <f>ROUND(I45*E45,2)</f>
        <v/>
      </c>
    </row>
    <row r="46" outlineLevel="1" ht="14.25" customFormat="1" customHeight="1" s="12">
      <c r="A46" s="270" t="n">
        <v>14</v>
      </c>
      <c r="B46" s="187" t="inlineStr">
        <is>
          <t>14.4.03.03-0002</t>
        </is>
      </c>
      <c r="C46" s="188" t="inlineStr">
        <is>
          <t>Лак битумный БТ-123</t>
        </is>
      </c>
      <c r="D46" s="187" t="inlineStr">
        <is>
          <t>т</t>
        </is>
      </c>
      <c r="E46" s="343" t="n">
        <v>0.03264</v>
      </c>
      <c r="F46" s="188" t="n">
        <v>7833.33</v>
      </c>
      <c r="G46" s="32">
        <f>ROUND(E46*F46,2)</f>
        <v/>
      </c>
      <c r="H46" s="127">
        <f>G46/$G$68</f>
        <v/>
      </c>
      <c r="I46" s="32">
        <f>ROUND(F46*'Прил. 10'!$D$13,2)</f>
        <v/>
      </c>
      <c r="J46" s="32">
        <f>ROUND(I46*E46,2)</f>
        <v/>
      </c>
    </row>
    <row r="47" outlineLevel="1" ht="14.25" customFormat="1" customHeight="1" s="12">
      <c r="A47" s="270" t="n">
        <v>15</v>
      </c>
      <c r="B47" s="187" t="inlineStr">
        <is>
          <t>01.7.06.07-0002</t>
        </is>
      </c>
      <c r="C47" s="188" t="inlineStr">
        <is>
          <t>Лента монтажная, тип ЛМ-5</t>
        </is>
      </c>
      <c r="D47" s="187" t="inlineStr">
        <is>
          <t>10 м</t>
        </is>
      </c>
      <c r="E47" s="343" t="n">
        <v>26.14</v>
      </c>
      <c r="F47" s="188" t="n">
        <v>6.9</v>
      </c>
      <c r="G47" s="32">
        <f>ROUND(E47*F47,2)</f>
        <v/>
      </c>
      <c r="H47" s="127">
        <f>G47/$G$68</f>
        <v/>
      </c>
      <c r="I47" s="32">
        <f>ROUND(F47*'Прил. 10'!$D$13,2)</f>
        <v/>
      </c>
      <c r="J47" s="32">
        <f>ROUND(I47*E47,2)</f>
        <v/>
      </c>
    </row>
    <row r="48" outlineLevel="1" ht="38.25" customFormat="1" customHeight="1" s="12">
      <c r="A48" s="270" t="n">
        <v>16</v>
      </c>
      <c r="B48" s="187" t="inlineStr">
        <is>
          <t>21.2.01.02-0141</t>
        </is>
      </c>
      <c r="C48" s="188" t="inlineStr">
        <is>
          <t>Провод неизолированный для воздушных линий электропередачи медные, марка М, сечение 4 мм2</t>
        </is>
      </c>
      <c r="D48" s="187" t="inlineStr">
        <is>
          <t>т</t>
        </is>
      </c>
      <c r="E48" s="343" t="n">
        <v>0.00176</v>
      </c>
      <c r="F48" s="188" t="n">
        <v>96454.55</v>
      </c>
      <c r="G48" s="32">
        <f>ROUND(E48*F48,2)</f>
        <v/>
      </c>
      <c r="H48" s="127">
        <f>G48/$G$68</f>
        <v/>
      </c>
      <c r="I48" s="32">
        <f>ROUND(F48*'Прил. 10'!$D$13,2)</f>
        <v/>
      </c>
      <c r="J48" s="32">
        <f>ROUND(I48*E48,2)</f>
        <v/>
      </c>
    </row>
    <row r="49" outlineLevel="1" ht="14.25" customFormat="1" customHeight="1" s="12">
      <c r="A49" s="270" t="n">
        <v>17</v>
      </c>
      <c r="B49" s="187" t="inlineStr">
        <is>
          <t>20.1.02.06-0001</t>
        </is>
      </c>
      <c r="C49" s="188" t="inlineStr">
        <is>
          <t>Жир паяльный</t>
        </is>
      </c>
      <c r="D49" s="187" t="inlineStr">
        <is>
          <t>кг</t>
        </is>
      </c>
      <c r="E49" s="343" t="n">
        <v>1.08</v>
      </c>
      <c r="F49" s="188" t="n">
        <v>101</v>
      </c>
      <c r="G49" s="32">
        <f>ROUND(E49*F49,2)</f>
        <v/>
      </c>
      <c r="H49" s="127">
        <f>G49/$G$68</f>
        <v/>
      </c>
      <c r="I49" s="32">
        <f>ROUND(F49*'Прил. 10'!$D$13,2)</f>
        <v/>
      </c>
      <c r="J49" s="32">
        <f>ROUND(I49*E49,2)</f>
        <v/>
      </c>
    </row>
    <row r="50" outlineLevel="1" ht="25.5" customFormat="1" customHeight="1" s="12">
      <c r="A50" s="270" t="n">
        <v>18</v>
      </c>
      <c r="B50" s="187" t="inlineStr">
        <is>
          <t>999-9950</t>
        </is>
      </c>
      <c r="C50" s="188" t="inlineStr">
        <is>
          <t>Вспомогательные ненормируемые материальные ресурсы</t>
        </is>
      </c>
      <c r="D50" s="187" t="inlineStr">
        <is>
          <t>руб</t>
        </is>
      </c>
      <c r="E50" s="343" t="n">
        <v>107.99136</v>
      </c>
      <c r="F50" s="188" t="n">
        <v>1</v>
      </c>
      <c r="G50" s="32">
        <f>ROUND(E50*F50,2)</f>
        <v/>
      </c>
      <c r="H50" s="127">
        <f>G50/$G$68</f>
        <v/>
      </c>
      <c r="I50" s="32">
        <f>ROUND(F50*'Прил. 10'!$D$13,2)</f>
        <v/>
      </c>
      <c r="J50" s="32">
        <f>ROUND(I50*E50,2)</f>
        <v/>
      </c>
    </row>
    <row r="51" outlineLevel="1" ht="14.25" customFormat="1" customHeight="1" s="12">
      <c r="A51" s="270" t="n">
        <v>19</v>
      </c>
      <c r="B51" s="187" t="inlineStr">
        <is>
          <t>25.2.01.01-0017</t>
        </is>
      </c>
      <c r="C51" s="188" t="inlineStr">
        <is>
          <t>Бирки маркировочные пластмассовые</t>
        </is>
      </c>
      <c r="D51" s="187" t="inlineStr">
        <is>
          <t>100 шт</t>
        </is>
      </c>
      <c r="E51" s="343" t="n">
        <v>3.1</v>
      </c>
      <c r="F51" s="188" t="n">
        <v>30.74</v>
      </c>
      <c r="G51" s="32">
        <f>ROUND(E51*F51,2)</f>
        <v/>
      </c>
      <c r="H51" s="127">
        <f>G51/$G$68</f>
        <v/>
      </c>
      <c r="I51" s="32">
        <f>ROUND(F51*'Прил. 10'!$D$13,2)</f>
        <v/>
      </c>
      <c r="J51" s="32">
        <f>ROUND(I51*E51,2)</f>
        <v/>
      </c>
    </row>
    <row r="52" outlineLevel="1" ht="14.25" customFormat="1" customHeight="1" s="12">
      <c r="A52" s="270" t="n">
        <v>20</v>
      </c>
      <c r="B52" s="187" t="inlineStr">
        <is>
          <t>01.7.15.14-0165</t>
        </is>
      </c>
      <c r="C52" s="188" t="inlineStr">
        <is>
          <t>Шурупы с полукруглой головкой 4x40 мм</t>
        </is>
      </c>
      <c r="D52" s="187" t="inlineStr">
        <is>
          <t>т</t>
        </is>
      </c>
      <c r="E52" s="343" t="n">
        <v>0.00484</v>
      </c>
      <c r="F52" s="188" t="n">
        <v>12454.55</v>
      </c>
      <c r="G52" s="32">
        <f>ROUND(E52*F52,2)</f>
        <v/>
      </c>
      <c r="H52" s="127">
        <f>G52/$G$68</f>
        <v/>
      </c>
      <c r="I52" s="32">
        <f>ROUND(F52*'Прил. 10'!$D$13,2)</f>
        <v/>
      </c>
      <c r="J52" s="32">
        <f>ROUND(I52*E52,2)</f>
        <v/>
      </c>
    </row>
    <row r="53" outlineLevel="1" ht="38.25" customFormat="1" customHeight="1" s="12">
      <c r="A53" s="270" t="n">
        <v>21</v>
      </c>
      <c r="B53" s="187" t="inlineStr">
        <is>
          <t>01.7.06.05-0041</t>
        </is>
      </c>
      <c r="C53" s="188" t="inlineStr">
        <is>
          <t>Лента изоляционная прорезиненная односторонняя, ширина 20 мм, толщина 0,25-0,35 мм</t>
        </is>
      </c>
      <c r="D53" s="187" t="inlineStr">
        <is>
          <t>кг</t>
        </is>
      </c>
      <c r="E53" s="343" t="n">
        <v>1.02</v>
      </c>
      <c r="F53" s="188" t="n">
        <v>30.29</v>
      </c>
      <c r="G53" s="32">
        <f>ROUND(E53*F53,2)</f>
        <v/>
      </c>
      <c r="H53" s="127">
        <f>G53/$G$68</f>
        <v/>
      </c>
      <c r="I53" s="32">
        <f>ROUND(F53*'Прил. 10'!$D$13,2)</f>
        <v/>
      </c>
      <c r="J53" s="32">
        <f>ROUND(I53*E53,2)</f>
        <v/>
      </c>
    </row>
    <row r="54" outlineLevel="1" ht="25.5" customFormat="1" customHeight="1" s="12">
      <c r="A54" s="270" t="n">
        <v>22</v>
      </c>
      <c r="B54" s="187" t="inlineStr">
        <is>
          <t>10.3.02.03-0013</t>
        </is>
      </c>
      <c r="C54" s="188" t="inlineStr">
        <is>
          <t>Припои оловянно-свинцовые бессурьмянистые, марка ПОС61</t>
        </is>
      </c>
      <c r="D54" s="187" t="inlineStr">
        <is>
          <t>т</t>
        </is>
      </c>
      <c r="E54" s="343" t="n">
        <v>0.000248</v>
      </c>
      <c r="F54" s="188" t="n">
        <v>114233.87</v>
      </c>
      <c r="G54" s="32">
        <f>ROUND(E54*F54,2)</f>
        <v/>
      </c>
      <c r="H54" s="127">
        <f>G54/$G$68</f>
        <v/>
      </c>
      <c r="I54" s="32">
        <f>ROUND(F54*'Прил. 10'!$D$13,2)</f>
        <v/>
      </c>
      <c r="J54" s="32">
        <f>ROUND(I54*E54,2)</f>
        <v/>
      </c>
    </row>
    <row r="55" outlineLevel="1" ht="14.25" customFormat="1" customHeight="1" s="12">
      <c r="A55" s="270" t="n">
        <v>23</v>
      </c>
      <c r="B55" s="187" t="inlineStr">
        <is>
          <t>01.7.15.07-0152</t>
        </is>
      </c>
      <c r="C55" s="188" t="inlineStr">
        <is>
          <t>Дюбели с шурупом, размер 6x35 мм</t>
        </is>
      </c>
      <c r="D55" s="187" t="inlineStr">
        <is>
          <t>100 шт</t>
        </is>
      </c>
      <c r="E55" s="343" t="n">
        <v>1.75</v>
      </c>
      <c r="F55" s="188" t="n">
        <v>8</v>
      </c>
      <c r="G55" s="32">
        <f>ROUND(E55*F55,2)</f>
        <v/>
      </c>
      <c r="H55" s="127">
        <f>G55/$G$68</f>
        <v/>
      </c>
      <c r="I55" s="32">
        <f>ROUND(F55*'Прил. 10'!$D$13,2)</f>
        <v/>
      </c>
      <c r="J55" s="32">
        <f>ROUND(I55*E55,2)</f>
        <v/>
      </c>
    </row>
    <row r="56" outlineLevel="1" ht="14.25" customFormat="1" customHeight="1" s="12">
      <c r="A56" s="270" t="n">
        <v>24</v>
      </c>
      <c r="B56" s="187" t="inlineStr">
        <is>
          <t>20.2.01.05-0005</t>
        </is>
      </c>
      <c r="C56" s="188" t="inlineStr">
        <is>
          <t>Гильзы кабельные медные ГМ 16</t>
        </is>
      </c>
      <c r="D56" s="187" t="inlineStr">
        <is>
          <t>100 шт</t>
        </is>
      </c>
      <c r="E56" s="343" t="n">
        <v>0.05</v>
      </c>
      <c r="F56" s="188" t="n">
        <v>143</v>
      </c>
      <c r="G56" s="32">
        <f>ROUND(E56*F56,2)</f>
        <v/>
      </c>
      <c r="H56" s="127">
        <f>G56/$G$68</f>
        <v/>
      </c>
      <c r="I56" s="32">
        <f>ROUND(F56*'Прил. 10'!$D$13,2)</f>
        <v/>
      </c>
      <c r="J56" s="32">
        <f>ROUND(I56*E56,2)</f>
        <v/>
      </c>
    </row>
    <row r="57" outlineLevel="1" ht="14.25" customFormat="1" customHeight="1" s="12">
      <c r="A57" s="270" t="n">
        <v>25</v>
      </c>
      <c r="B57" s="187" t="inlineStr">
        <is>
          <t>24.3.01.01-0002</t>
        </is>
      </c>
      <c r="C57" s="188" t="inlineStr">
        <is>
          <t>Трубка полихлорвиниловая</t>
        </is>
      </c>
      <c r="D57" s="187" t="inlineStr">
        <is>
          <t>кг</t>
        </is>
      </c>
      <c r="E57" s="343" t="n">
        <v>0.124</v>
      </c>
      <c r="F57" s="188" t="n">
        <v>35.73</v>
      </c>
      <c r="G57" s="32">
        <f>ROUND(E57*F57,2)</f>
        <v/>
      </c>
      <c r="H57" s="127">
        <f>G57/$G$68</f>
        <v/>
      </c>
      <c r="I57" s="32">
        <f>ROUND(F57*'Прил. 10'!$D$13,2)</f>
        <v/>
      </c>
      <c r="J57" s="32">
        <f>ROUND(I57*E57,2)</f>
        <v/>
      </c>
    </row>
    <row r="58" outlineLevel="1" ht="14.25" customFormat="1" customHeight="1" s="12">
      <c r="A58" s="270" t="n">
        <v>26</v>
      </c>
      <c r="B58" s="187" t="inlineStr">
        <is>
          <t>01.3.01.05-0009</t>
        </is>
      </c>
      <c r="C58" s="188" t="inlineStr">
        <is>
          <t>Парафин нефтяной твердый Т-1</t>
        </is>
      </c>
      <c r="D58" s="187" t="inlineStr">
        <is>
          <t>т</t>
        </is>
      </c>
      <c r="E58" s="343" t="n">
        <v>0.00054</v>
      </c>
      <c r="F58" s="188" t="n">
        <v>8000</v>
      </c>
      <c r="G58" s="32">
        <f>ROUND(E58*F58,2)</f>
        <v/>
      </c>
      <c r="H58" s="127">
        <f>G58/$G$68</f>
        <v/>
      </c>
      <c r="I58" s="32">
        <f>ROUND(F58*'Прил. 10'!$D$13,2)</f>
        <v/>
      </c>
      <c r="J58" s="32">
        <f>ROUND(I58*E58,2)</f>
        <v/>
      </c>
    </row>
    <row r="59" outlineLevel="1" ht="25.5" customFormat="1" customHeight="1" s="12">
      <c r="A59" s="270" t="n">
        <v>27</v>
      </c>
      <c r="B59" s="187" t="inlineStr">
        <is>
          <t>01.3.01.07-0009</t>
        </is>
      </c>
      <c r="C59" s="188" t="inlineStr">
        <is>
          <t>Спирт этиловый ректификованный технический, сорт I</t>
        </is>
      </c>
      <c r="D59" s="187" t="inlineStr">
        <is>
          <t>кг</t>
        </is>
      </c>
      <c r="E59" s="343" t="n">
        <v>0.08989999999999999</v>
      </c>
      <c r="F59" s="188" t="n">
        <v>38.93</v>
      </c>
      <c r="G59" s="32">
        <f>ROUND(E59*F59,2)</f>
        <v/>
      </c>
      <c r="H59" s="127">
        <f>G59/$G$68</f>
        <v/>
      </c>
      <c r="I59" s="32">
        <f>ROUND(F59*'Прил. 10'!$D$13,2)</f>
        <v/>
      </c>
      <c r="J59" s="32">
        <f>ROUND(I59*E59,2)</f>
        <v/>
      </c>
    </row>
    <row r="60" outlineLevel="1" ht="25.5" customFormat="1" customHeight="1" s="12">
      <c r="A60" s="270" t="n">
        <v>28</v>
      </c>
      <c r="B60" s="187" t="inlineStr">
        <is>
          <t>01.7.11.07-0034</t>
        </is>
      </c>
      <c r="C60" s="188" t="inlineStr">
        <is>
          <t>Электроды сварочные Э42А, диаметр 4 мм</t>
        </is>
      </c>
      <c r="D60" s="187" t="inlineStr">
        <is>
          <t>кг</t>
        </is>
      </c>
      <c r="E60" s="343" t="n">
        <v>0.25</v>
      </c>
      <c r="F60" s="188" t="n">
        <v>10.56</v>
      </c>
      <c r="G60" s="32">
        <f>ROUND(E60*F60,2)</f>
        <v/>
      </c>
      <c r="H60" s="127">
        <f>G60/$G$68</f>
        <v/>
      </c>
      <c r="I60" s="32">
        <f>ROUND(F60*'Прил. 10'!$D$13,2)</f>
        <v/>
      </c>
      <c r="J60" s="32">
        <f>ROUND(I60*E60,2)</f>
        <v/>
      </c>
    </row>
    <row r="61" outlineLevel="1" ht="14.25" customFormat="1" customHeight="1" s="12">
      <c r="A61" s="270" t="n">
        <v>29</v>
      </c>
      <c r="B61" s="187" t="inlineStr">
        <is>
          <t>20.2.02.01-0013</t>
        </is>
      </c>
      <c r="C61" s="188" t="inlineStr">
        <is>
          <t>Втулки, диаметр 28 мм</t>
        </is>
      </c>
      <c r="D61" s="187" t="inlineStr">
        <is>
          <t>1000 шт</t>
        </is>
      </c>
      <c r="E61" s="343" t="n">
        <v>0.0122</v>
      </c>
      <c r="F61" s="188" t="n">
        <v>176.23</v>
      </c>
      <c r="G61" s="32">
        <f>ROUND(E61*F61,2)</f>
        <v/>
      </c>
      <c r="H61" s="127">
        <f>G61/$G$68</f>
        <v/>
      </c>
      <c r="I61" s="32">
        <f>ROUND(F61*'Прил. 10'!$D$13,2)</f>
        <v/>
      </c>
      <c r="J61" s="32">
        <f>ROUND(I61*E61,2)</f>
        <v/>
      </c>
    </row>
    <row r="62" outlineLevel="1" ht="14.25" customFormat="1" customHeight="1" s="12">
      <c r="A62" s="270" t="n">
        <v>30</v>
      </c>
      <c r="B62" s="187" t="inlineStr">
        <is>
          <t>01.7.07.20-0002</t>
        </is>
      </c>
      <c r="C62" s="188" t="inlineStr">
        <is>
          <t>Тальк молотый, сорт I</t>
        </is>
      </c>
      <c r="D62" s="187" t="inlineStr">
        <is>
          <t>т</t>
        </is>
      </c>
      <c r="E62" s="343" t="n">
        <v>0.00105</v>
      </c>
      <c r="F62" s="188" t="n">
        <v>1819.05</v>
      </c>
      <c r="G62" s="32">
        <f>ROUND(E62*F62,2)</f>
        <v/>
      </c>
      <c r="H62" s="127">
        <f>G62/$G$68</f>
        <v/>
      </c>
      <c r="I62" s="32">
        <f>ROUND(F62*'Прил. 10'!$D$13,2)</f>
        <v/>
      </c>
      <c r="J62" s="32">
        <f>ROUND(I62*E62,2)</f>
        <v/>
      </c>
    </row>
    <row r="63" outlineLevel="1" ht="14.25" customFormat="1" customHeight="1" s="12">
      <c r="A63" s="270" t="n">
        <v>31</v>
      </c>
      <c r="B63" s="187" t="inlineStr">
        <is>
          <t>01.3.05.17-0002</t>
        </is>
      </c>
      <c r="C63" s="188" t="inlineStr">
        <is>
          <t>Канифоль сосновая</t>
        </is>
      </c>
      <c r="D63" s="187" t="inlineStr">
        <is>
          <t>кг</t>
        </is>
      </c>
      <c r="E63" s="343" t="n">
        <v>0.0589</v>
      </c>
      <c r="F63" s="188" t="n">
        <v>27.84</v>
      </c>
      <c r="G63" s="32">
        <f>ROUND(E63*F63,2)</f>
        <v/>
      </c>
      <c r="H63" s="127">
        <f>G63/$G$68</f>
        <v/>
      </c>
      <c r="I63" s="32">
        <f>ROUND(F63*'Прил. 10'!$D$13,2)</f>
        <v/>
      </c>
      <c r="J63" s="32">
        <f>ROUND(I63*E63,2)</f>
        <v/>
      </c>
    </row>
    <row r="64" outlineLevel="1" ht="14.25" customFormat="1" customHeight="1" s="12">
      <c r="A64" s="270" t="n">
        <v>32</v>
      </c>
      <c r="B64" s="187" t="inlineStr">
        <is>
          <t>14.4.02.09-0001</t>
        </is>
      </c>
      <c r="C64" s="188" t="inlineStr">
        <is>
          <t>Краска</t>
        </is>
      </c>
      <c r="D64" s="187" t="inlineStr">
        <is>
          <t>кг</t>
        </is>
      </c>
      <c r="E64" s="343" t="n">
        <v>0.05</v>
      </c>
      <c r="F64" s="188" t="n">
        <v>28.6</v>
      </c>
      <c r="G64" s="32">
        <f>ROUND(E64*F64,2)</f>
        <v/>
      </c>
      <c r="H64" s="127">
        <f>G64/$G$68</f>
        <v/>
      </c>
      <c r="I64" s="32">
        <f>ROUND(F64*'Прил. 10'!$D$13,2)</f>
        <v/>
      </c>
      <c r="J64" s="32">
        <f>ROUND(I64*E64,2)</f>
        <v/>
      </c>
    </row>
    <row r="65" outlineLevel="1" ht="14.25" customFormat="1" customHeight="1" s="12">
      <c r="A65" s="270" t="n">
        <v>33</v>
      </c>
      <c r="B65" s="187" t="inlineStr">
        <is>
          <t>01.7.15.03-0042</t>
        </is>
      </c>
      <c r="C65" s="188" t="inlineStr">
        <is>
          <t>Болты с гайками и шайбами строительные</t>
        </is>
      </c>
      <c r="D65" s="187" t="inlineStr">
        <is>
          <t>кг</t>
        </is>
      </c>
      <c r="E65" s="343" t="n">
        <v>0.06</v>
      </c>
      <c r="F65" s="188" t="n">
        <v>9</v>
      </c>
      <c r="G65" s="32">
        <f>ROUND(E65*F65,2)</f>
        <v/>
      </c>
      <c r="H65" s="127">
        <f>G65/$G$68</f>
        <v/>
      </c>
      <c r="I65" s="32">
        <f>ROUND(F65*'Прил. 10'!$D$13,2)</f>
        <v/>
      </c>
      <c r="J65" s="32">
        <f>ROUND(I65*E65,2)</f>
        <v/>
      </c>
    </row>
    <row r="66" outlineLevel="1" ht="14.25" customFormat="1" customHeight="1" s="12">
      <c r="A66" s="270" t="n">
        <v>34</v>
      </c>
      <c r="B66" s="187" t="inlineStr">
        <is>
          <t>01.3.05.11-0001</t>
        </is>
      </c>
      <c r="C66" s="188" t="inlineStr">
        <is>
          <t>Дихлорэтан технический, сорт I</t>
        </is>
      </c>
      <c r="D66" s="187" t="inlineStr">
        <is>
          <t>т</t>
        </is>
      </c>
      <c r="E66" s="343" t="n">
        <v>6.2e-05</v>
      </c>
      <c r="F66" s="188" t="n">
        <v>5000</v>
      </c>
      <c r="G66" s="32">
        <f>ROUND(E66*F66,2)</f>
        <v/>
      </c>
      <c r="H66" s="127">
        <f>G66/$G$68</f>
        <v/>
      </c>
      <c r="I66" s="32">
        <f>ROUND(F66*'Прил. 10'!$D$13,2)</f>
        <v/>
      </c>
      <c r="J66" s="32">
        <f>ROUND(I66*E66,2)</f>
        <v/>
      </c>
    </row>
    <row r="67" ht="14.25" customFormat="1" customHeight="1" s="12">
      <c r="A67" s="270" t="n"/>
      <c r="B67" s="270" t="n"/>
      <c r="C67" s="269" t="inlineStr">
        <is>
          <t>Итого прочие материалы</t>
        </is>
      </c>
      <c r="D67" s="270" t="n"/>
      <c r="E67" s="342" t="n"/>
      <c r="F67" s="272" t="n"/>
      <c r="G67" s="32">
        <f>SUM(G42:G66)</f>
        <v/>
      </c>
      <c r="H67" s="127">
        <f>G67/$G$68</f>
        <v/>
      </c>
      <c r="I67" s="32" t="n"/>
      <c r="J67" s="32">
        <f>SUM(J42:J66)</f>
        <v/>
      </c>
    </row>
    <row r="68" ht="14.25" customFormat="1" customHeight="1" s="12">
      <c r="A68" s="270" t="n"/>
      <c r="B68" s="270" t="n"/>
      <c r="C68" s="256" t="inlineStr">
        <is>
          <t>Итого по разделу «Материалы»</t>
        </is>
      </c>
      <c r="D68" s="270" t="n"/>
      <c r="E68" s="271" t="n"/>
      <c r="F68" s="272" t="n"/>
      <c r="G68" s="32">
        <f>G41+G67</f>
        <v/>
      </c>
      <c r="H68" s="273">
        <f>G68/$G$68</f>
        <v/>
      </c>
      <c r="I68" s="32" t="n"/>
      <c r="J68" s="32">
        <f>J41+J67</f>
        <v/>
      </c>
    </row>
    <row r="69" ht="14.25" customFormat="1" customHeight="1" s="12">
      <c r="A69" s="270" t="n"/>
      <c r="B69" s="270" t="n"/>
      <c r="C69" s="269" t="inlineStr">
        <is>
          <t>ИТОГО ПО РМ</t>
        </is>
      </c>
      <c r="D69" s="270" t="n"/>
      <c r="E69" s="271" t="n"/>
      <c r="F69" s="272" t="n"/>
      <c r="G69" s="32">
        <f>G15+G27+G68</f>
        <v/>
      </c>
      <c r="H69" s="273" t="n"/>
      <c r="I69" s="32" t="n"/>
      <c r="J69" s="32">
        <f>J15+J27+J68</f>
        <v/>
      </c>
    </row>
    <row r="70" ht="14.25" customFormat="1" customHeight="1" s="12">
      <c r="A70" s="270" t="n"/>
      <c r="B70" s="270" t="n"/>
      <c r="C70" s="269" t="inlineStr">
        <is>
          <t>Накладные расходы</t>
        </is>
      </c>
      <c r="D70" s="209">
        <f>ROUND(G70/(G$17+$G$15),2)</f>
        <v/>
      </c>
      <c r="E70" s="271" t="n"/>
      <c r="F70" s="272" t="n"/>
      <c r="G70" s="32" t="n">
        <v>5517.42</v>
      </c>
      <c r="H70" s="273" t="n"/>
      <c r="I70" s="32" t="n"/>
      <c r="J70" s="32">
        <f>ROUND(D70*(J15+J17),2)</f>
        <v/>
      </c>
    </row>
    <row r="71" ht="14.25" customFormat="1" customHeight="1" s="12">
      <c r="A71" s="270" t="n"/>
      <c r="B71" s="270" t="n"/>
      <c r="C71" s="269" t="inlineStr">
        <is>
          <t>Сметная прибыль</t>
        </is>
      </c>
      <c r="D71" s="209">
        <f>ROUND(G71/(G$15+G$17),2)</f>
        <v/>
      </c>
      <c r="E71" s="271" t="n"/>
      <c r="F71" s="272" t="n"/>
      <c r="G71" s="32" t="n">
        <v>2897.22</v>
      </c>
      <c r="H71" s="273" t="n"/>
      <c r="I71" s="32" t="n"/>
      <c r="J71" s="32">
        <f>ROUND(D71*(J15+J17),2)</f>
        <v/>
      </c>
    </row>
    <row r="72" ht="14.25" customFormat="1" customHeight="1" s="12">
      <c r="A72" s="270" t="n"/>
      <c r="B72" s="270" t="n"/>
      <c r="C72" s="269" t="inlineStr">
        <is>
          <t>Итого СМР (с НР и СП)</t>
        </is>
      </c>
      <c r="D72" s="270" t="n"/>
      <c r="E72" s="271" t="n"/>
      <c r="F72" s="272" t="n"/>
      <c r="G72" s="32">
        <f>G15+G27+G68+G70+G71</f>
        <v/>
      </c>
      <c r="H72" s="273" t="n"/>
      <c r="I72" s="32" t="n"/>
      <c r="J72" s="32">
        <f>J15+J27+J68+J70+J71</f>
        <v/>
      </c>
    </row>
    <row r="73" ht="14.25" customFormat="1" customHeight="1" s="12">
      <c r="A73" s="270" t="n"/>
      <c r="B73" s="270" t="n"/>
      <c r="C73" s="269" t="inlineStr">
        <is>
          <t>ВСЕГО СМР + ОБОРУДОВАНИЕ</t>
        </is>
      </c>
      <c r="D73" s="270" t="n"/>
      <c r="E73" s="271" t="n"/>
      <c r="F73" s="272" t="n"/>
      <c r="G73" s="32">
        <f>G72+G33</f>
        <v/>
      </c>
      <c r="H73" s="273" t="n"/>
      <c r="I73" s="32" t="n"/>
      <c r="J73" s="32">
        <f>J72+J33</f>
        <v/>
      </c>
    </row>
    <row r="74" ht="34.5" customFormat="1" customHeight="1" s="12">
      <c r="A74" s="270" t="n"/>
      <c r="B74" s="270" t="n"/>
      <c r="C74" s="269" t="inlineStr">
        <is>
          <t>ИТОГО ПОКАЗАТЕЛЬ НА ЕД. ИЗМ.</t>
        </is>
      </c>
      <c r="D74" s="270" t="inlineStr">
        <is>
          <t>1 ед.</t>
        </is>
      </c>
      <c r="E74" s="347" t="n">
        <v>1</v>
      </c>
      <c r="F74" s="272" t="n"/>
      <c r="G74" s="32">
        <f>G73/E74</f>
        <v/>
      </c>
      <c r="H74" s="273" t="n"/>
      <c r="I74" s="32" t="n"/>
      <c r="J74" s="32">
        <f>J73/E74</f>
        <v/>
      </c>
    </row>
    <row r="76" ht="14.25" customFormat="1" customHeight="1" s="12">
      <c r="A76" s="4" t="inlineStr">
        <is>
          <t>Составил ______________________    А.Р. Маркова</t>
        </is>
      </c>
      <c r="B76" s="207" t="n"/>
      <c r="D76" s="208" t="n"/>
      <c r="E76" s="208" t="n"/>
      <c r="F76" s="208" t="n"/>
    </row>
    <row r="77" ht="14.25" customFormat="1" customHeight="1" s="12">
      <c r="A77" s="33" t="inlineStr">
        <is>
          <t xml:space="preserve">                         (подпись, инициалы, фамилия)</t>
        </is>
      </c>
      <c r="B77" s="207" t="n"/>
      <c r="D77" s="208" t="n"/>
      <c r="E77" s="208" t="n"/>
      <c r="F77" s="208" t="n"/>
    </row>
    <row r="78" ht="14.25" customFormat="1" customHeight="1" s="12">
      <c r="A78" s="4" t="n"/>
      <c r="B78" s="207" t="n"/>
      <c r="D78" s="208" t="n"/>
      <c r="E78" s="208" t="n"/>
      <c r="F78" s="208" t="n"/>
    </row>
    <row r="79" ht="14.25" customFormat="1" customHeight="1" s="12">
      <c r="A79" s="4" t="inlineStr">
        <is>
          <t>Проверил ______________________        А.В. Костянецкая</t>
        </is>
      </c>
      <c r="B79" s="207" t="n"/>
      <c r="D79" s="208" t="n"/>
      <c r="E79" s="208" t="n"/>
      <c r="F79" s="208" t="n"/>
    </row>
    <row r="80" ht="14.25" customFormat="1" customHeight="1" s="12">
      <c r="A80" s="33" t="inlineStr">
        <is>
          <t xml:space="preserve">                        (подпись, инициалы, фамилия)</t>
        </is>
      </c>
      <c r="B80" s="207" t="n"/>
      <c r="D80" s="208" t="n"/>
      <c r="E80" s="208" t="n"/>
      <c r="F80" s="208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3" t="inlineStr">
        <is>
          <t>Приложение №6</t>
        </is>
      </c>
    </row>
    <row r="2" ht="21.75" customHeight="1">
      <c r="A2" s="283" t="n"/>
      <c r="B2" s="283" t="n"/>
      <c r="C2" s="283" t="n"/>
      <c r="D2" s="283" t="n"/>
      <c r="E2" s="283" t="n"/>
      <c r="F2" s="283" t="n"/>
      <c r="G2" s="283" t="n"/>
    </row>
    <row r="3">
      <c r="A3" s="237" t="inlineStr">
        <is>
          <t>Расчет стоимости оборудования</t>
        </is>
      </c>
    </row>
    <row r="4" ht="25.5" customHeight="1">
      <c r="A4" s="240" t="inlineStr">
        <is>
          <t>Наименование разрабатываемого показателя УНЦ — Шкаф противоаварийной автоматики энергорайона/энергоузла для небольших узловых ПС без возможности связи с ЦСПА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8" t="inlineStr">
        <is>
          <t>№ пп.</t>
        </is>
      </c>
      <c r="B6" s="288" t="inlineStr">
        <is>
          <t>Код ресурса</t>
        </is>
      </c>
      <c r="C6" s="288" t="inlineStr">
        <is>
          <t>Наименование</t>
        </is>
      </c>
      <c r="D6" s="288" t="inlineStr">
        <is>
          <t>Ед. изм.</t>
        </is>
      </c>
      <c r="E6" s="270" t="inlineStr">
        <is>
          <t>Кол-во единиц по проектным данным</t>
        </is>
      </c>
      <c r="F6" s="288" t="inlineStr">
        <is>
          <t>Сметная стоимость в ценах на 01.01.2000 (руб.)</t>
        </is>
      </c>
      <c r="G6" s="334" t="n"/>
    </row>
    <row r="7">
      <c r="A7" s="336" t="n"/>
      <c r="B7" s="336" t="n"/>
      <c r="C7" s="336" t="n"/>
      <c r="D7" s="336" t="n"/>
      <c r="E7" s="336" t="n"/>
      <c r="F7" s="270" t="inlineStr">
        <is>
          <t>на ед. изм.</t>
        </is>
      </c>
      <c r="G7" s="270" t="inlineStr">
        <is>
          <t>общая</t>
        </is>
      </c>
    </row>
    <row r="8">
      <c r="A8" s="270" t="n">
        <v>1</v>
      </c>
      <c r="B8" s="270" t="n">
        <v>2</v>
      </c>
      <c r="C8" s="270" t="n">
        <v>3</v>
      </c>
      <c r="D8" s="270" t="n">
        <v>4</v>
      </c>
      <c r="E8" s="270" t="n">
        <v>5</v>
      </c>
      <c r="F8" s="270" t="n">
        <v>6</v>
      </c>
      <c r="G8" s="270" t="n">
        <v>7</v>
      </c>
    </row>
    <row r="9" ht="15" customHeight="1">
      <c r="A9" s="25" t="n"/>
      <c r="B9" s="269" t="inlineStr">
        <is>
          <t>ИНЖЕНЕРНОЕ ОБОРУДОВАНИЕ</t>
        </is>
      </c>
      <c r="C9" s="333" t="n"/>
      <c r="D9" s="333" t="n"/>
      <c r="E9" s="333" t="n"/>
      <c r="F9" s="333" t="n"/>
      <c r="G9" s="334" t="n"/>
    </row>
    <row r="10" ht="27" customHeight="1">
      <c r="A10" s="270" t="n"/>
      <c r="B10" s="256" t="n"/>
      <c r="C10" s="269" t="inlineStr">
        <is>
          <t>ИТОГО ИНЖЕНЕРНОЕ ОБОРУДОВАНИЕ</t>
        </is>
      </c>
      <c r="D10" s="256" t="n"/>
      <c r="E10" s="105" t="n"/>
      <c r="F10" s="272" t="n"/>
      <c r="G10" s="272" t="n">
        <v>0</v>
      </c>
    </row>
    <row r="11">
      <c r="A11" s="270" t="n"/>
      <c r="B11" s="269" t="inlineStr">
        <is>
          <t>ТЕХНОЛОГИЧЕСКОЕ ОБОРУДОВАНИЕ</t>
        </is>
      </c>
      <c r="C11" s="333" t="n"/>
      <c r="D11" s="333" t="n"/>
      <c r="E11" s="333" t="n"/>
      <c r="F11" s="333" t="n"/>
      <c r="G11" s="334" t="n"/>
    </row>
    <row r="12" ht="55.15" customHeight="1">
      <c r="A12" s="270" t="n">
        <v>1</v>
      </c>
      <c r="B12" s="182">
        <f>'Прил.5 Расчет СМР и ОБ'!B30</f>
        <v/>
      </c>
      <c r="C12" s="269">
        <f>'Прил.5 Расчет СМР и ОБ'!C30</f>
        <v/>
      </c>
      <c r="D12" s="270">
        <f>'Прил.5 Расчет СМР и ОБ'!D30</f>
        <v/>
      </c>
      <c r="E12" s="342">
        <f>'Прил.5 Расчет СМР и ОБ'!E30</f>
        <v/>
      </c>
      <c r="F12" s="287">
        <f>'Прил.5 Расчет СМР и ОБ'!F30</f>
        <v/>
      </c>
      <c r="G12" s="32">
        <f>ROUND(E12*F12,2)</f>
        <v/>
      </c>
    </row>
    <row r="13" ht="25.5" customHeight="1">
      <c r="A13" s="270" t="n"/>
      <c r="B13" s="269" t="n"/>
      <c r="C13" s="269" t="inlineStr">
        <is>
          <t>ИТОГО ТЕХНОЛОГИЧЕСКОЕ ОБОРУДОВАНИЕ</t>
        </is>
      </c>
      <c r="D13" s="269" t="n"/>
      <c r="E13" s="287" t="n"/>
      <c r="F13" s="272" t="n"/>
      <c r="G13" s="32">
        <f>SUM(G12:G12)</f>
        <v/>
      </c>
    </row>
    <row r="14" ht="19.5" customHeight="1">
      <c r="A14" s="270" t="n"/>
      <c r="B14" s="269" t="n"/>
      <c r="C14" s="269" t="inlineStr">
        <is>
          <t>Всего по разделу «Оборудование»</t>
        </is>
      </c>
      <c r="D14" s="269" t="n"/>
      <c r="E14" s="287" t="n"/>
      <c r="F14" s="272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3" t="inlineStr">
        <is>
          <t>Приложение №7</t>
        </is>
      </c>
    </row>
    <row r="2">
      <c r="A2" s="283" t="n"/>
      <c r="B2" s="283" t="n"/>
      <c r="C2" s="283" t="n"/>
      <c r="D2" s="283" t="n"/>
    </row>
    <row r="3" ht="24.75" customHeight="1">
      <c r="A3" s="237" t="inlineStr">
        <is>
          <t>Расчет показателя УНЦ</t>
        </is>
      </c>
    </row>
    <row r="4" ht="24.75" customHeight="1">
      <c r="A4" s="237" t="n"/>
      <c r="B4" s="237" t="n"/>
      <c r="C4" s="237" t="n"/>
      <c r="D4" s="237" t="n"/>
    </row>
    <row r="5" ht="24.6" customHeight="1">
      <c r="A5" s="240" t="inlineStr">
        <is>
          <t xml:space="preserve">Наименование разрабатываемого показателя УНЦ - </t>
        </is>
      </c>
      <c r="D5" s="240">
        <f>'Прил.5 Расчет СМР и ОБ'!D6:J6</f>
        <v/>
      </c>
    </row>
    <row r="6" ht="19.9" customHeight="1">
      <c r="A6" s="240" t="inlineStr">
        <is>
          <t>Единица измерения  — 1 ед</t>
        </is>
      </c>
      <c r="D6" s="240" t="n"/>
    </row>
    <row r="7">
      <c r="A7" s="4" t="n"/>
      <c r="B7" s="4" t="n"/>
      <c r="C7" s="4" t="n"/>
      <c r="D7" s="4" t="n"/>
    </row>
    <row r="8" ht="14.45" customHeight="1">
      <c r="A8" s="252" t="inlineStr">
        <is>
          <t>Код показателя</t>
        </is>
      </c>
      <c r="B8" s="252" t="inlineStr">
        <is>
          <t>Наименование показателя</t>
        </is>
      </c>
      <c r="C8" s="252" t="inlineStr">
        <is>
          <t>Наименование РМ, входящих в состав показателя</t>
        </is>
      </c>
      <c r="D8" s="252" t="inlineStr">
        <is>
          <t>Норматив цены на 01.01.2023, тыс.руб.</t>
        </is>
      </c>
    </row>
    <row r="9" ht="15" customHeight="1">
      <c r="A9" s="336" t="n"/>
      <c r="B9" s="336" t="n"/>
      <c r="C9" s="336" t="n"/>
      <c r="D9" s="336" t="n"/>
    </row>
    <row r="10">
      <c r="A10" s="270" t="n">
        <v>1</v>
      </c>
      <c r="B10" s="270" t="n">
        <v>2</v>
      </c>
      <c r="C10" s="270" t="n">
        <v>3</v>
      </c>
      <c r="D10" s="270" t="n">
        <v>4</v>
      </c>
    </row>
    <row r="11" ht="41.45" customHeight="1">
      <c r="A11" s="270" t="inlineStr">
        <is>
          <t>А8-01</t>
        </is>
      </c>
      <c r="B11" s="270" t="inlineStr">
        <is>
          <t xml:space="preserve">УНЦ систем ПА, УПАСК </t>
        </is>
      </c>
      <c r="C11" s="159">
        <f>D5</f>
        <v/>
      </c>
      <c r="D11" s="3">
        <f>'Прил.4 РМ'!C41/1000</f>
        <v/>
      </c>
      <c r="E11" s="158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5" zoomScaleNormal="85" zoomScaleSheetLayoutView="100" workbookViewId="0">
      <selection activeCell="J18" sqref="J18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7" t="inlineStr">
        <is>
          <t>Приложение № 10</t>
        </is>
      </c>
    </row>
    <row r="5" ht="18.75" customHeight="1">
      <c r="B5" s="117" t="n"/>
    </row>
    <row r="6" ht="15.75" customHeight="1">
      <c r="B6" s="248" t="inlineStr">
        <is>
          <t>Используемые индексы изменений сметной стоимости и нормы сопутствующих затрат</t>
        </is>
      </c>
    </row>
    <row r="7">
      <c r="B7" s="289" t="n"/>
    </row>
    <row r="8">
      <c r="B8" s="289" t="n"/>
      <c r="C8" s="289" t="n"/>
      <c r="D8" s="289" t="n"/>
      <c r="E8" s="289" t="n"/>
    </row>
    <row r="9" ht="47.25" customHeight="1">
      <c r="B9" s="252" t="inlineStr">
        <is>
          <t>Наименование индекса / норм сопутствующих затрат</t>
        </is>
      </c>
      <c r="C9" s="252" t="inlineStr">
        <is>
          <t>Дата применения и обоснование индекса / норм сопутствующих затрат</t>
        </is>
      </c>
      <c r="D9" s="252" t="inlineStr">
        <is>
          <t>Размер индекса / норма сопутствующих затрат</t>
        </is>
      </c>
    </row>
    <row r="10" ht="15.75" customHeight="1">
      <c r="B10" s="252" t="n">
        <v>1</v>
      </c>
      <c r="C10" s="252" t="n">
        <v>2</v>
      </c>
      <c r="D10" s="252" t="n">
        <v>3</v>
      </c>
    </row>
    <row r="11" ht="31.5" customHeight="1">
      <c r="B11" s="252" t="inlineStr">
        <is>
          <t xml:space="preserve">Индекс изменения сметной стоимости на 1 квартал 2023 года. ОЗП </t>
        </is>
      </c>
      <c r="C11" s="252" t="inlineStr">
        <is>
          <t>Письмо Минстроя России от 30.03.2023г. №17106-ИФ/09  прил.1</t>
        </is>
      </c>
      <c r="D11" s="252" t="n">
        <v>44.29</v>
      </c>
    </row>
    <row r="12" ht="31.5" customHeight="1">
      <c r="B12" s="252" t="inlineStr">
        <is>
          <t>Индекс изменения сметной стоимости на 1 квартал 2023 года. ЭМ</t>
        </is>
      </c>
      <c r="C12" s="252" t="inlineStr">
        <is>
          <t>Письмо Минстроя России от 30.03.2023г. №17106-ИФ/09  прил.1</t>
        </is>
      </c>
      <c r="D12" s="252" t="n">
        <v>13.47</v>
      </c>
    </row>
    <row r="13" ht="31.5" customHeight="1">
      <c r="B13" s="252" t="inlineStr">
        <is>
          <t>Индекс изменения сметной стоимости на 1 квартал 2023 года. МАТ</t>
        </is>
      </c>
      <c r="C13" s="252" t="inlineStr">
        <is>
          <t>Письмо Минстроя России от 30.03.2023г. №17106-ИФ/09  прил.1</t>
        </is>
      </c>
      <c r="D13" s="252" t="n">
        <v>8.039999999999999</v>
      </c>
    </row>
    <row r="14" ht="31.5" customHeight="1">
      <c r="B14" s="25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2" t="n">
        <v>6.26</v>
      </c>
    </row>
    <row r="15" ht="78.75" customHeight="1">
      <c r="B15" s="252" t="inlineStr">
        <is>
          <t>Временные здания и сооружения</t>
        </is>
      </c>
      <c r="C15" s="25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2" t="inlineStr">
        <is>
          <t>Дополнительные затраты при производстве строительно-монтажных работ в зимнее время</t>
        </is>
      </c>
      <c r="C16" s="2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2" t="n"/>
      <c r="C17" s="252" t="n"/>
      <c r="D17" s="120" t="n"/>
    </row>
    <row r="18" ht="31.5" customHeight="1">
      <c r="B18" s="252" t="inlineStr">
        <is>
          <t>Строительный контроль</t>
        </is>
      </c>
      <c r="C18" s="252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2" t="inlineStr">
        <is>
          <t>Авторский надзор - 0,2%</t>
        </is>
      </c>
      <c r="C19" s="252" t="inlineStr">
        <is>
          <t>Приказ от 4.08.2020 № 421/пр п.173</t>
        </is>
      </c>
      <c r="D19" s="120" t="n">
        <v>0.002</v>
      </c>
    </row>
    <row r="20" ht="15.75" customHeight="1">
      <c r="B20" s="252" t="inlineStr">
        <is>
          <t>Непредвиденные расходы</t>
        </is>
      </c>
      <c r="C20" s="252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28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4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2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>
      <c r="A5" s="213" t="inlineStr">
        <is>
          <t>№ пп.</t>
        </is>
      </c>
      <c r="B5" s="213" t="inlineStr">
        <is>
          <t>Наименование элемента</t>
        </is>
      </c>
      <c r="C5" s="213" t="inlineStr">
        <is>
          <t>Обозначение</t>
        </is>
      </c>
      <c r="D5" s="213" t="inlineStr">
        <is>
          <t>Формула</t>
        </is>
      </c>
      <c r="E5" s="213" t="inlineStr">
        <is>
          <t>Величина элемента</t>
        </is>
      </c>
      <c r="F5" s="213" t="inlineStr">
        <is>
          <t>Наименования обосновывающих документов</t>
        </is>
      </c>
      <c r="G5" s="141" t="n"/>
    </row>
    <row r="6" ht="15.75" customHeight="1">
      <c r="A6" s="213" t="n">
        <v>1</v>
      </c>
      <c r="B6" s="213" t="n">
        <v>2</v>
      </c>
      <c r="C6" s="213" t="n">
        <v>3</v>
      </c>
      <c r="D6" s="213" t="n">
        <v>4</v>
      </c>
      <c r="E6" s="213" t="n">
        <v>5</v>
      </c>
      <c r="F6" s="213" t="n">
        <v>6</v>
      </c>
      <c r="G6" s="141" t="n"/>
    </row>
    <row r="7" ht="110.25" customHeight="1">
      <c r="A7" s="214" t="inlineStr">
        <is>
          <t>1.1</t>
        </is>
      </c>
      <c r="B7" s="2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2" t="inlineStr">
        <is>
          <t>С1ср</t>
        </is>
      </c>
      <c r="D7" s="252" t="inlineStr">
        <is>
          <t>-</t>
        </is>
      </c>
      <c r="E7" s="61" t="n">
        <v>47872.94</v>
      </c>
      <c r="F7" s="2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>
      <c r="A8" s="214" t="inlineStr">
        <is>
          <t>1.2</t>
        </is>
      </c>
      <c r="B8" s="215" t="inlineStr">
        <is>
          <t>Среднегодовое нормативное число часов работы одного рабочего в месяц, часы (ч.)</t>
        </is>
      </c>
      <c r="C8" s="252" t="inlineStr">
        <is>
          <t>tср</t>
        </is>
      </c>
      <c r="D8" s="252" t="inlineStr">
        <is>
          <t>1973ч/12мес.</t>
        </is>
      </c>
      <c r="E8" s="216">
        <f>1973/12</f>
        <v/>
      </c>
      <c r="F8" s="215" t="inlineStr">
        <is>
          <t>Производственный календарь 2023 год
(40-часов.неделя)</t>
        </is>
      </c>
      <c r="G8" s="217" t="n"/>
    </row>
    <row r="9" ht="15.75" customHeight="1">
      <c r="A9" s="214" t="inlineStr">
        <is>
          <t>1.3</t>
        </is>
      </c>
      <c r="B9" s="215" t="inlineStr">
        <is>
          <t>Коэффициент увеличения</t>
        </is>
      </c>
      <c r="C9" s="252" t="inlineStr">
        <is>
          <t>Кув</t>
        </is>
      </c>
      <c r="D9" s="252" t="inlineStr">
        <is>
          <t>-</t>
        </is>
      </c>
      <c r="E9" s="216" t="n">
        <v>1</v>
      </c>
      <c r="F9" s="215" t="n"/>
      <c r="G9" s="217" t="n"/>
    </row>
    <row r="10" ht="15.75" customHeight="1">
      <c r="A10" s="214" t="inlineStr">
        <is>
          <t>1.4</t>
        </is>
      </c>
      <c r="B10" s="215" t="inlineStr">
        <is>
          <t>Средний разряд работ</t>
        </is>
      </c>
      <c r="C10" s="252" t="n"/>
      <c r="D10" s="252" t="n"/>
      <c r="E10" s="348" t="n">
        <v>3.8</v>
      </c>
      <c r="F10" s="215" t="inlineStr">
        <is>
          <t>РТМ</t>
        </is>
      </c>
      <c r="G10" s="217" t="n"/>
    </row>
    <row r="11" ht="78.75" customHeight="1">
      <c r="A11" s="214" t="inlineStr">
        <is>
          <t>1.5</t>
        </is>
      </c>
      <c r="B11" s="215" t="inlineStr">
        <is>
          <t>Тарифный коэффициент среднего разряда работ</t>
        </is>
      </c>
      <c r="C11" s="252" t="inlineStr">
        <is>
          <t>КТ</t>
        </is>
      </c>
      <c r="D11" s="252" t="inlineStr">
        <is>
          <t>-</t>
        </is>
      </c>
      <c r="E11" s="349" t="n">
        <v>1.308</v>
      </c>
      <c r="F11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>
      <c r="A12" s="220" t="inlineStr">
        <is>
          <t>1.6</t>
        </is>
      </c>
      <c r="B12" s="229" t="inlineStr">
        <is>
          <t>Коэффициент инфляции, определяемый поквартально</t>
        </is>
      </c>
      <c r="C12" s="157" t="inlineStr">
        <is>
          <t>Кинф</t>
        </is>
      </c>
      <c r="D12" s="157" t="inlineStr">
        <is>
          <t>-</t>
        </is>
      </c>
      <c r="E12" s="350" t="n">
        <v>1.139</v>
      </c>
      <c r="F12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2" t="inlineStr">
        <is>
          <t>1.7</t>
        </is>
      </c>
      <c r="B13" s="233" t="inlineStr">
        <is>
          <t>Размер средств на оплату труда рабочих-строителей в текущем уровне цен (ФОТр.тек.), руб/чел.-ч</t>
        </is>
      </c>
      <c r="C13" s="234" t="inlineStr">
        <is>
          <t>ФОТр.тек.</t>
        </is>
      </c>
      <c r="D13" s="234" t="inlineStr">
        <is>
          <t>(С1ср/tср*КТ*Т*Кув)*Кинф</t>
        </is>
      </c>
      <c r="E13" s="235">
        <f>((E7*E9/E8)*E11)*E12</f>
        <v/>
      </c>
      <c r="F13" s="2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2025-01-24T11:52:52Z</dcterms:modified>
  <cp:lastModifiedBy>112</cp:lastModifiedBy>
</cp:coreProperties>
</file>