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0.00000"/>
    <numFmt numFmtId="171" formatCode="#,##0.0"/>
    <numFmt numFmtId="172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9" fontId="16" fillId="0" borderId="0" pivotButton="0" quotePrefix="0" xfId="0"/>
    <xf numFmtId="170" fontId="1" fillId="4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0" fontId="16" fillId="0" borderId="0" applyAlignment="1" pivotButton="0" quotePrefix="0" xfId="0">
      <alignment horizontal="center"/>
    </xf>
    <xf numFmtId="14" fontId="16" fillId="0" borderId="1" applyAlignment="1" pivotButton="0" quotePrefix="0" xfId="0">
      <alignment horizontal="center" vertical="center" wrapText="1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9" fontId="16" fillId="0" borderId="0" pivotButton="0" quotePrefix="0" xfId="0"/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70" fontId="1" fillId="4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1" min="1" max="2"/>
    <col width="51.7109375" customWidth="1" style="141" min="3" max="3"/>
    <col width="47" customWidth="1" style="141" min="4" max="4"/>
    <col width="37.42578125" customWidth="1" style="141" min="5" max="5"/>
    <col width="9.140625" customWidth="1" style="141" min="6" max="6"/>
  </cols>
  <sheetData>
    <row r="3">
      <c r="B3" s="249" t="inlineStr">
        <is>
          <t>Приложение № 1</t>
        </is>
      </c>
    </row>
    <row r="4">
      <c r="B4" s="250" t="inlineStr">
        <is>
          <t>Сравнительная таблица отбора объекта-представителя</t>
        </is>
      </c>
    </row>
    <row r="5" ht="24.6" customHeight="1">
      <c r="B5" s="252" t="n"/>
    </row>
    <row r="6" ht="18.75" customHeight="1">
      <c r="B6" s="165" t="n"/>
      <c r="C6" s="165" t="n"/>
      <c r="D6" s="165" t="n"/>
    </row>
    <row r="7" ht="38.45" customHeight="1">
      <c r="B7" s="251" t="inlineStr">
        <is>
          <t>Наименование разрабатываемого показателя УНЦ - Шкафы УПАСК ВЧ 2 архитектуры. Приемник по ВЧКС на 16 команд</t>
        </is>
      </c>
    </row>
    <row r="8" ht="31.5" customHeight="1">
      <c r="B8" s="251" t="inlineStr">
        <is>
          <t>Сопоставимый уровень цен: 3 кв. 2021 г.</t>
        </is>
      </c>
    </row>
    <row r="9" ht="15.75" customHeight="1">
      <c r="B9" s="251" t="inlineStr">
        <is>
          <t>Единица измерения  — 1 ед.</t>
        </is>
      </c>
    </row>
    <row r="10">
      <c r="B10" s="251" t="n"/>
    </row>
    <row r="11">
      <c r="B11" s="255" t="inlineStr">
        <is>
          <t>№ п/п</t>
        </is>
      </c>
      <c r="C11" s="255" t="inlineStr">
        <is>
          <t>Параметр</t>
        </is>
      </c>
      <c r="D11" s="255" t="inlineStr">
        <is>
          <t xml:space="preserve">Объект-представитель </t>
        </is>
      </c>
      <c r="E11" s="150" t="n"/>
    </row>
    <row r="12" ht="96.75" customHeight="1">
      <c r="B12" s="255" t="n">
        <v>1</v>
      </c>
      <c r="C12" s="145" t="inlineStr">
        <is>
          <t>Наименование объекта-представителя</t>
        </is>
      </c>
      <c r="D12" s="180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5" t="n">
        <v>2</v>
      </c>
      <c r="C13" s="145" t="inlineStr">
        <is>
          <t>Наименование субъекта Российской Федерации</t>
        </is>
      </c>
      <c r="D13" s="180" t="inlineStr">
        <is>
          <t>Московская область</t>
        </is>
      </c>
    </row>
    <row r="14">
      <c r="B14" s="255" t="n">
        <v>3</v>
      </c>
      <c r="C14" s="145" t="inlineStr">
        <is>
          <t>Климатический район и подрайон</t>
        </is>
      </c>
      <c r="D14" s="228" t="inlineStr">
        <is>
          <t>IIВ</t>
        </is>
      </c>
    </row>
    <row r="15">
      <c r="B15" s="255" t="n">
        <v>4</v>
      </c>
      <c r="C15" s="145" t="inlineStr">
        <is>
          <t>Мощность объекта</t>
        </is>
      </c>
      <c r="D15" s="175" t="n">
        <v>1</v>
      </c>
    </row>
    <row r="16" ht="77.45" customHeight="1">
      <c r="B16" s="25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0" t="inlineStr">
        <is>
          <t>Шкаф УПАСК</t>
        </is>
      </c>
    </row>
    <row r="17" ht="79.5" customHeight="1">
      <c r="B17" s="25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164" t="n"/>
    </row>
    <row r="18">
      <c r="B18" s="149" t="inlineStr">
        <is>
          <t>6.1</t>
        </is>
      </c>
      <c r="C18" s="145" t="inlineStr">
        <is>
          <t>строительно-монтажные работы</t>
        </is>
      </c>
      <c r="D18" s="173" t="n">
        <v>62.59</v>
      </c>
    </row>
    <row r="19" ht="15.75" customHeight="1">
      <c r="B19" s="149" t="inlineStr">
        <is>
          <t>6.2</t>
        </is>
      </c>
      <c r="C19" s="145" t="inlineStr">
        <is>
          <t>оборудование и инвентарь</t>
        </is>
      </c>
      <c r="D19" s="173" t="n">
        <v>634.03</v>
      </c>
    </row>
    <row r="20" ht="16.5" customHeight="1">
      <c r="B20" s="149" t="inlineStr">
        <is>
          <t>6.3</t>
        </is>
      </c>
      <c r="C20" s="145" t="inlineStr">
        <is>
          <t>пусконаладочные работы</t>
        </is>
      </c>
      <c r="D20" s="173" t="n">
        <v>3902.78</v>
      </c>
    </row>
    <row r="21" ht="35.25" customHeight="1">
      <c r="B21" s="149" t="inlineStr">
        <is>
          <t>6.4</t>
        </is>
      </c>
      <c r="C21" s="148" t="inlineStr">
        <is>
          <t>прочие и лимитированные затраты</t>
        </is>
      </c>
      <c r="D21" s="173">
        <f>D18*0.039+(D18*0.039+D18)*0.021</f>
        <v/>
      </c>
    </row>
    <row r="22">
      <c r="B22" s="255" t="n">
        <v>7</v>
      </c>
      <c r="C22" s="148" t="inlineStr">
        <is>
          <t>Сопоставимый уровень цен</t>
        </is>
      </c>
      <c r="D22" s="229" t="inlineStr">
        <is>
          <t>3 кв. 2021 г.</t>
        </is>
      </c>
      <c r="E22" s="146" t="n"/>
    </row>
    <row r="23" ht="123" customHeight="1">
      <c r="B23" s="255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64" t="n"/>
    </row>
    <row r="24" ht="60.75" customHeight="1">
      <c r="B24" s="25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3">
        <f>D23/D15</f>
        <v/>
      </c>
      <c r="E24" s="146" t="n"/>
    </row>
    <row r="25" ht="48" customHeight="1">
      <c r="B25" s="255" t="n">
        <v>10</v>
      </c>
      <c r="C25" s="145" t="inlineStr">
        <is>
          <t>Примечание</t>
        </is>
      </c>
      <c r="D25" s="255" t="n"/>
    </row>
    <row r="26">
      <c r="B26" s="144" t="n"/>
      <c r="C26" s="143" t="n"/>
      <c r="D26" s="143" t="n"/>
    </row>
    <row r="27" ht="37.5" customHeight="1">
      <c r="B27" s="142" t="n"/>
    </row>
    <row r="28">
      <c r="B28" s="141" t="inlineStr">
        <is>
          <t>Составил ______________________    А.Р. Маркова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4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5.5703125" customWidth="1" style="141" min="6" max="6"/>
    <col width="14.85546875" customWidth="1" style="141" min="7" max="7"/>
    <col width="16.7109375" customWidth="1" style="141" min="8" max="8"/>
    <col width="13" customWidth="1" style="141" min="9" max="10"/>
    <col width="18" customWidth="1" style="141" min="11" max="11"/>
    <col width="9.140625" customWidth="1" style="141" min="12" max="12"/>
  </cols>
  <sheetData>
    <row r="3">
      <c r="B3" s="249" t="inlineStr">
        <is>
          <t>Приложение № 2</t>
        </is>
      </c>
      <c r="K3" s="142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>
      <c r="B6" s="251">
        <f>'Прил.1 Сравнит табл'!B7:D7</f>
        <v/>
      </c>
    </row>
    <row r="7">
      <c r="B7" s="251">
        <f>'Прил.1 Сравнит табл'!B9:D9</f>
        <v/>
      </c>
    </row>
    <row r="8" ht="18.75" customHeight="1">
      <c r="B8" s="118" t="n"/>
    </row>
    <row r="9" ht="15.75" customHeight="1">
      <c r="B9" s="255" t="inlineStr">
        <is>
          <t>№ п/п</t>
        </is>
      </c>
      <c r="C9" s="2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5" t="inlineStr">
        <is>
          <t>Объект-представитель 1</t>
        </is>
      </c>
      <c r="E9" s="336" t="n"/>
      <c r="F9" s="336" t="n"/>
      <c r="G9" s="336" t="n"/>
      <c r="H9" s="336" t="n"/>
      <c r="I9" s="336" t="n"/>
      <c r="J9" s="337" t="n"/>
    </row>
    <row r="10" ht="15.75" customHeight="1">
      <c r="B10" s="338" t="n"/>
      <c r="C10" s="338" t="n"/>
      <c r="D10" s="255" t="inlineStr">
        <is>
          <t>Номер сметы</t>
        </is>
      </c>
      <c r="E10" s="255" t="inlineStr">
        <is>
          <t>Наименование сметы</t>
        </is>
      </c>
      <c r="F10" s="255" t="inlineStr">
        <is>
          <t>Сметная стоимость в уровне цен 3 кв. 2021 г., тыс. руб.</t>
        </is>
      </c>
      <c r="G10" s="336" t="n"/>
      <c r="H10" s="336" t="n"/>
      <c r="I10" s="336" t="n"/>
      <c r="J10" s="337" t="n"/>
    </row>
    <row r="11" ht="31.5" customHeight="1">
      <c r="B11" s="339" t="n"/>
      <c r="C11" s="339" t="n"/>
      <c r="D11" s="339" t="n"/>
      <c r="E11" s="339" t="n"/>
      <c r="F11" s="256" t="inlineStr">
        <is>
          <t>Строительные работы</t>
        </is>
      </c>
      <c r="G11" s="256" t="inlineStr">
        <is>
          <t>Монтажные работы</t>
        </is>
      </c>
      <c r="H11" s="256" t="inlineStr">
        <is>
          <t>Оборудование</t>
        </is>
      </c>
      <c r="I11" s="256" t="inlineStr">
        <is>
          <t>Прочее</t>
        </is>
      </c>
      <c r="J11" s="256" t="inlineStr">
        <is>
          <t>Всего</t>
        </is>
      </c>
    </row>
    <row r="12" ht="49.5" customHeight="1">
      <c r="B12" s="255" t="n">
        <v>1</v>
      </c>
      <c r="C12" s="145" t="inlineStr">
        <is>
          <t>Шкаф УПАСК</t>
        </is>
      </c>
      <c r="D12" s="224" t="inlineStr">
        <is>
          <t>02-03-02</t>
        </is>
      </c>
      <c r="E12" s="145" t="inlineStr">
        <is>
          <t>Релейная защита и автоматика ПС Тютчево</t>
        </is>
      </c>
      <c r="F12" s="145" t="n"/>
      <c r="G12" s="225">
        <f>62.59171</f>
        <v/>
      </c>
      <c r="H12" s="225">
        <f>3902.779</f>
        <v/>
      </c>
      <c r="I12" s="225" t="n"/>
      <c r="J12" s="225">
        <f>SUM(F12:I12)</f>
        <v/>
      </c>
    </row>
    <row r="13" ht="15" customHeight="1">
      <c r="B13" s="253" t="inlineStr">
        <is>
          <t>Всего по объекту:</t>
        </is>
      </c>
      <c r="C13" s="340" t="n"/>
      <c r="D13" s="340" t="n"/>
      <c r="E13" s="341" t="n"/>
      <c r="F13" s="226" t="n"/>
      <c r="G13" s="227">
        <f>G12</f>
        <v/>
      </c>
      <c r="H13" s="227">
        <f>H12</f>
        <v/>
      </c>
      <c r="I13" s="227" t="n"/>
      <c r="J13" s="227">
        <f>SUM(F13:I13)</f>
        <v/>
      </c>
    </row>
    <row r="14" ht="22.5" customHeight="1">
      <c r="B14" s="254" t="inlineStr">
        <is>
          <t>Всего по объекту в сопоставимом уровне цен 3 кв. 2021 г.:</t>
        </is>
      </c>
      <c r="C14" s="336" t="n"/>
      <c r="D14" s="336" t="n"/>
      <c r="E14" s="337" t="n"/>
      <c r="F14" s="226" t="n"/>
      <c r="G14" s="227">
        <f>G13</f>
        <v/>
      </c>
      <c r="H14" s="227">
        <f>H13</f>
        <v/>
      </c>
      <c r="I14" s="227" t="n"/>
      <c r="J14" s="22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7"/>
  <sheetViews>
    <sheetView tabSelected="1"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1" min="1" max="1"/>
    <col width="12.5703125" customWidth="1" style="141" min="2" max="2"/>
    <col width="22.42578125" customWidth="1" style="191" min="3" max="3"/>
    <col width="49.7109375" customWidth="1" style="141" min="4" max="4"/>
    <col width="10.140625" customWidth="1" style="191" min="5" max="5"/>
    <col width="20.7109375" customWidth="1" style="191" min="6" max="6"/>
    <col width="20" customWidth="1" style="194" min="7" max="7"/>
    <col width="16.7109375" customWidth="1" style="142" min="8" max="8"/>
    <col width="9.140625" customWidth="1" style="141" min="9" max="10"/>
    <col width="15" customWidth="1" style="141" min="11" max="11"/>
    <col width="12.7109375" customWidth="1" style="141" min="12" max="12"/>
    <col width="9.140625" customWidth="1" style="141" min="13" max="13"/>
  </cols>
  <sheetData>
    <row r="2">
      <c r="A2" s="249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>
      <c r="A4" s="171" t="n"/>
      <c r="B4" s="171" t="n"/>
      <c r="C4" s="265" t="n"/>
    </row>
    <row r="5">
      <c r="A5" s="251" t="n"/>
    </row>
    <row r="6">
      <c r="A6" s="264" t="inlineStr">
        <is>
          <t>Наименование разрабатываемого показателя УНЦ -  Шкафы УПАСК ВЧ 2 архитектуры. Приемник по ВЧКС на 16 команд</t>
        </is>
      </c>
    </row>
    <row r="7">
      <c r="A7" s="264" t="n"/>
      <c r="B7" s="264" t="n"/>
      <c r="D7" s="264" t="n"/>
      <c r="G7" s="195" t="n"/>
    </row>
    <row r="8" ht="38.25" customHeight="1">
      <c r="A8" s="255" t="inlineStr">
        <is>
          <t>п/п</t>
        </is>
      </c>
      <c r="B8" s="255" t="inlineStr">
        <is>
          <t>№ЛСР</t>
        </is>
      </c>
      <c r="C8" s="255" t="inlineStr">
        <is>
          <t>Код ресурса</t>
        </is>
      </c>
      <c r="D8" s="255" t="inlineStr">
        <is>
          <t>Наименование ресурса</t>
        </is>
      </c>
      <c r="E8" s="255" t="inlineStr">
        <is>
          <t>Ед. изм.</t>
        </is>
      </c>
      <c r="F8" s="255" t="inlineStr">
        <is>
          <t>Кол-во единиц по данным объекта-представителя</t>
        </is>
      </c>
      <c r="G8" s="255" t="inlineStr">
        <is>
          <t>Сметная стоимость в ценах на 01.01.2000 (руб.)</t>
        </is>
      </c>
      <c r="H8" s="337" t="n"/>
    </row>
    <row r="9" ht="40.5" customHeight="1">
      <c r="A9" s="339" t="n"/>
      <c r="B9" s="339" t="n"/>
      <c r="C9" s="339" t="n"/>
      <c r="D9" s="339" t="n"/>
      <c r="E9" s="339" t="n"/>
      <c r="F9" s="339" t="n"/>
      <c r="G9" s="255" t="inlineStr">
        <is>
          <t>на ед.изм.</t>
        </is>
      </c>
      <c r="H9" s="255" t="inlineStr">
        <is>
          <t>общая</t>
        </is>
      </c>
    </row>
    <row r="10">
      <c r="A10" s="256" t="n">
        <v>1</v>
      </c>
      <c r="B10" s="256" t="n"/>
      <c r="C10" s="192" t="n">
        <v>2</v>
      </c>
      <c r="D10" s="256" t="inlineStr">
        <is>
          <t>З</t>
        </is>
      </c>
      <c r="E10" s="192" t="n">
        <v>4</v>
      </c>
      <c r="F10" s="192" t="n">
        <v>5</v>
      </c>
      <c r="G10" s="192" t="n">
        <v>6</v>
      </c>
      <c r="H10" s="256" t="n">
        <v>7</v>
      </c>
    </row>
    <row r="11" customFormat="1" s="154">
      <c r="A11" s="261" t="inlineStr">
        <is>
          <t>Затраты труда рабочих</t>
        </is>
      </c>
      <c r="B11" s="336" t="n"/>
      <c r="C11" s="336" t="n"/>
      <c r="D11" s="336" t="n"/>
      <c r="E11" s="337" t="n"/>
      <c r="F11" s="342" t="n">
        <v>36.4716</v>
      </c>
      <c r="G11" s="199" t="n"/>
      <c r="H11" s="343">
        <f>SUM(H12:H15)</f>
        <v/>
      </c>
    </row>
    <row r="12">
      <c r="A12" s="291" t="n">
        <v>1</v>
      </c>
      <c r="B12" s="156" t="n"/>
      <c r="C12" s="193" t="inlineStr">
        <is>
          <t>1-3-8</t>
        </is>
      </c>
      <c r="D12" s="187" t="inlineStr">
        <is>
          <t>Затраты труда рабочих (средний разряд работы 3,8)</t>
        </is>
      </c>
      <c r="E12" s="182" t="inlineStr">
        <is>
          <t>чел.-ч</t>
        </is>
      </c>
      <c r="F12" s="182" t="n">
        <v>16.41</v>
      </c>
      <c r="G12" s="190" t="n">
        <v>9.4</v>
      </c>
      <c r="H12" s="159">
        <f>ROUND(F12*G12,2)</f>
        <v/>
      </c>
      <c r="L12" s="344" t="n"/>
      <c r="M12" s="345" t="n"/>
    </row>
    <row r="13">
      <c r="A13" s="291" t="n">
        <v>2</v>
      </c>
      <c r="B13" s="156" t="n"/>
      <c r="C13" s="193" t="inlineStr">
        <is>
          <t>1-3-6</t>
        </is>
      </c>
      <c r="D13" s="187" t="inlineStr">
        <is>
          <t>Затраты труда рабочих (средний разряд работы 3,6)</t>
        </is>
      </c>
      <c r="E13" s="182" t="inlineStr">
        <is>
          <t>чел.-ч</t>
        </is>
      </c>
      <c r="F13" s="182" t="n">
        <v>15.2</v>
      </c>
      <c r="G13" s="190" t="n">
        <v>9.18</v>
      </c>
      <c r="H13" s="159">
        <f>ROUND(F13*G13,2)</f>
        <v/>
      </c>
      <c r="M13" s="345" t="n"/>
    </row>
    <row r="14">
      <c r="A14" s="291" t="n">
        <v>3</v>
      </c>
      <c r="B14" s="156" t="n"/>
      <c r="C14" s="193" t="inlineStr">
        <is>
          <t>1-4-2</t>
        </is>
      </c>
      <c r="D14" s="187" t="inlineStr">
        <is>
          <t>Затраты труда рабочих (средний разряд работы 4,2)</t>
        </is>
      </c>
      <c r="E14" s="182" t="inlineStr">
        <is>
          <t>чел.-ч</t>
        </is>
      </c>
      <c r="F14" s="182" t="n">
        <v>4.12</v>
      </c>
      <c r="G14" s="190" t="n">
        <v>9.92</v>
      </c>
      <c r="H14" s="159">
        <f>ROUND(F14*G14,2)</f>
        <v/>
      </c>
      <c r="M14" s="345" t="n"/>
    </row>
    <row r="15">
      <c r="A15" s="291" t="n">
        <v>4</v>
      </c>
      <c r="B15" s="156" t="n"/>
      <c r="C15" s="193" t="inlineStr">
        <is>
          <t>1-4-1</t>
        </is>
      </c>
      <c r="D15" s="187" t="inlineStr">
        <is>
          <t>Затраты труда рабочих (средний разряд работы 4,1)</t>
        </is>
      </c>
      <c r="E15" s="182" t="inlineStr">
        <is>
          <t>чел.-ч</t>
        </is>
      </c>
      <c r="F15" s="182" t="n">
        <v>0.7416</v>
      </c>
      <c r="G15" s="190" t="n">
        <v>9.76</v>
      </c>
      <c r="H15" s="159">
        <f>ROUND(F15*G15,2)</f>
        <v/>
      </c>
      <c r="M15" s="345" t="n"/>
    </row>
    <row r="16">
      <c r="A16" s="257" t="inlineStr">
        <is>
          <t>Затраты труда машинистов</t>
        </is>
      </c>
      <c r="B16" s="336" t="n"/>
      <c r="C16" s="336" t="n"/>
      <c r="D16" s="336" t="n"/>
      <c r="E16" s="337" t="n"/>
      <c r="F16" s="196" t="n"/>
      <c r="G16" s="155" t="n"/>
      <c r="H16" s="343">
        <f>H17</f>
        <v/>
      </c>
    </row>
    <row r="17">
      <c r="A17" s="291" t="n">
        <v>5</v>
      </c>
      <c r="B17" s="262" t="n"/>
      <c r="C17" s="176" t="n">
        <v>2</v>
      </c>
      <c r="D17" s="177" t="inlineStr">
        <is>
          <t>Затраты труда машинистов(справочно)</t>
        </is>
      </c>
      <c r="E17" s="291" t="inlineStr">
        <is>
          <t>чел.-ч</t>
        </is>
      </c>
      <c r="F17" s="291" t="n">
        <v>1.2</v>
      </c>
      <c r="G17" s="166" t="n"/>
      <c r="H17" s="178" t="n">
        <v>15.07</v>
      </c>
    </row>
    <row r="18" customFormat="1" s="154">
      <c r="A18" s="258" t="inlineStr">
        <is>
          <t>Машины и механизмы</t>
        </is>
      </c>
      <c r="B18" s="336" t="n"/>
      <c r="C18" s="336" t="n"/>
      <c r="D18" s="336" t="n"/>
      <c r="E18" s="337" t="n"/>
      <c r="F18" s="196" t="n"/>
      <c r="G18" s="155" t="n"/>
      <c r="H18" s="343">
        <f>SUM(H19:H23)</f>
        <v/>
      </c>
    </row>
    <row r="19" ht="25.5" customHeight="1">
      <c r="A19" s="291" t="n">
        <v>6</v>
      </c>
      <c r="B19" s="262" t="n"/>
      <c r="C19" s="182" t="inlineStr">
        <is>
          <t>91.05.05-015</t>
        </is>
      </c>
      <c r="D19" s="190" t="inlineStr">
        <is>
          <t>Краны на автомобильном ходу, грузоподъемность 16 т</t>
        </is>
      </c>
      <c r="E19" s="182" t="inlineStr">
        <is>
          <t>маш.-ч.</t>
        </is>
      </c>
      <c r="F19" s="182" t="n">
        <v>0.6</v>
      </c>
      <c r="G19" s="202" t="n">
        <v>115.4</v>
      </c>
      <c r="H19" s="181">
        <f>ROUND(F19*G19,2)</f>
        <v/>
      </c>
      <c r="I19" s="168" t="n"/>
      <c r="J19" s="168" t="n"/>
      <c r="L19" s="168" t="n"/>
    </row>
    <row r="20" customFormat="1" s="154">
      <c r="A20" s="291" t="n">
        <v>7</v>
      </c>
      <c r="B20" s="262" t="n"/>
      <c r="C20" s="182" t="inlineStr">
        <is>
          <t>91.14.02-001</t>
        </is>
      </c>
      <c r="D20" s="190" t="inlineStr">
        <is>
          <t>Автомобили бортовые, грузоподъемность до 5 т</t>
        </is>
      </c>
      <c r="E20" s="182" t="inlineStr">
        <is>
          <t>маш.-ч.</t>
        </is>
      </c>
      <c r="F20" s="182" t="n">
        <v>0.6</v>
      </c>
      <c r="G20" s="202" t="n">
        <v>65.7</v>
      </c>
      <c r="H20" s="181">
        <f>ROUND(F20*G20,2)</f>
        <v/>
      </c>
      <c r="I20" s="168" t="n"/>
      <c r="J20" s="168" t="n"/>
      <c r="L20" s="168" t="n"/>
    </row>
    <row r="21" ht="25.5" customFormat="1" customHeight="1" s="154">
      <c r="A21" s="291" t="n">
        <v>8</v>
      </c>
      <c r="B21" s="262" t="n"/>
      <c r="C21" s="182" t="inlineStr">
        <is>
          <t>91.17.04-233</t>
        </is>
      </c>
      <c r="D21" s="190" t="inlineStr">
        <is>
          <t>Установки для сварки ручной дуговой (постоянного тока)</t>
        </is>
      </c>
      <c r="E21" s="182" t="inlineStr">
        <is>
          <t>маш.-ч.</t>
        </is>
      </c>
      <c r="F21" s="182" t="n">
        <v>0.9</v>
      </c>
      <c r="G21" s="202" t="n">
        <v>8.1</v>
      </c>
      <c r="H21" s="181">
        <f>ROUND(F21*G21,2)</f>
        <v/>
      </c>
      <c r="I21" s="168" t="n"/>
      <c r="J21" s="168" t="n"/>
      <c r="L21" s="168" t="n"/>
    </row>
    <row r="22" ht="25.5" customHeight="1">
      <c r="A22" s="291" t="n">
        <v>9</v>
      </c>
      <c r="B22" s="262" t="n"/>
      <c r="C22" s="182" t="inlineStr">
        <is>
          <t>91.06.03-061</t>
        </is>
      </c>
      <c r="D22" s="190" t="inlineStr">
        <is>
          <t>Лебедки электрические тяговым усилием до 12,26 кН (1,25 т)</t>
        </is>
      </c>
      <c r="E22" s="182" t="inlineStr">
        <is>
          <t>маш.-ч.</t>
        </is>
      </c>
      <c r="F22" s="182" t="n">
        <v>2.2</v>
      </c>
      <c r="G22" s="202" t="n">
        <v>3.28</v>
      </c>
      <c r="H22" s="181">
        <f>ROUND(F22*G22,2)</f>
        <v/>
      </c>
      <c r="I22" s="168" t="n"/>
      <c r="J22" s="168" t="n"/>
      <c r="K22" s="168" t="n"/>
      <c r="L22" s="168" t="n"/>
    </row>
    <row r="23" ht="26.45" customHeight="1">
      <c r="A23" s="291" t="n">
        <v>10</v>
      </c>
      <c r="B23" s="262" t="n"/>
      <c r="C23" s="182" t="inlineStr">
        <is>
          <t>91.06.01-003</t>
        </is>
      </c>
      <c r="D23" s="190" t="inlineStr">
        <is>
          <t>Домкраты гидравлические, грузоподъемность 63-100 т</t>
        </is>
      </c>
      <c r="E23" s="182" t="inlineStr">
        <is>
          <t>маш.-ч.</t>
        </is>
      </c>
      <c r="F23" s="182" t="n">
        <v>2.2</v>
      </c>
      <c r="G23" s="202" t="n">
        <v>0.9</v>
      </c>
      <c r="H23" s="181">
        <f>ROUND(F23*G23,2)</f>
        <v/>
      </c>
      <c r="I23" s="168" t="n"/>
      <c r="J23" s="168" t="n"/>
      <c r="L23" s="168" t="n"/>
    </row>
    <row r="24" ht="15" customHeight="1">
      <c r="A24" s="257" t="inlineStr">
        <is>
          <t>Оборудование</t>
        </is>
      </c>
      <c r="B24" s="336" t="n"/>
      <c r="C24" s="336" t="n"/>
      <c r="D24" s="336" t="n"/>
      <c r="E24" s="337" t="n"/>
      <c r="F24" s="198" t="n"/>
      <c r="G24" s="199" t="n"/>
      <c r="H24" s="343">
        <f>SUM(H25:H25)</f>
        <v/>
      </c>
    </row>
    <row r="25" ht="33.6" customHeight="1">
      <c r="A25" s="167" t="n">
        <v>11</v>
      </c>
      <c r="B25" s="257" t="n"/>
      <c r="C25" s="182" t="inlineStr">
        <is>
          <t>Прайс из СД ОП</t>
        </is>
      </c>
      <c r="D25" s="201" t="inlineStr">
        <is>
          <t>ШЭТ ВЧ-00/16-1. Шкафы УПАСК ВЧ 2 архитектуры. Приемник по ВЧКС на 16 команд</t>
        </is>
      </c>
      <c r="E25" s="182" t="inlineStr">
        <is>
          <t>шт</t>
        </is>
      </c>
      <c r="F25" s="182" t="n">
        <v>1</v>
      </c>
      <c r="G25" s="202" t="n">
        <v>704472.84</v>
      </c>
      <c r="H25" s="181">
        <f>ROUND(F25*G25,2)</f>
        <v/>
      </c>
      <c r="I25" s="163" t="n"/>
    </row>
    <row r="26">
      <c r="A26" s="258" t="inlineStr">
        <is>
          <t>Материалы</t>
        </is>
      </c>
      <c r="B26" s="336" t="n"/>
      <c r="C26" s="336" t="n"/>
      <c r="D26" s="336" t="n"/>
      <c r="E26" s="337" t="n"/>
      <c r="F26" s="196" t="n"/>
      <c r="G26" s="155" t="n"/>
      <c r="H26" s="343">
        <f>SUM(H27:H51)</f>
        <v/>
      </c>
    </row>
    <row r="27" ht="25.5" customHeight="1">
      <c r="A27" s="167" t="n">
        <v>12</v>
      </c>
      <c r="B27" s="262" t="n"/>
      <c r="C27" s="182" t="inlineStr">
        <is>
          <t>21.1.01.01-0001</t>
        </is>
      </c>
      <c r="D27" s="190" t="inlineStr">
        <is>
          <t>Кабель волоконно-оптический самонесущий биэлектрический ДСт-49-6z-6/32</t>
        </is>
      </c>
      <c r="E27" s="182" t="inlineStr">
        <is>
          <t>1000 м</t>
        </is>
      </c>
      <c r="F27" s="182" t="n">
        <v>0.1</v>
      </c>
      <c r="G27" s="190" t="n">
        <v>45920.9</v>
      </c>
      <c r="H27" s="181">
        <f>ROUND(F27*G27,2)</f>
        <v/>
      </c>
      <c r="I27" s="163" t="n"/>
      <c r="J27" s="168" t="n"/>
      <c r="K27" s="168" t="n"/>
    </row>
    <row r="28">
      <c r="A28" s="167" t="n">
        <v>13</v>
      </c>
      <c r="B28" s="262" t="n"/>
      <c r="C28" s="182" t="inlineStr">
        <is>
          <t>21.1.08.03-0574</t>
        </is>
      </c>
      <c r="D28" s="190" t="inlineStr">
        <is>
          <t>Кабель контрольный КВВГЭнг(А)-LS 4x2,5</t>
        </is>
      </c>
      <c r="E28" s="182" t="inlineStr">
        <is>
          <t>1000 м</t>
        </is>
      </c>
      <c r="F28" s="182" t="n">
        <v>0.102</v>
      </c>
      <c r="G28" s="190" t="n">
        <v>32828.82</v>
      </c>
      <c r="H28" s="181">
        <f>ROUND(F28*G28,2)</f>
        <v/>
      </c>
      <c r="I28" s="163" t="n"/>
      <c r="J28" s="168" t="n"/>
      <c r="K28" s="168" t="n"/>
    </row>
    <row r="29" ht="25.5" customHeight="1">
      <c r="A29" s="167" t="n">
        <v>14</v>
      </c>
      <c r="B29" s="262" t="n"/>
      <c r="C29" s="182" t="inlineStr">
        <is>
          <t>24.3.01.02-0002</t>
        </is>
      </c>
      <c r="D29" s="190" t="inlineStr">
        <is>
          <t>Трубы гибкие гофрированные из самозатухающего ПВХ легкие с протяжкой, диаметр 25 мм</t>
        </is>
      </c>
      <c r="E29" s="182" t="inlineStr">
        <is>
          <t>м</t>
        </is>
      </c>
      <c r="F29" s="182" t="n">
        <v>102</v>
      </c>
      <c r="G29" s="190" t="n">
        <v>3.43</v>
      </c>
      <c r="H29" s="181">
        <f>ROUND(F29*G29,2)</f>
        <v/>
      </c>
      <c r="I29" s="163" t="n"/>
      <c r="J29" s="168" t="n"/>
    </row>
    <row r="30" ht="25.5" customHeight="1">
      <c r="A30" s="167" t="n">
        <v>15</v>
      </c>
      <c r="B30" s="262" t="n"/>
      <c r="C30" s="182" t="inlineStr">
        <is>
          <t>07.2.07.04-0007</t>
        </is>
      </c>
      <c r="D30" s="190" t="inlineStr">
        <is>
          <t>Конструкции стальные индивидуальные решетчатые сварные, масса до 0,1 т</t>
        </is>
      </c>
      <c r="E30" s="182" t="inlineStr">
        <is>
          <t>т</t>
        </is>
      </c>
      <c r="F30" s="182" t="n">
        <v>0.03</v>
      </c>
      <c r="G30" s="190" t="n">
        <v>11500</v>
      </c>
      <c r="H30" s="181">
        <f>ROUND(F30*G30,2)</f>
        <v/>
      </c>
      <c r="I30" s="163" t="n"/>
      <c r="J30" s="168" t="n"/>
    </row>
    <row r="31" ht="25.5" customHeight="1">
      <c r="A31" s="167" t="n">
        <v>16</v>
      </c>
      <c r="B31" s="262" t="n"/>
      <c r="C31" s="182" t="inlineStr">
        <is>
          <t>10.3.02.03-0011</t>
        </is>
      </c>
      <c r="D31" s="190" t="inlineStr">
        <is>
          <t>Припои оловянно-свинцовые бессурьмянистые, марка ПОС30</t>
        </is>
      </c>
      <c r="E31" s="182" t="inlineStr">
        <is>
          <t>т</t>
        </is>
      </c>
      <c r="F31" s="182" t="n">
        <v>0.00046</v>
      </c>
      <c r="G31" s="190" t="n">
        <v>68021.74000000001</v>
      </c>
      <c r="H31" s="181">
        <f>ROUND(F31*G31,2)</f>
        <v/>
      </c>
      <c r="I31" s="163" t="n"/>
      <c r="J31" s="168" t="n"/>
    </row>
    <row r="32">
      <c r="A32" s="167" t="n">
        <v>17</v>
      </c>
      <c r="B32" s="262" t="n"/>
      <c r="C32" s="182" t="inlineStr">
        <is>
          <t>01.7.15.07-0152</t>
        </is>
      </c>
      <c r="D32" s="190" t="inlineStr">
        <is>
          <t>Дюбели с шурупом, размер 6x35 мм</t>
        </is>
      </c>
      <c r="E32" s="182" t="inlineStr">
        <is>
          <t>100 шт</t>
        </is>
      </c>
      <c r="F32" s="182" t="n">
        <v>1.75</v>
      </c>
      <c r="G32" s="190" t="n">
        <v>8</v>
      </c>
      <c r="H32" s="181">
        <f>ROUND(F32*G32,2)</f>
        <v/>
      </c>
      <c r="I32" s="163" t="n"/>
      <c r="J32" s="168" t="n"/>
    </row>
    <row r="33" ht="25.5" customHeight="1">
      <c r="A33" s="167" t="n">
        <v>18</v>
      </c>
      <c r="B33" s="262" t="n"/>
      <c r="C33" s="182" t="inlineStr">
        <is>
          <t>01.7.06.05-0041</t>
        </is>
      </c>
      <c r="D33" s="190" t="inlineStr">
        <is>
          <t>Лента изоляционная прорезиненная односторонняя, ширина 20 мм, толщина 0,25-0,35 мм</t>
        </is>
      </c>
      <c r="E33" s="182" t="inlineStr">
        <is>
          <t>кг</t>
        </is>
      </c>
      <c r="F33" s="182" t="n">
        <v>0.36</v>
      </c>
      <c r="G33" s="190" t="n">
        <v>30.36</v>
      </c>
      <c r="H33" s="181">
        <f>ROUND(F33*G33,2)</f>
        <v/>
      </c>
      <c r="I33" s="163" t="n"/>
      <c r="J33" s="168" t="n"/>
    </row>
    <row r="34">
      <c r="A34" s="167" t="n">
        <v>19</v>
      </c>
      <c r="B34" s="262" t="n"/>
      <c r="C34" s="182" t="inlineStr">
        <is>
          <t>20.1.02.06-0001</t>
        </is>
      </c>
      <c r="D34" s="190" t="inlineStr">
        <is>
          <t>Жир паяльный</t>
        </is>
      </c>
      <c r="E34" s="182" t="inlineStr">
        <is>
          <t>кг</t>
        </is>
      </c>
      <c r="F34" s="182" t="n">
        <v>0.08</v>
      </c>
      <c r="G34" s="190" t="n">
        <v>101</v>
      </c>
      <c r="H34" s="181">
        <f>ROUND(F34*G34,2)</f>
        <v/>
      </c>
      <c r="I34" s="163" t="n"/>
      <c r="J34" s="168" t="n"/>
    </row>
    <row r="35">
      <c r="A35" s="167" t="n">
        <v>20</v>
      </c>
      <c r="B35" s="262" t="n"/>
      <c r="C35" s="182" t="inlineStr">
        <is>
          <t>20.2.01.05-0005</t>
        </is>
      </c>
      <c r="D35" s="190" t="inlineStr">
        <is>
          <t>Гильзы кабельные медные ГМ 16</t>
        </is>
      </c>
      <c r="E35" s="182" t="inlineStr">
        <is>
          <t>100 шт</t>
        </is>
      </c>
      <c r="F35" s="182" t="n">
        <v>0.05</v>
      </c>
      <c r="G35" s="190" t="n">
        <v>143</v>
      </c>
      <c r="H35" s="181">
        <f>ROUND(F35*G35,2)</f>
        <v/>
      </c>
      <c r="I35" s="163" t="n"/>
      <c r="J35" s="168" t="n"/>
    </row>
    <row r="36" ht="25.5" customHeight="1">
      <c r="A36" s="167" t="n">
        <v>21</v>
      </c>
      <c r="B36" s="262" t="n"/>
      <c r="C36" s="182" t="inlineStr">
        <is>
          <t>999-9950</t>
        </is>
      </c>
      <c r="D36" s="190" t="inlineStr">
        <is>
          <t>Вспомогательные ненормируемые материальные ресурсы</t>
        </is>
      </c>
      <c r="E36" s="182" t="inlineStr">
        <is>
          <t>руб</t>
        </is>
      </c>
      <c r="F36" s="182" t="n">
        <v>6.837768</v>
      </c>
      <c r="G36" s="190" t="n">
        <v>1</v>
      </c>
      <c r="H36" s="181">
        <f>ROUND(F36*G36,2)</f>
        <v/>
      </c>
      <c r="I36" s="163" t="n"/>
      <c r="J36" s="168" t="n"/>
    </row>
    <row r="37">
      <c r="A37" s="167" t="n">
        <v>22</v>
      </c>
      <c r="B37" s="262" t="n"/>
      <c r="C37" s="182" t="inlineStr">
        <is>
          <t>14.4.03.03-0002</t>
        </is>
      </c>
      <c r="D37" s="190" t="inlineStr">
        <is>
          <t>Лак битумный БТ-123</t>
        </is>
      </c>
      <c r="E37" s="182" t="inlineStr">
        <is>
          <t>т</t>
        </is>
      </c>
      <c r="F37" s="182" t="n">
        <v>0.00072</v>
      </c>
      <c r="G37" s="190" t="n">
        <v>7833.33</v>
      </c>
      <c r="H37" s="181">
        <f>ROUND(F37*G37,2)</f>
        <v/>
      </c>
      <c r="I37" s="163" t="n"/>
      <c r="J37" s="168" t="n"/>
    </row>
    <row r="38">
      <c r="A38" s="167" t="n">
        <v>23</v>
      </c>
      <c r="B38" s="262" t="n"/>
      <c r="C38" s="182" t="inlineStr">
        <is>
          <t>01.7.11.07-0034</t>
        </is>
      </c>
      <c r="D38" s="190" t="inlineStr">
        <is>
          <t>Электроды сварочные Э42А, диаметр 4 мм</t>
        </is>
      </c>
      <c r="E38" s="182" t="inlineStr">
        <is>
          <t>кг</t>
        </is>
      </c>
      <c r="F38" s="182" t="n">
        <v>0.3</v>
      </c>
      <c r="G38" s="190" t="n">
        <v>10.57</v>
      </c>
      <c r="H38" s="181">
        <f>ROUND(F38*G38,2)</f>
        <v/>
      </c>
      <c r="I38" s="163" t="n"/>
      <c r="J38" s="168" t="n"/>
    </row>
    <row r="39">
      <c r="A39" s="167" t="n">
        <v>24</v>
      </c>
      <c r="B39" s="262" t="n"/>
      <c r="C39" s="182" t="inlineStr">
        <is>
          <t>25.2.01.01-0017</t>
        </is>
      </c>
      <c r="D39" s="190" t="inlineStr">
        <is>
          <t>Бирки маркировочные пластмассовые</t>
        </is>
      </c>
      <c r="E39" s="182" t="inlineStr">
        <is>
          <t>100 шт</t>
        </is>
      </c>
      <c r="F39" s="182" t="n">
        <v>0.08</v>
      </c>
      <c r="G39" s="190" t="n">
        <v>30.75</v>
      </c>
      <c r="H39" s="181">
        <f>ROUND(F39*G39,2)</f>
        <v/>
      </c>
      <c r="I39" s="163" t="n"/>
      <c r="J39" s="168" t="n"/>
    </row>
    <row r="40">
      <c r="A40" s="167" t="n">
        <v>25</v>
      </c>
      <c r="B40" s="262" t="n"/>
      <c r="C40" s="182" t="inlineStr">
        <is>
          <t>20.2.02.01-0013</t>
        </is>
      </c>
      <c r="D40" s="190" t="inlineStr">
        <is>
          <t>Втулки, диаметр 28 мм</t>
        </is>
      </c>
      <c r="E40" s="182" t="inlineStr">
        <is>
          <t>1000 шт</t>
        </is>
      </c>
      <c r="F40" s="182" t="n">
        <v>0.0122</v>
      </c>
      <c r="G40" s="190" t="n">
        <v>176.23</v>
      </c>
      <c r="H40" s="181">
        <f>ROUND(F40*G40,2)</f>
        <v/>
      </c>
      <c r="I40" s="163" t="n"/>
      <c r="J40" s="168" t="n"/>
    </row>
    <row r="41">
      <c r="A41" s="167" t="n">
        <v>26</v>
      </c>
      <c r="B41" s="262" t="n"/>
      <c r="C41" s="182" t="inlineStr">
        <is>
          <t>14.4.02.09-0001</t>
        </is>
      </c>
      <c r="D41" s="190" t="inlineStr">
        <is>
          <t>Краска</t>
        </is>
      </c>
      <c r="E41" s="182" t="inlineStr">
        <is>
          <t>кг</t>
        </is>
      </c>
      <c r="F41" s="182" t="n">
        <v>0.07000000000000001</v>
      </c>
      <c r="G41" s="190" t="n">
        <v>28.57</v>
      </c>
      <c r="H41" s="181">
        <f>ROUND(F41*G41,2)</f>
        <v/>
      </c>
      <c r="I41" s="163" t="n"/>
      <c r="J41" s="168" t="n"/>
    </row>
    <row r="42">
      <c r="A42" s="167" t="n">
        <v>27</v>
      </c>
      <c r="B42" s="262" t="n"/>
      <c r="C42" s="182" t="inlineStr">
        <is>
          <t>01.7.07.20-0002</t>
        </is>
      </c>
      <c r="D42" s="190" t="inlineStr">
        <is>
          <t>Тальк молотый, сорт I</t>
        </is>
      </c>
      <c r="E42" s="182" t="inlineStr">
        <is>
          <t>т</t>
        </is>
      </c>
      <c r="F42" s="182" t="n">
        <v>0.00105</v>
      </c>
      <c r="G42" s="190" t="n">
        <v>1819.05</v>
      </c>
      <c r="H42" s="181">
        <f>ROUND(F42*G42,2)</f>
        <v/>
      </c>
      <c r="I42" s="163" t="n"/>
      <c r="J42" s="168" t="n"/>
    </row>
    <row r="43">
      <c r="A43" s="167" t="n">
        <v>28</v>
      </c>
      <c r="B43" s="262" t="n"/>
      <c r="C43" s="182" t="inlineStr">
        <is>
          <t>01.7.06.07-0002</t>
        </is>
      </c>
      <c r="D43" s="190" t="inlineStr">
        <is>
          <t>Лента монтажная, тип ЛМ-5</t>
        </is>
      </c>
      <c r="E43" s="182" t="inlineStr">
        <is>
          <t>10 м</t>
        </is>
      </c>
      <c r="F43" s="182" t="n">
        <v>0.245</v>
      </c>
      <c r="G43" s="190" t="n">
        <v>6.9</v>
      </c>
      <c r="H43" s="181">
        <f>ROUND(F43*G43,2)</f>
        <v/>
      </c>
      <c r="I43" s="163" t="n"/>
      <c r="J43" s="168" t="n"/>
    </row>
    <row r="44">
      <c r="A44" s="167" t="n">
        <v>29</v>
      </c>
      <c r="B44" s="262" t="n"/>
      <c r="C44" s="182" t="inlineStr">
        <is>
          <t>01.7.15.14-0165</t>
        </is>
      </c>
      <c r="D44" s="190" t="inlineStr">
        <is>
          <t>Шурупы с полукруглой головкой 4x40 мм</t>
        </is>
      </c>
      <c r="E44" s="182" t="inlineStr">
        <is>
          <t>т</t>
        </is>
      </c>
      <c r="F44" s="182" t="n">
        <v>0.00011</v>
      </c>
      <c r="G44" s="190" t="n">
        <v>12454.55</v>
      </c>
      <c r="H44" s="181">
        <f>ROUND(F44*G44,2)</f>
        <v/>
      </c>
      <c r="I44" s="163" t="n"/>
      <c r="J44" s="168" t="n"/>
    </row>
    <row r="45" ht="25.5" customHeight="1">
      <c r="A45" s="167" t="n">
        <v>30</v>
      </c>
      <c r="B45" s="262" t="n"/>
      <c r="C45" s="182" t="inlineStr">
        <is>
          <t>10.3.02.03-0013</t>
        </is>
      </c>
      <c r="D45" s="190" t="inlineStr">
        <is>
          <t>Припои оловянно-свинцовые бессурьмянистые, марка ПОС61</t>
        </is>
      </c>
      <c r="E45" s="182" t="inlineStr">
        <is>
          <t>т</t>
        </is>
      </c>
      <c r="F45" s="182" t="n">
        <v>6.4e-06</v>
      </c>
      <c r="G45" s="190" t="n">
        <v>114062.5</v>
      </c>
      <c r="H45" s="181">
        <f>ROUND(F45*G45,2)</f>
        <v/>
      </c>
      <c r="I45" s="163" t="n"/>
      <c r="J45" s="168" t="n"/>
    </row>
    <row r="46">
      <c r="A46" s="167" t="n">
        <v>31</v>
      </c>
      <c r="B46" s="262" t="n"/>
      <c r="C46" s="182" t="inlineStr">
        <is>
          <t>01.7.15.03-0042</t>
        </is>
      </c>
      <c r="D46" s="190" t="inlineStr">
        <is>
          <t>Болты с гайками и шайбами строительные</t>
        </is>
      </c>
      <c r="E46" s="182" t="inlineStr">
        <is>
          <t>кг</t>
        </is>
      </c>
      <c r="F46" s="182" t="n">
        <v>0.06</v>
      </c>
      <c r="G46" s="190" t="n">
        <v>9</v>
      </c>
      <c r="H46" s="181">
        <f>ROUND(F46*G46,2)</f>
        <v/>
      </c>
      <c r="I46" s="163" t="n"/>
      <c r="J46" s="168" t="n"/>
    </row>
    <row r="47">
      <c r="A47" s="167" t="n">
        <v>32</v>
      </c>
      <c r="B47" s="262" t="n"/>
      <c r="C47" s="182" t="inlineStr">
        <is>
          <t>01.3.01.05-0009</t>
        </is>
      </c>
      <c r="D47" s="190" t="inlineStr">
        <is>
          <t>Парафин нефтяной твердый Т-1</t>
        </is>
      </c>
      <c r="E47" s="182" t="inlineStr">
        <is>
          <t>т</t>
        </is>
      </c>
      <c r="F47" s="182" t="n">
        <v>4e-05</v>
      </c>
      <c r="G47" s="190" t="n">
        <v>8000</v>
      </c>
      <c r="H47" s="181">
        <f>ROUND(F47*G47,2)</f>
        <v/>
      </c>
      <c r="I47" s="163" t="n"/>
      <c r="J47" s="168" t="n"/>
    </row>
    <row r="48">
      <c r="A48" s="167" t="n">
        <v>33</v>
      </c>
      <c r="B48" s="262" t="n"/>
      <c r="C48" s="182" t="inlineStr">
        <is>
          <t>24.3.01.01-0002</t>
        </is>
      </c>
      <c r="D48" s="190" t="inlineStr">
        <is>
          <t>Трубка полихлорвиниловая</t>
        </is>
      </c>
      <c r="E48" s="182" t="inlineStr">
        <is>
          <t>кг</t>
        </is>
      </c>
      <c r="F48" s="182" t="n">
        <v>0.0032</v>
      </c>
      <c r="G48" s="190" t="n">
        <v>34.38</v>
      </c>
      <c r="H48" s="181">
        <f>ROUND(F48*G48,2)</f>
        <v/>
      </c>
      <c r="I48" s="163" t="n"/>
      <c r="J48" s="168" t="n"/>
    </row>
    <row r="49">
      <c r="A49" s="167" t="n">
        <v>34</v>
      </c>
      <c r="B49" s="262" t="n"/>
      <c r="C49" s="182" t="inlineStr">
        <is>
          <t>01.3.01.07-0009</t>
        </is>
      </c>
      <c r="D49" s="190" t="inlineStr">
        <is>
          <t>Спирт этиловый ректификованный технический, сорт I</t>
        </is>
      </c>
      <c r="E49" s="182" t="inlineStr">
        <is>
          <t>кг</t>
        </is>
      </c>
      <c r="F49" s="182" t="n">
        <v>0.00232</v>
      </c>
      <c r="G49" s="190" t="n">
        <v>38.79</v>
      </c>
      <c r="H49" s="181">
        <f>ROUND(F49*G49,2)</f>
        <v/>
      </c>
      <c r="I49" s="163" t="n"/>
      <c r="J49" s="168" t="n"/>
    </row>
    <row r="50">
      <c r="A50" s="167" t="n">
        <v>35</v>
      </c>
      <c r="B50" s="262" t="n"/>
      <c r="C50" s="182" t="inlineStr">
        <is>
          <t>01.3.05.17-0002</t>
        </is>
      </c>
      <c r="D50" s="190" t="inlineStr">
        <is>
          <t>Канифоль сосновая</t>
        </is>
      </c>
      <c r="E50" s="182" t="inlineStr">
        <is>
          <t>кг</t>
        </is>
      </c>
      <c r="F50" s="182" t="n">
        <v>0.00152</v>
      </c>
      <c r="G50" s="190" t="n">
        <v>26.32</v>
      </c>
      <c r="H50" s="181">
        <f>ROUND(F50*G50,2)</f>
        <v/>
      </c>
      <c r="I50" s="163" t="n"/>
      <c r="J50" s="168" t="n"/>
    </row>
    <row r="51">
      <c r="A51" s="167" t="n">
        <v>36</v>
      </c>
      <c r="B51" s="262" t="n"/>
      <c r="C51" s="182" t="inlineStr">
        <is>
          <t>01.3.05.11-0001</t>
        </is>
      </c>
      <c r="D51" s="190" t="inlineStr">
        <is>
          <t>Дихлорэтан технический, сорт I</t>
        </is>
      </c>
      <c r="E51" s="182" t="inlineStr">
        <is>
          <t>т</t>
        </is>
      </c>
      <c r="F51" s="182" t="n">
        <v>1.6e-06</v>
      </c>
      <c r="G51" s="190" t="n">
        <v>6250</v>
      </c>
      <c r="H51" s="181">
        <f>ROUND(F51*G51,2)</f>
        <v/>
      </c>
      <c r="I51" s="163" t="n"/>
      <c r="J51" s="168" t="n"/>
    </row>
    <row r="53">
      <c r="B53" s="141" t="inlineStr">
        <is>
          <t>Составил ______________________     А.Р. Маркова</t>
        </is>
      </c>
    </row>
    <row r="54">
      <c r="B54" s="142" t="inlineStr">
        <is>
          <t xml:space="preserve">                         (подпись, инициалы, фамилия)</t>
        </is>
      </c>
    </row>
    <row r="56">
      <c r="B56" s="141" t="inlineStr">
        <is>
          <t>Проверил ______________________        А.В. Костянецкая</t>
        </is>
      </c>
    </row>
    <row r="57">
      <c r="B57" s="14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C8:C9"/>
    <mergeCell ref="A16:E16"/>
    <mergeCell ref="F8:F9"/>
    <mergeCell ref="E8:E9"/>
    <mergeCell ref="A24:E24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9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8.15" customHeight="1">
      <c r="B7" s="248" t="inlineStr">
        <is>
          <t>Наименование разрабатываемого показателя УНЦ — Шкафы УПАСК ВЧ 2 архитектуры. Приемник по ВЧКС на 16 команд</t>
        </is>
      </c>
    </row>
    <row r="8">
      <c r="B8" s="266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>
      <c r="B10" s="270" t="inlineStr">
        <is>
          <t>Наименование</t>
        </is>
      </c>
      <c r="C10" s="270" t="inlineStr">
        <is>
          <t>Сметная стоимость в ценах на 01.01.2023
 (руб.)</t>
        </is>
      </c>
      <c r="D10" s="270" t="inlineStr">
        <is>
          <t>Удельный вес, 
(в СМР)</t>
        </is>
      </c>
      <c r="E10" s="27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ОБ'!J63</f>
        <v/>
      </c>
      <c r="D17" s="27">
        <f>C17/$C$24</f>
        <v/>
      </c>
      <c r="E17" s="27">
        <f>C17/$C$40</f>
        <v/>
      </c>
      <c r="G17" s="346" t="n"/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ОБ'!D66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9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9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4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4">
        <f>C36/$C$40</f>
        <v/>
      </c>
      <c r="G36" s="205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4">
        <f>C37/$C$40</f>
        <v/>
      </c>
      <c r="G37" s="206" t="n"/>
      <c r="L37" s="16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04">
        <f>C38/$C$40</f>
        <v/>
      </c>
    </row>
    <row r="39" ht="13.5" customHeight="1">
      <c r="B39" s="25" t="inlineStr">
        <is>
          <t>Непредвиденные расходы</t>
        </is>
      </c>
      <c r="C39" s="159">
        <f>ROUND(C38*3%,2)</f>
        <v/>
      </c>
      <c r="D39" s="25" t="n"/>
      <c r="E39" s="204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ОБ'!E70</f>
        <v/>
      </c>
      <c r="D41" s="25" t="n"/>
      <c r="E41" s="25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6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8" min="2" max="2"/>
    <col width="39.140625" customWidth="1" style="12" min="3" max="3"/>
    <col width="10.7109375" customWidth="1" style="209" min="4" max="4"/>
    <col width="12.7109375" customWidth="1" style="209" min="5" max="5"/>
    <col width="15" customWidth="1" style="209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9" t="inlineStr">
        <is>
          <t>Расчет стоимости СМР и оборудования</t>
        </is>
      </c>
    </row>
    <row r="5" ht="12.75" customFormat="1" customHeight="1" s="4">
      <c r="A5" s="239" t="n"/>
      <c r="B5" s="239" t="n"/>
      <c r="C5" s="293" t="n"/>
      <c r="D5" s="239" t="n"/>
      <c r="E5" s="239" t="n"/>
      <c r="F5" s="239" t="n"/>
      <c r="G5" s="239" t="n"/>
      <c r="H5" s="239" t="n"/>
      <c r="I5" s="239" t="n"/>
      <c r="J5" s="239" t="n"/>
    </row>
    <row r="6" ht="12.75" customFormat="1" customHeight="1" s="4">
      <c r="A6" s="135" t="inlineStr">
        <is>
          <t>Наименование разрабатываемого показателя УНЦ</t>
        </is>
      </c>
      <c r="B6" s="273" t="n"/>
      <c r="C6" s="134" t="n"/>
      <c r="D6" s="273" t="inlineStr">
        <is>
          <t>Шкафы УПАСК ВЧ 2 архитектуры. Приемник по ВЧКС на 16 команд</t>
        </is>
      </c>
    </row>
    <row r="7" ht="12.75" customFormat="1" customHeight="1" s="4">
      <c r="A7" s="242" t="inlineStr">
        <is>
          <t>Единица измерения  — 1 ед.</t>
        </is>
      </c>
      <c r="I7" s="248" t="n"/>
      <c r="J7" s="248" t="n"/>
    </row>
    <row r="8" ht="13.5" customFormat="1" customHeight="1" s="4">
      <c r="A8" s="242" t="n"/>
    </row>
    <row r="9" ht="13.15" customFormat="1" customHeight="1" s="4">
      <c r="B9" s="1" t="n"/>
      <c r="D9" s="158" t="n"/>
      <c r="E9" s="158" t="n"/>
      <c r="F9" s="158" t="n"/>
    </row>
    <row r="10" ht="27" customHeight="1">
      <c r="A10" s="270" t="inlineStr">
        <is>
          <t>№ пп.</t>
        </is>
      </c>
      <c r="B10" s="270" t="inlineStr">
        <is>
          <t>Код ресурса</t>
        </is>
      </c>
      <c r="C10" s="270" t="inlineStr">
        <is>
          <t>Наименование</t>
        </is>
      </c>
      <c r="D10" s="270" t="inlineStr">
        <is>
          <t>Ед. изм.</t>
        </is>
      </c>
      <c r="E10" s="270" t="inlineStr">
        <is>
          <t>Кол-во единиц по проектным данным</t>
        </is>
      </c>
      <c r="F10" s="270" t="inlineStr">
        <is>
          <t>Сметная стоимость в ценах на 01.01.2000 (руб.)</t>
        </is>
      </c>
      <c r="G10" s="337" t="n"/>
      <c r="H10" s="270" t="inlineStr">
        <is>
          <t>Удельный вес, %</t>
        </is>
      </c>
      <c r="I10" s="270" t="inlineStr">
        <is>
          <t>Сметная стоимость в ценах на 01.01.2023 (руб.)</t>
        </is>
      </c>
      <c r="J10" s="337" t="n"/>
      <c r="M10" s="12" t="n"/>
      <c r="N10" s="12" t="n"/>
    </row>
    <row r="11" ht="28.5" customHeight="1">
      <c r="A11" s="339" t="n"/>
      <c r="B11" s="339" t="n"/>
      <c r="C11" s="339" t="n"/>
      <c r="D11" s="339" t="n"/>
      <c r="E11" s="339" t="n"/>
      <c r="F11" s="270" t="inlineStr">
        <is>
          <t>на ед. изм.</t>
        </is>
      </c>
      <c r="G11" s="270" t="inlineStr">
        <is>
          <t>общая</t>
        </is>
      </c>
      <c r="H11" s="339" t="n"/>
      <c r="I11" s="270" t="inlineStr">
        <is>
          <t>на ед. изм.</t>
        </is>
      </c>
      <c r="J11" s="270" t="inlineStr">
        <is>
          <t>общая</t>
        </is>
      </c>
      <c r="M11" s="12" t="n"/>
      <c r="N11" s="12" t="n"/>
    </row>
    <row r="12">
      <c r="A12" s="270" t="n">
        <v>1</v>
      </c>
      <c r="B12" s="270" t="n">
        <v>2</v>
      </c>
      <c r="C12" s="270" t="n">
        <v>3</v>
      </c>
      <c r="D12" s="270" t="n">
        <v>4</v>
      </c>
      <c r="E12" s="270" t="n">
        <v>5</v>
      </c>
      <c r="F12" s="270" t="n">
        <v>6</v>
      </c>
      <c r="G12" s="270" t="n">
        <v>7</v>
      </c>
      <c r="H12" s="270" t="n">
        <v>8</v>
      </c>
      <c r="I12" s="271" t="n">
        <v>9</v>
      </c>
      <c r="J12" s="271" t="n">
        <v>10</v>
      </c>
      <c r="M12" s="12" t="n"/>
      <c r="N12" s="12" t="n"/>
    </row>
    <row r="13">
      <c r="A13" s="270" t="n"/>
      <c r="B13" s="257" t="inlineStr">
        <is>
          <t>Затраты труда рабочих-строителей</t>
        </is>
      </c>
      <c r="C13" s="336" t="n"/>
      <c r="D13" s="336" t="n"/>
      <c r="E13" s="336" t="n"/>
      <c r="F13" s="336" t="n"/>
      <c r="G13" s="336" t="n"/>
      <c r="H13" s="337" t="n"/>
      <c r="I13" s="124" t="n"/>
      <c r="J13" s="124" t="n"/>
    </row>
    <row r="14" ht="25.5" customHeight="1">
      <c r="A14" s="270" t="n">
        <v>1</v>
      </c>
      <c r="B14" s="133" t="inlineStr">
        <is>
          <t>1-3-8</t>
        </is>
      </c>
      <c r="C14" s="278" t="inlineStr">
        <is>
          <t>Затраты труда рабочих-строителей среднего разряда (3,8)</t>
        </is>
      </c>
      <c r="D14" s="270" t="inlineStr">
        <is>
          <t>чел.-ч.</t>
        </is>
      </c>
      <c r="E14" s="347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0" t="n"/>
      <c r="B15" s="270" t="n"/>
      <c r="C15" s="257" t="inlineStr">
        <is>
          <t>Итого по разделу "Затраты труда рабочих-строителей"</t>
        </is>
      </c>
      <c r="D15" s="270" t="inlineStr">
        <is>
          <t>чел.-ч.</t>
        </is>
      </c>
      <c r="E15" s="347">
        <f>SUM(E14:E14)</f>
        <v/>
      </c>
      <c r="F15" s="32" t="n"/>
      <c r="G15" s="32">
        <f>SUM(G14:G14)</f>
        <v/>
      </c>
      <c r="H15" s="281" t="n">
        <v>1</v>
      </c>
      <c r="I15" s="124" t="n"/>
      <c r="J15" s="32">
        <f>SUM(J14:J14)</f>
        <v/>
      </c>
    </row>
    <row r="16" ht="14.25" customFormat="1" customHeight="1" s="12">
      <c r="A16" s="270" t="n"/>
      <c r="B16" s="278" t="inlineStr">
        <is>
          <t>Затраты труда машинистов</t>
        </is>
      </c>
      <c r="C16" s="336" t="n"/>
      <c r="D16" s="336" t="n"/>
      <c r="E16" s="336" t="n"/>
      <c r="F16" s="336" t="n"/>
      <c r="G16" s="336" t="n"/>
      <c r="H16" s="337" t="n"/>
      <c r="I16" s="124" t="n"/>
      <c r="J16" s="124" t="n"/>
    </row>
    <row r="17" ht="14.25" customFormat="1" customHeight="1" s="12">
      <c r="A17" s="270" t="n">
        <v>2</v>
      </c>
      <c r="B17" s="270" t="n">
        <v>2</v>
      </c>
      <c r="C17" s="278" t="inlineStr">
        <is>
          <t>Затраты труда машинистов</t>
        </is>
      </c>
      <c r="D17" s="270" t="inlineStr">
        <is>
          <t>чел.-ч.</t>
        </is>
      </c>
      <c r="E17" s="348" t="n">
        <v>1.2</v>
      </c>
      <c r="F17" s="32">
        <f>G17/E17</f>
        <v/>
      </c>
      <c r="G17" s="32">
        <f>'Прил. 3'!H16</f>
        <v/>
      </c>
      <c r="H17" s="28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0" t="n"/>
      <c r="B18" s="257" t="inlineStr">
        <is>
          <t>Машины и механизмы</t>
        </is>
      </c>
      <c r="C18" s="336" t="n"/>
      <c r="D18" s="336" t="n"/>
      <c r="E18" s="336" t="n"/>
      <c r="F18" s="336" t="n"/>
      <c r="G18" s="336" t="n"/>
      <c r="H18" s="337" t="n"/>
      <c r="I18" s="124" t="n"/>
      <c r="J18" s="124" t="n"/>
    </row>
    <row r="19" ht="14.25" customFormat="1" customHeight="1" s="12">
      <c r="A19" s="270" t="n"/>
      <c r="B19" s="278" t="inlineStr">
        <is>
          <t>Основные машины и механизмы</t>
        </is>
      </c>
      <c r="C19" s="336" t="n"/>
      <c r="D19" s="336" t="n"/>
      <c r="E19" s="336" t="n"/>
      <c r="F19" s="336" t="n"/>
      <c r="G19" s="336" t="n"/>
      <c r="H19" s="337" t="n"/>
      <c r="I19" s="124" t="n"/>
      <c r="J19" s="124" t="n"/>
    </row>
    <row r="20" ht="25.5" customFormat="1" customHeight="1" s="12">
      <c r="A20" s="270" t="n">
        <v>3</v>
      </c>
      <c r="B20" s="188" t="inlineStr">
        <is>
          <t>91.05.05-015</t>
        </is>
      </c>
      <c r="C20" s="189" t="inlineStr">
        <is>
          <t>Краны на автомобильном ходу, грузоподъемность 16 т</t>
        </is>
      </c>
      <c r="D20" s="188" t="inlineStr">
        <is>
          <t>маш.-ч.</t>
        </is>
      </c>
      <c r="E20" s="349" t="n">
        <v>0.6</v>
      </c>
      <c r="F20" s="207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0" t="n">
        <v>4</v>
      </c>
      <c r="B21" s="188" t="inlineStr">
        <is>
          <t>91.14.02-001</t>
        </is>
      </c>
      <c r="C21" s="189" t="inlineStr">
        <is>
          <t>Автомобили бортовые, грузоподъемность до 5 т</t>
        </is>
      </c>
      <c r="D21" s="188" t="inlineStr">
        <is>
          <t>маш.-ч.</t>
        </is>
      </c>
      <c r="E21" s="349" t="n">
        <v>0.6</v>
      </c>
      <c r="F21" s="207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70" t="n"/>
      <c r="B22" s="270" t="n"/>
      <c r="C22" s="278" t="inlineStr">
        <is>
          <t>Итого основные машины и механизмы</t>
        </is>
      </c>
      <c r="D22" s="270" t="n"/>
      <c r="E22" s="348" t="n"/>
      <c r="F22" s="32" t="n"/>
      <c r="G22" s="32">
        <f>SUM(G20:G21)</f>
        <v/>
      </c>
      <c r="H22" s="281">
        <f>G22/G27</f>
        <v/>
      </c>
      <c r="I22" s="126" t="n"/>
      <c r="J22" s="32">
        <f>SUM(J20:J21)</f>
        <v/>
      </c>
    </row>
    <row r="23" hidden="1" outlineLevel="1" ht="25.5" customFormat="1" customHeight="1" s="12">
      <c r="A23" s="270" t="n">
        <v>5</v>
      </c>
      <c r="B23" s="188" t="inlineStr">
        <is>
          <t>91.17.04-233</t>
        </is>
      </c>
      <c r="C23" s="189" t="inlineStr">
        <is>
          <t>Установки для сварки ручной дуговой (постоянного тока)</t>
        </is>
      </c>
      <c r="D23" s="188" t="inlineStr">
        <is>
          <t>маш.-ч.</t>
        </is>
      </c>
      <c r="E23" s="349" t="n">
        <v>0.9</v>
      </c>
      <c r="F23" s="207" t="n">
        <v>8.1</v>
      </c>
      <c r="G23" s="32">
        <f>ROUND(E23*F23,2)</f>
        <v/>
      </c>
      <c r="H23" s="127">
        <f>G23/$G$27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2">
      <c r="A24" s="270" t="n">
        <v>6</v>
      </c>
      <c r="B24" s="188" t="inlineStr">
        <is>
          <t>91.06.03-061</t>
        </is>
      </c>
      <c r="C24" s="189" t="inlineStr">
        <is>
          <t>Лебедки электрические тяговым усилием до 12,26 кН (1,25 т)</t>
        </is>
      </c>
      <c r="D24" s="188" t="inlineStr">
        <is>
          <t>маш.-ч.</t>
        </is>
      </c>
      <c r="E24" s="349" t="n">
        <v>2.2</v>
      </c>
      <c r="F24" s="207" t="n">
        <v>3.28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0" t="n">
        <v>7</v>
      </c>
      <c r="B25" s="188" t="inlineStr">
        <is>
          <t>91.06.01-003</t>
        </is>
      </c>
      <c r="C25" s="189" t="inlineStr">
        <is>
          <t>Домкраты гидравлические, грузоподъемность 63-100 т</t>
        </is>
      </c>
      <c r="D25" s="188" t="inlineStr">
        <is>
          <t>маш.-ч.</t>
        </is>
      </c>
      <c r="E25" s="349" t="n">
        <v>2.2</v>
      </c>
      <c r="F25" s="207" t="n">
        <v>0.9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0" t="n"/>
      <c r="B26" s="270" t="n"/>
      <c r="C26" s="278" t="inlineStr">
        <is>
          <t>Итого прочие машины и механизмы</t>
        </is>
      </c>
      <c r="D26" s="270" t="n"/>
      <c r="E26" s="279" t="n"/>
      <c r="F26" s="32" t="n"/>
      <c r="G26" s="126">
        <f>SUM(G23:G25)</f>
        <v/>
      </c>
      <c r="H26" s="127">
        <f>G26/G27</f>
        <v/>
      </c>
      <c r="I26" s="32" t="n"/>
      <c r="J26" s="32">
        <f>SUM(J25:J25)</f>
        <v/>
      </c>
    </row>
    <row r="27" ht="25.5" customFormat="1" customHeight="1" s="12">
      <c r="A27" s="270" t="n"/>
      <c r="B27" s="270" t="n"/>
      <c r="C27" s="257" t="inlineStr">
        <is>
          <t>Итого по разделу «Машины и механизмы»</t>
        </is>
      </c>
      <c r="D27" s="270" t="n"/>
      <c r="E27" s="279" t="n"/>
      <c r="F27" s="32" t="n"/>
      <c r="G27" s="32">
        <f>G26+G22</f>
        <v/>
      </c>
      <c r="H27" s="128" t="n">
        <v>1</v>
      </c>
      <c r="I27" s="129" t="n"/>
      <c r="J27" s="130">
        <f>J26+J22</f>
        <v/>
      </c>
    </row>
    <row r="28" ht="14.25" customFormat="1" customHeight="1" s="12">
      <c r="A28" s="270" t="n"/>
      <c r="B28" s="257" t="inlineStr">
        <is>
          <t>Оборудование</t>
        </is>
      </c>
      <c r="C28" s="336" t="n"/>
      <c r="D28" s="336" t="n"/>
      <c r="E28" s="336" t="n"/>
      <c r="F28" s="336" t="n"/>
      <c r="G28" s="336" t="n"/>
      <c r="H28" s="337" t="n"/>
      <c r="I28" s="124" t="n"/>
      <c r="J28" s="124" t="n"/>
    </row>
    <row r="29">
      <c r="A29" s="270" t="n"/>
      <c r="B29" s="278" t="inlineStr">
        <is>
          <t>Основное оборудование</t>
        </is>
      </c>
      <c r="C29" s="336" t="n"/>
      <c r="D29" s="336" t="n"/>
      <c r="E29" s="336" t="n"/>
      <c r="F29" s="336" t="n"/>
      <c r="G29" s="336" t="n"/>
      <c r="H29" s="337" t="n"/>
      <c r="I29" s="124" t="n"/>
      <c r="J29" s="124" t="n"/>
    </row>
    <row r="30" ht="45" customFormat="1" customHeight="1" s="12">
      <c r="A30" s="270" t="n">
        <v>8</v>
      </c>
      <c r="B30" s="270" t="inlineStr">
        <is>
          <t>БЦ.32_2.13</t>
        </is>
      </c>
      <c r="C30" s="278" t="inlineStr">
        <is>
          <t>ШЭТ ВЧ-00/16-1. Шкафы УПАСК ВЧ 2 архитектуры. Приемник по ВЧКС на 16 команд</t>
        </is>
      </c>
      <c r="D30" s="270" t="inlineStr">
        <is>
          <t>шт</t>
        </is>
      </c>
      <c r="E30" s="348" t="n">
        <v>1</v>
      </c>
      <c r="F30" s="290">
        <f>ROUND(I30/'Прил. 10'!$D$14,2)</f>
        <v/>
      </c>
      <c r="G30" s="32">
        <f>ROUND(E30*F30,2)</f>
        <v/>
      </c>
      <c r="H30" s="127">
        <f>G30/$G$33</f>
        <v/>
      </c>
      <c r="I30" s="179" t="n">
        <v>4900000</v>
      </c>
      <c r="J30" s="32">
        <f>ROUND(I30*E30,2)</f>
        <v/>
      </c>
    </row>
    <row r="31">
      <c r="A31" s="270" t="n"/>
      <c r="B31" s="270" t="n"/>
      <c r="C31" s="278" t="inlineStr">
        <is>
          <t>Итого основное оборудование</t>
        </is>
      </c>
      <c r="D31" s="270" t="n"/>
      <c r="E31" s="348" t="n"/>
      <c r="F31" s="280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0" t="n"/>
      <c r="B32" s="270" t="n"/>
      <c r="C32" s="278" t="inlineStr">
        <is>
          <t>Итого прочее оборудование</t>
        </is>
      </c>
      <c r="D32" s="184" t="n"/>
      <c r="E32" s="348" t="n"/>
      <c r="F32" s="280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0" t="n"/>
      <c r="B33" s="270" t="n"/>
      <c r="C33" s="257" t="inlineStr">
        <is>
          <t>Итого по разделу «Оборудование»</t>
        </is>
      </c>
      <c r="D33" s="270" t="n"/>
      <c r="E33" s="279" t="n"/>
      <c r="F33" s="280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0" t="n"/>
      <c r="B34" s="270" t="n"/>
      <c r="C34" s="278" t="inlineStr">
        <is>
          <t>в том числе технологическое оборудование</t>
        </is>
      </c>
      <c r="D34" s="270" t="n"/>
      <c r="E34" s="348" t="n"/>
      <c r="F34" s="280" t="n"/>
      <c r="G34" s="32">
        <f>'Прил.6 Расчет ОБ'!G13</f>
        <v/>
      </c>
      <c r="H34" s="281" t="n"/>
      <c r="I34" s="126" t="n"/>
      <c r="J34" s="32">
        <f>J33</f>
        <v/>
      </c>
    </row>
    <row r="35" ht="14.25" customFormat="1" customHeight="1" s="12">
      <c r="A35" s="270" t="n"/>
      <c r="B35" s="257" t="inlineStr">
        <is>
          <t>Материалы</t>
        </is>
      </c>
      <c r="C35" s="336" t="n"/>
      <c r="D35" s="336" t="n"/>
      <c r="E35" s="336" t="n"/>
      <c r="F35" s="336" t="n"/>
      <c r="G35" s="336" t="n"/>
      <c r="H35" s="337" t="n"/>
      <c r="I35" s="124" t="n"/>
      <c r="J35" s="124" t="n"/>
    </row>
    <row r="36" ht="14.25" customFormat="1" customHeight="1" s="12">
      <c r="A36" s="271" t="n"/>
      <c r="B36" s="274" t="inlineStr">
        <is>
          <t>Основные материалы</t>
        </is>
      </c>
      <c r="C36" s="350" t="n"/>
      <c r="D36" s="350" t="n"/>
      <c r="E36" s="350" t="n"/>
      <c r="F36" s="350" t="n"/>
      <c r="G36" s="350" t="n"/>
      <c r="H36" s="351" t="n"/>
      <c r="I36" s="136" t="n"/>
      <c r="J36" s="136" t="n"/>
    </row>
    <row r="37" ht="38.25" customFormat="1" customHeight="1" s="12">
      <c r="A37" s="270" t="n">
        <v>9</v>
      </c>
      <c r="B37" s="188" t="inlineStr">
        <is>
          <t>21.1.01.01-0001</t>
        </is>
      </c>
      <c r="C37" s="187" t="inlineStr">
        <is>
          <t>Кабель волоконно-оптический самонесущий биэлектрический ДСт-49-6z-6/32</t>
        </is>
      </c>
      <c r="D37" s="188" t="inlineStr">
        <is>
          <t>1000 м</t>
        </is>
      </c>
      <c r="E37" s="349" t="n">
        <v>0.1</v>
      </c>
      <c r="F37" s="189" t="n">
        <v>45920.9</v>
      </c>
      <c r="G37" s="32">
        <f>ROUND(E37*F37,2)</f>
        <v/>
      </c>
      <c r="H37" s="127">
        <f>G37/$G$64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12">
      <c r="A38" s="270" t="n">
        <v>10</v>
      </c>
      <c r="B38" s="182" t="inlineStr">
        <is>
          <t>21.1.08.03-0574</t>
        </is>
      </c>
      <c r="C38" s="190" t="inlineStr">
        <is>
          <t>Кабель контрольный КВВГЭнг(А)-LS 4x2,5</t>
        </is>
      </c>
      <c r="D38" s="182" t="inlineStr">
        <is>
          <t>1000 м</t>
        </is>
      </c>
      <c r="E38" s="182" t="n">
        <v>0.102</v>
      </c>
      <c r="F38" s="190" t="n">
        <v>32828.82</v>
      </c>
      <c r="G38" s="32">
        <f>ROUND(E38*F38,2)</f>
        <v/>
      </c>
      <c r="H38" s="127">
        <f>G38/$G$64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70" t="n"/>
      <c r="B39" s="137" t="n"/>
      <c r="C39" s="138" t="inlineStr">
        <is>
          <t>Итого основные материалы</t>
        </is>
      </c>
      <c r="D39" s="272" t="n"/>
      <c r="E39" s="352" t="n"/>
      <c r="F39" s="130" t="n"/>
      <c r="G39" s="130">
        <f>SUM(G37:G38)</f>
        <v/>
      </c>
      <c r="H39" s="127">
        <f>G39/$G$64</f>
        <v/>
      </c>
      <c r="I39" s="32" t="n"/>
      <c r="J39" s="130">
        <f>SUM(J38:J38)</f>
        <v/>
      </c>
    </row>
    <row r="40" hidden="1" outlineLevel="1" ht="38.25" customFormat="1" customHeight="1" s="12">
      <c r="A40" s="270" t="n">
        <v>11</v>
      </c>
      <c r="B40" s="182" t="inlineStr">
        <is>
          <t>24.3.01.02-0002</t>
        </is>
      </c>
      <c r="C40" s="190" t="inlineStr">
        <is>
          <t>Трубы гибкие гофрированные из самозатухающего ПВХ легкие с протяжкой, диаметр 25 мм</t>
        </is>
      </c>
      <c r="D40" s="182" t="inlineStr">
        <is>
          <t>м</t>
        </is>
      </c>
      <c r="E40" s="353" t="n">
        <v>102</v>
      </c>
      <c r="F40" s="190" t="n">
        <v>3.43</v>
      </c>
      <c r="G40" s="32">
        <f>ROUND(E40*F40,2)</f>
        <v/>
      </c>
      <c r="H40" s="127">
        <f>G40/$G$64</f>
        <v/>
      </c>
      <c r="I40" s="32">
        <f>ROUND(F40*'Прил. 10'!$D$13,2)</f>
        <v/>
      </c>
      <c r="J40" s="32">
        <f>ROUND(I40*E40,2)</f>
        <v/>
      </c>
    </row>
    <row r="41" hidden="1" outlineLevel="1" ht="25.5" customFormat="1" customHeight="1" s="12">
      <c r="A41" s="270" t="n">
        <v>12</v>
      </c>
      <c r="B41" s="182" t="inlineStr">
        <is>
          <t>07.2.07.04-0007</t>
        </is>
      </c>
      <c r="C41" s="190" t="inlineStr">
        <is>
          <t>Конструкции стальные индивидуальные решетчатые сварные, масса до 0,1 т</t>
        </is>
      </c>
      <c r="D41" s="182" t="inlineStr">
        <is>
          <t>т</t>
        </is>
      </c>
      <c r="E41" s="353" t="n">
        <v>0.03</v>
      </c>
      <c r="F41" s="190" t="n">
        <v>11500</v>
      </c>
      <c r="G41" s="32">
        <f>ROUND(E41*F41,2)</f>
        <v/>
      </c>
      <c r="H41" s="127">
        <f>G41/$G$64</f>
        <v/>
      </c>
      <c r="I41" s="32">
        <f>ROUND(F41*'Прил. 10'!$D$13,2)</f>
        <v/>
      </c>
      <c r="J41" s="32">
        <f>ROUND(I41*E41,2)</f>
        <v/>
      </c>
    </row>
    <row r="42" hidden="1" outlineLevel="1" ht="25.5" customFormat="1" customHeight="1" s="12">
      <c r="A42" s="270" t="n">
        <v>13</v>
      </c>
      <c r="B42" s="182" t="inlineStr">
        <is>
          <t>10.3.02.03-0011</t>
        </is>
      </c>
      <c r="C42" s="190" t="inlineStr">
        <is>
          <t>Припои оловянно-свинцовые бессурьмянистые, марка ПОС30</t>
        </is>
      </c>
      <c r="D42" s="182" t="inlineStr">
        <is>
          <t>т</t>
        </is>
      </c>
      <c r="E42" s="353" t="n">
        <v>0.00046</v>
      </c>
      <c r="F42" s="190" t="n">
        <v>68021.74000000001</v>
      </c>
      <c r="G42" s="32">
        <f>ROUND(E42*F42,2)</f>
        <v/>
      </c>
      <c r="H42" s="127">
        <f>G42/$G$64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2">
      <c r="A43" s="270" t="n">
        <v>14</v>
      </c>
      <c r="B43" s="182" t="inlineStr">
        <is>
          <t>01.7.15.07-0152</t>
        </is>
      </c>
      <c r="C43" s="190" t="inlineStr">
        <is>
          <t>Дюбели с шурупом, размер 6x35 мм</t>
        </is>
      </c>
      <c r="D43" s="182" t="inlineStr">
        <is>
          <t>100 шт</t>
        </is>
      </c>
      <c r="E43" s="353" t="n">
        <v>1.75</v>
      </c>
      <c r="F43" s="190" t="n">
        <v>8</v>
      </c>
      <c r="G43" s="32">
        <f>ROUND(E43*F43,2)</f>
        <v/>
      </c>
      <c r="H43" s="127">
        <f>G43/$G$64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70" t="n">
        <v>15</v>
      </c>
      <c r="B44" s="182" t="inlineStr">
        <is>
          <t>01.7.06.05-0041</t>
        </is>
      </c>
      <c r="C44" s="190" t="inlineStr">
        <is>
          <t>Лента изоляционная прорезиненная односторонняя, ширина 20 мм, толщина 0,25-0,35 мм</t>
        </is>
      </c>
      <c r="D44" s="182" t="inlineStr">
        <is>
          <t>кг</t>
        </is>
      </c>
      <c r="E44" s="353" t="n">
        <v>0.36</v>
      </c>
      <c r="F44" s="190" t="n">
        <v>30.36</v>
      </c>
      <c r="G44" s="32">
        <f>ROUND(E44*F44,2)</f>
        <v/>
      </c>
      <c r="H44" s="127">
        <f>G44/$G$64</f>
        <v/>
      </c>
      <c r="I44" s="32">
        <f>ROUND(F44*'Прил. 10'!$D$13,2)</f>
        <v/>
      </c>
      <c r="J44" s="32">
        <f>ROUND(I44*E44,2)</f>
        <v/>
      </c>
    </row>
    <row r="45" hidden="1" outlineLevel="1" ht="14.25" customFormat="1" customHeight="1" s="12">
      <c r="A45" s="270" t="n">
        <v>16</v>
      </c>
      <c r="B45" s="182" t="inlineStr">
        <is>
          <t>20.1.02.06-0001</t>
        </is>
      </c>
      <c r="C45" s="190" t="inlineStr">
        <is>
          <t>Жир паяльный</t>
        </is>
      </c>
      <c r="D45" s="182" t="inlineStr">
        <is>
          <t>кг</t>
        </is>
      </c>
      <c r="E45" s="353" t="n">
        <v>0.08</v>
      </c>
      <c r="F45" s="190" t="n">
        <v>101</v>
      </c>
      <c r="G45" s="32">
        <f>ROUND(E45*F45,2)</f>
        <v/>
      </c>
      <c r="H45" s="127">
        <f>G45/$G$64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70" t="n">
        <v>17</v>
      </c>
      <c r="B46" s="182" t="inlineStr">
        <is>
          <t>20.2.01.05-0005</t>
        </is>
      </c>
      <c r="C46" s="190" t="inlineStr">
        <is>
          <t>Гильзы кабельные медные ГМ 16</t>
        </is>
      </c>
      <c r="D46" s="182" t="inlineStr">
        <is>
          <t>100 шт</t>
        </is>
      </c>
      <c r="E46" s="353" t="n">
        <v>0.05</v>
      </c>
      <c r="F46" s="190" t="n">
        <v>143</v>
      </c>
      <c r="G46" s="32">
        <f>ROUND(E46*F46,2)</f>
        <v/>
      </c>
      <c r="H46" s="127">
        <f>G46/$G$64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70" t="n">
        <v>18</v>
      </c>
      <c r="B47" s="182" t="inlineStr">
        <is>
          <t>999-9950</t>
        </is>
      </c>
      <c r="C47" s="190" t="inlineStr">
        <is>
          <t>Вспомогательные ненормируемые материальные ресурсы</t>
        </is>
      </c>
      <c r="D47" s="182" t="inlineStr">
        <is>
          <t>руб</t>
        </is>
      </c>
      <c r="E47" s="353" t="n">
        <v>6.837768</v>
      </c>
      <c r="F47" s="190" t="n">
        <v>1</v>
      </c>
      <c r="G47" s="32">
        <f>ROUND(E47*F47,2)</f>
        <v/>
      </c>
      <c r="H47" s="127">
        <f>G47/$G$64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70" t="n">
        <v>19</v>
      </c>
      <c r="B48" s="182" t="inlineStr">
        <is>
          <t>14.4.03.03-0002</t>
        </is>
      </c>
      <c r="C48" s="190" t="inlineStr">
        <is>
          <t>Лак битумный БТ-123</t>
        </is>
      </c>
      <c r="D48" s="182" t="inlineStr">
        <is>
          <t>т</t>
        </is>
      </c>
      <c r="E48" s="353" t="n">
        <v>0.00072</v>
      </c>
      <c r="F48" s="190" t="n">
        <v>7833.33</v>
      </c>
      <c r="G48" s="32">
        <f>ROUND(E48*F48,2)</f>
        <v/>
      </c>
      <c r="H48" s="127">
        <f>G48/$G$64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70" t="n">
        <v>20</v>
      </c>
      <c r="B49" s="182" t="inlineStr">
        <is>
          <t>01.7.11.07-0034</t>
        </is>
      </c>
      <c r="C49" s="190" t="inlineStr">
        <is>
          <t>Электроды сварочные Э42А, диаметр 4 мм</t>
        </is>
      </c>
      <c r="D49" s="182" t="inlineStr">
        <is>
          <t>кг</t>
        </is>
      </c>
      <c r="E49" s="353" t="n">
        <v>0.3</v>
      </c>
      <c r="F49" s="190" t="n">
        <v>10.57</v>
      </c>
      <c r="G49" s="32">
        <f>ROUND(E49*F49,2)</f>
        <v/>
      </c>
      <c r="H49" s="127">
        <f>G49/$G$64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70" t="n">
        <v>21</v>
      </c>
      <c r="B50" s="182" t="inlineStr">
        <is>
          <t>25.2.01.01-0017</t>
        </is>
      </c>
      <c r="C50" s="190" t="inlineStr">
        <is>
          <t>Бирки маркировочные пластмассовые</t>
        </is>
      </c>
      <c r="D50" s="182" t="inlineStr">
        <is>
          <t>100 шт</t>
        </is>
      </c>
      <c r="E50" s="353" t="n">
        <v>0.08</v>
      </c>
      <c r="F50" s="190" t="n">
        <v>30.75</v>
      </c>
      <c r="G50" s="32">
        <f>ROUND(E50*F50,2)</f>
        <v/>
      </c>
      <c r="H50" s="127">
        <f>G50/$G$64</f>
        <v/>
      </c>
      <c r="I50" s="32">
        <f>ROUND(F50*'Прил. 10'!$D$13,2)</f>
        <v/>
      </c>
      <c r="J50" s="32">
        <f>ROUND(I50*E50,2)</f>
        <v/>
      </c>
    </row>
    <row r="51" hidden="1" outlineLevel="1" ht="14.25" customFormat="1" customHeight="1" s="12">
      <c r="A51" s="270" t="n">
        <v>22</v>
      </c>
      <c r="B51" s="182" t="inlineStr">
        <is>
          <t>20.2.02.01-0013</t>
        </is>
      </c>
      <c r="C51" s="190" t="inlineStr">
        <is>
          <t>Втулки, диаметр 28 мм</t>
        </is>
      </c>
      <c r="D51" s="182" t="inlineStr">
        <is>
          <t>1000 шт</t>
        </is>
      </c>
      <c r="E51" s="353" t="n">
        <v>0.0122</v>
      </c>
      <c r="F51" s="190" t="n">
        <v>176.23</v>
      </c>
      <c r="G51" s="32">
        <f>ROUND(E51*F51,2)</f>
        <v/>
      </c>
      <c r="H51" s="127">
        <f>G51/$G$64</f>
        <v/>
      </c>
      <c r="I51" s="32">
        <f>ROUND(F51*'Прил. 10'!$D$13,2)</f>
        <v/>
      </c>
      <c r="J51" s="32">
        <f>ROUND(I51*E51,2)</f>
        <v/>
      </c>
    </row>
    <row r="52" hidden="1" outlineLevel="1" ht="14.25" customFormat="1" customHeight="1" s="12">
      <c r="A52" s="270" t="n">
        <v>23</v>
      </c>
      <c r="B52" s="182" t="inlineStr">
        <is>
          <t>14.4.02.09-0001</t>
        </is>
      </c>
      <c r="C52" s="190" t="inlineStr">
        <is>
          <t>Краска</t>
        </is>
      </c>
      <c r="D52" s="182" t="inlineStr">
        <is>
          <t>кг</t>
        </is>
      </c>
      <c r="E52" s="353" t="n">
        <v>0.07000000000000001</v>
      </c>
      <c r="F52" s="190" t="n">
        <v>28.57</v>
      </c>
      <c r="G52" s="32">
        <f>ROUND(E52*F52,2)</f>
        <v/>
      </c>
      <c r="H52" s="127">
        <f>G52/$G$64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70" t="n">
        <v>24</v>
      </c>
      <c r="B53" s="182" t="inlineStr">
        <is>
          <t>01.7.07.20-0002</t>
        </is>
      </c>
      <c r="C53" s="190" t="inlineStr">
        <is>
          <t>Тальк молотый, сорт I</t>
        </is>
      </c>
      <c r="D53" s="182" t="inlineStr">
        <is>
          <t>т</t>
        </is>
      </c>
      <c r="E53" s="353" t="n">
        <v>0.00105</v>
      </c>
      <c r="F53" s="190" t="n">
        <v>1819.05</v>
      </c>
      <c r="G53" s="32">
        <f>ROUND(E53*F53,2)</f>
        <v/>
      </c>
      <c r="H53" s="127">
        <f>G53/$G$64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70" t="n">
        <v>25</v>
      </c>
      <c r="B54" s="182" t="inlineStr">
        <is>
          <t>01.7.06.07-0002</t>
        </is>
      </c>
      <c r="C54" s="190" t="inlineStr">
        <is>
          <t>Лента монтажная, тип ЛМ-5</t>
        </is>
      </c>
      <c r="D54" s="182" t="inlineStr">
        <is>
          <t>10 м</t>
        </is>
      </c>
      <c r="E54" s="353" t="n">
        <v>0.245</v>
      </c>
      <c r="F54" s="190" t="n">
        <v>6.9</v>
      </c>
      <c r="G54" s="32">
        <f>ROUND(E54*F54,2)</f>
        <v/>
      </c>
      <c r="H54" s="127">
        <f>G54/$G$64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70" t="n">
        <v>26</v>
      </c>
      <c r="B55" s="182" t="inlineStr">
        <is>
          <t>01.7.15.14-0165</t>
        </is>
      </c>
      <c r="C55" s="190" t="inlineStr">
        <is>
          <t>Шурупы с полукруглой головкой 4x40 мм</t>
        </is>
      </c>
      <c r="D55" s="182" t="inlineStr">
        <is>
          <t>т</t>
        </is>
      </c>
      <c r="E55" s="353" t="n">
        <v>0.00011</v>
      </c>
      <c r="F55" s="190" t="n">
        <v>12454.55</v>
      </c>
      <c r="G55" s="32">
        <f>ROUND(E55*F55,2)</f>
        <v/>
      </c>
      <c r="H55" s="127">
        <f>G55/$G$64</f>
        <v/>
      </c>
      <c r="I55" s="32">
        <f>ROUND(F55*'Прил. 10'!$D$13,2)</f>
        <v/>
      </c>
      <c r="J55" s="32">
        <f>ROUND(I55*E55,2)</f>
        <v/>
      </c>
    </row>
    <row r="56" hidden="1" outlineLevel="1" ht="25.5" customFormat="1" customHeight="1" s="12">
      <c r="A56" s="270" t="n">
        <v>27</v>
      </c>
      <c r="B56" s="182" t="inlineStr">
        <is>
          <t>10.3.02.03-0013</t>
        </is>
      </c>
      <c r="C56" s="190" t="inlineStr">
        <is>
          <t>Припои оловянно-свинцовые бессурьмянистые, марка ПОС61</t>
        </is>
      </c>
      <c r="D56" s="182" t="inlineStr">
        <is>
          <t>т</t>
        </is>
      </c>
      <c r="E56" s="353" t="n">
        <v>6.4e-06</v>
      </c>
      <c r="F56" s="190" t="n">
        <v>114062.5</v>
      </c>
      <c r="G56" s="32">
        <f>ROUND(E56*F56,2)</f>
        <v/>
      </c>
      <c r="H56" s="127">
        <f>G56/$G$64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70" t="n">
        <v>28</v>
      </c>
      <c r="B57" s="182" t="inlineStr">
        <is>
          <t>01.7.15.03-0042</t>
        </is>
      </c>
      <c r="C57" s="190" t="inlineStr">
        <is>
          <t>Болты с гайками и шайбами строительные</t>
        </is>
      </c>
      <c r="D57" s="182" t="inlineStr">
        <is>
          <t>кг</t>
        </is>
      </c>
      <c r="E57" s="353" t="n">
        <v>0.06</v>
      </c>
      <c r="F57" s="190" t="n">
        <v>9</v>
      </c>
      <c r="G57" s="32">
        <f>ROUND(E57*F57,2)</f>
        <v/>
      </c>
      <c r="H57" s="127">
        <f>G57/$G$64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70" t="n">
        <v>29</v>
      </c>
      <c r="B58" s="182" t="inlineStr">
        <is>
          <t>01.3.01.05-0009</t>
        </is>
      </c>
      <c r="C58" s="190" t="inlineStr">
        <is>
          <t>Парафин нефтяной твердый Т-1</t>
        </is>
      </c>
      <c r="D58" s="182" t="inlineStr">
        <is>
          <t>т</t>
        </is>
      </c>
      <c r="E58" s="353" t="n">
        <v>4e-05</v>
      </c>
      <c r="F58" s="190" t="n">
        <v>8000</v>
      </c>
      <c r="G58" s="32">
        <f>ROUND(E58*F58,2)</f>
        <v/>
      </c>
      <c r="H58" s="127">
        <f>G58/$G$64</f>
        <v/>
      </c>
      <c r="I58" s="32">
        <f>ROUND(F58*'Прил. 10'!$D$13,2)</f>
        <v/>
      </c>
      <c r="J58" s="32">
        <f>ROUND(I58*E58,2)</f>
        <v/>
      </c>
    </row>
    <row r="59" hidden="1" outlineLevel="1" ht="14.25" customFormat="1" customHeight="1" s="12">
      <c r="A59" s="270" t="n">
        <v>30</v>
      </c>
      <c r="B59" s="182" t="inlineStr">
        <is>
          <t>24.3.01.01-0002</t>
        </is>
      </c>
      <c r="C59" s="190" t="inlineStr">
        <is>
          <t>Трубка полихлорвиниловая</t>
        </is>
      </c>
      <c r="D59" s="182" t="inlineStr">
        <is>
          <t>кг</t>
        </is>
      </c>
      <c r="E59" s="353" t="n">
        <v>0.0032</v>
      </c>
      <c r="F59" s="190" t="n">
        <v>34.38</v>
      </c>
      <c r="G59" s="32">
        <f>ROUND(E59*F59,2)</f>
        <v/>
      </c>
      <c r="H59" s="127">
        <f>G59/$G$64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70" t="n">
        <v>31</v>
      </c>
      <c r="B60" s="182" t="inlineStr">
        <is>
          <t>01.3.01.07-0009</t>
        </is>
      </c>
      <c r="C60" s="190" t="inlineStr">
        <is>
          <t>Спирт этиловый ректификованный технический, сорт I</t>
        </is>
      </c>
      <c r="D60" s="182" t="inlineStr">
        <is>
          <t>кг</t>
        </is>
      </c>
      <c r="E60" s="353" t="n">
        <v>0.00232</v>
      </c>
      <c r="F60" s="190" t="n">
        <v>38.79</v>
      </c>
      <c r="G60" s="32">
        <f>ROUND(E60*F60,2)</f>
        <v/>
      </c>
      <c r="H60" s="127">
        <f>G60/$G$64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70" t="n">
        <v>32</v>
      </c>
      <c r="B61" s="182" t="inlineStr">
        <is>
          <t>01.3.05.17-0002</t>
        </is>
      </c>
      <c r="C61" s="190" t="inlineStr">
        <is>
          <t>Канифоль сосновая</t>
        </is>
      </c>
      <c r="D61" s="182" t="inlineStr">
        <is>
          <t>кг</t>
        </is>
      </c>
      <c r="E61" s="353" t="n">
        <v>0.00152</v>
      </c>
      <c r="F61" s="190" t="n">
        <v>26.32</v>
      </c>
      <c r="G61" s="32">
        <f>ROUND(E61*F61,2)</f>
        <v/>
      </c>
      <c r="H61" s="127">
        <f>G61/$G$64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70" t="n">
        <v>33</v>
      </c>
      <c r="B62" s="182" t="inlineStr">
        <is>
          <t>01.3.05.11-0001</t>
        </is>
      </c>
      <c r="C62" s="190" t="inlineStr">
        <is>
          <t>Дихлорэтан технический, сорт I</t>
        </is>
      </c>
      <c r="D62" s="182" t="inlineStr">
        <is>
          <t>т</t>
        </is>
      </c>
      <c r="E62" s="354" t="n">
        <v>1.6e-06</v>
      </c>
      <c r="F62" s="190" t="n">
        <v>6250</v>
      </c>
      <c r="G62" s="32">
        <f>ROUND(E62*F62,2)</f>
        <v/>
      </c>
      <c r="H62" s="127">
        <f>G62/$G$64</f>
        <v/>
      </c>
      <c r="I62" s="32">
        <f>ROUND(F62*'Прил. 10'!$D$13,2)</f>
        <v/>
      </c>
      <c r="J62" s="32">
        <f>ROUND(I62*E62,2)</f>
        <v/>
      </c>
    </row>
    <row r="63" collapsed="1" ht="14.25" customFormat="1" customHeight="1" s="12">
      <c r="A63" s="270" t="n"/>
      <c r="B63" s="270" t="n"/>
      <c r="C63" s="278" t="inlineStr">
        <is>
          <t>Итого прочие материалы</t>
        </is>
      </c>
      <c r="D63" s="270" t="n"/>
      <c r="E63" s="348" t="n"/>
      <c r="F63" s="280" t="n"/>
      <c r="G63" s="32">
        <f>SUM(G40:G62)</f>
        <v/>
      </c>
      <c r="H63" s="127">
        <f>G63/$G$64</f>
        <v/>
      </c>
      <c r="I63" s="32" t="n"/>
      <c r="J63" s="32">
        <f>SUM(J40:J62)</f>
        <v/>
      </c>
    </row>
    <row r="64" ht="14.25" customFormat="1" customHeight="1" s="12">
      <c r="A64" s="270" t="n"/>
      <c r="B64" s="270" t="n"/>
      <c r="C64" s="257" t="inlineStr">
        <is>
          <t>Итого по разделу «Материалы»</t>
        </is>
      </c>
      <c r="D64" s="270" t="n"/>
      <c r="E64" s="279" t="n"/>
      <c r="F64" s="280" t="n"/>
      <c r="G64" s="32">
        <f>G39+G63</f>
        <v/>
      </c>
      <c r="H64" s="281">
        <f>G64/$G$64</f>
        <v/>
      </c>
      <c r="I64" s="32" t="n"/>
      <c r="J64" s="32">
        <f>J39+J63</f>
        <v/>
      </c>
    </row>
    <row r="65" ht="14.25" customFormat="1" customHeight="1" s="12">
      <c r="A65" s="270" t="n"/>
      <c r="B65" s="270" t="n"/>
      <c r="C65" s="278" t="inlineStr">
        <is>
          <t>ИТОГО ПО РМ</t>
        </is>
      </c>
      <c r="D65" s="270" t="n"/>
      <c r="E65" s="279" t="n"/>
      <c r="F65" s="280" t="n"/>
      <c r="G65" s="32">
        <f>G15+G27+G64</f>
        <v/>
      </c>
      <c r="H65" s="281" t="n"/>
      <c r="I65" s="32" t="n"/>
      <c r="J65" s="32">
        <f>J15+J27+J64</f>
        <v/>
      </c>
    </row>
    <row r="66" ht="14.25" customFormat="1" customHeight="1" s="12">
      <c r="A66" s="270" t="n"/>
      <c r="B66" s="270" t="n"/>
      <c r="C66" s="278" t="inlineStr">
        <is>
          <t>Накладные расходы</t>
        </is>
      </c>
      <c r="D66" s="210">
        <f>ROUND(G66/(G$17+$G$15),2)</f>
        <v/>
      </c>
      <c r="E66" s="279" t="n"/>
      <c r="F66" s="280" t="n"/>
      <c r="G66" s="32" t="n">
        <v>345.74</v>
      </c>
      <c r="H66" s="281" t="n"/>
      <c r="I66" s="32" t="n"/>
      <c r="J66" s="32">
        <f>ROUND(D66*(J15+J17),2)</f>
        <v/>
      </c>
    </row>
    <row r="67" ht="14.25" customFormat="1" customHeight="1" s="12">
      <c r="A67" s="270" t="n"/>
      <c r="B67" s="270" t="n"/>
      <c r="C67" s="278" t="inlineStr">
        <is>
          <t>Сметная прибыль</t>
        </is>
      </c>
      <c r="D67" s="210">
        <f>ROUND(G67/(G$15+G$17),2)</f>
        <v/>
      </c>
      <c r="E67" s="279" t="n"/>
      <c r="F67" s="280" t="n"/>
      <c r="G67" s="32" t="n">
        <v>181.69</v>
      </c>
      <c r="H67" s="281" t="n"/>
      <c r="I67" s="32" t="n"/>
      <c r="J67" s="32">
        <f>ROUND(D67*(J15+J17),2)</f>
        <v/>
      </c>
    </row>
    <row r="68" ht="14.25" customFormat="1" customHeight="1" s="12">
      <c r="A68" s="270" t="n"/>
      <c r="B68" s="270" t="n"/>
      <c r="C68" s="278" t="inlineStr">
        <is>
          <t>Итого СМР (с НР и СП)</t>
        </is>
      </c>
      <c r="D68" s="270" t="n"/>
      <c r="E68" s="279" t="n"/>
      <c r="F68" s="280" t="n"/>
      <c r="G68" s="32">
        <f>G15+G27+G64+G66+G67</f>
        <v/>
      </c>
      <c r="H68" s="281" t="n"/>
      <c r="I68" s="32" t="n"/>
      <c r="J68" s="32">
        <f>J15+J27+J64+J66+J67</f>
        <v/>
      </c>
    </row>
    <row r="69" ht="14.25" customFormat="1" customHeight="1" s="12">
      <c r="A69" s="270" t="n"/>
      <c r="B69" s="270" t="n"/>
      <c r="C69" s="278" t="inlineStr">
        <is>
          <t>ВСЕГО СМР + ОБОРУДОВАНИЕ</t>
        </is>
      </c>
      <c r="D69" s="270" t="n"/>
      <c r="E69" s="279" t="n"/>
      <c r="F69" s="280" t="n"/>
      <c r="G69" s="32">
        <f>G68+G33</f>
        <v/>
      </c>
      <c r="H69" s="281" t="n"/>
      <c r="I69" s="32" t="n"/>
      <c r="J69" s="32">
        <f>J68+J33</f>
        <v/>
      </c>
    </row>
    <row r="70" ht="34.5" customFormat="1" customHeight="1" s="12">
      <c r="A70" s="270" t="n"/>
      <c r="B70" s="270" t="n"/>
      <c r="C70" s="278" t="inlineStr">
        <is>
          <t>ИТОГО ПОКАЗАТЕЛЬ НА ЕД. ИЗМ.</t>
        </is>
      </c>
      <c r="D70" s="270" t="inlineStr">
        <is>
          <t>1 ед.</t>
        </is>
      </c>
      <c r="E70" s="355" t="n">
        <v>1</v>
      </c>
      <c r="F70" s="280" t="n"/>
      <c r="G70" s="32">
        <f>G69/E70</f>
        <v/>
      </c>
      <c r="H70" s="281" t="n"/>
      <c r="I70" s="32" t="n"/>
      <c r="J70" s="32">
        <f>J69/E70</f>
        <v/>
      </c>
    </row>
    <row r="72" ht="14.25" customFormat="1" customHeight="1" s="12">
      <c r="A72" s="4" t="inlineStr">
        <is>
          <t>Составил ______________________    А.Р. Маркова</t>
        </is>
      </c>
      <c r="B72" s="208" t="n"/>
      <c r="D72" s="209" t="n"/>
      <c r="E72" s="209" t="n"/>
      <c r="F72" s="209" t="n"/>
    </row>
    <row r="73" ht="14.25" customFormat="1" customHeight="1" s="12">
      <c r="A73" s="33" t="inlineStr">
        <is>
          <t xml:space="preserve">                         (подпись, инициалы, фамилия)</t>
        </is>
      </c>
      <c r="B73" s="208" t="n"/>
      <c r="D73" s="209" t="n"/>
      <c r="E73" s="209" t="n"/>
      <c r="F73" s="209" t="n"/>
    </row>
    <row r="74" ht="14.25" customFormat="1" customHeight="1" s="12">
      <c r="A74" s="4" t="n"/>
      <c r="B74" s="208" t="n"/>
      <c r="D74" s="209" t="n"/>
      <c r="E74" s="209" t="n"/>
      <c r="F74" s="209" t="n"/>
    </row>
    <row r="75" ht="14.25" customFormat="1" customHeight="1" s="12">
      <c r="A75" s="4" t="inlineStr">
        <is>
          <t>Проверил ______________________        А.В. Костянецкая</t>
        </is>
      </c>
      <c r="B75" s="208" t="n"/>
      <c r="D75" s="209" t="n"/>
      <c r="E75" s="209" t="n"/>
      <c r="F75" s="209" t="n"/>
    </row>
    <row r="76" ht="14.25" customFormat="1" customHeight="1" s="12">
      <c r="A76" s="33" t="inlineStr">
        <is>
          <t xml:space="preserve">                        (подпись, инициалы, фамилия)</t>
        </is>
      </c>
      <c r="B76" s="208" t="n"/>
      <c r="D76" s="209" t="n"/>
      <c r="E76" s="209" t="n"/>
      <c r="F76" s="209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6" t="inlineStr">
        <is>
          <t>Приложение №6</t>
        </is>
      </c>
    </row>
    <row r="2" ht="21.75" customHeight="1">
      <c r="A2" s="286" t="n"/>
      <c r="B2" s="286" t="n"/>
      <c r="C2" s="286" t="n"/>
      <c r="D2" s="286" t="n"/>
      <c r="E2" s="286" t="n"/>
      <c r="F2" s="286" t="n"/>
      <c r="G2" s="286" t="n"/>
    </row>
    <row r="3">
      <c r="A3" s="239" t="inlineStr">
        <is>
          <t>Расчет стоимости оборудования</t>
        </is>
      </c>
    </row>
    <row r="4" ht="25.5" customHeight="1">
      <c r="A4" s="242" t="inlineStr">
        <is>
          <t>Наименование разрабатываемого показателя УНЦ — Шкафы УПАСК ВЧ 2 архитектуры. Приемник по ВЧКС на 16 команд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1" t="inlineStr">
        <is>
          <t>№ пп.</t>
        </is>
      </c>
      <c r="B6" s="291" t="inlineStr">
        <is>
          <t>Код ресурса</t>
        </is>
      </c>
      <c r="C6" s="291" t="inlineStr">
        <is>
          <t>Наименование</t>
        </is>
      </c>
      <c r="D6" s="291" t="inlineStr">
        <is>
          <t>Ед. изм.</t>
        </is>
      </c>
      <c r="E6" s="270" t="inlineStr">
        <is>
          <t>Кол-во единиц по проектным данным</t>
        </is>
      </c>
      <c r="F6" s="291" t="inlineStr">
        <is>
          <t>Сметная стоимость в ценах на 01.01.2000 (руб.)</t>
        </is>
      </c>
      <c r="G6" s="337" t="n"/>
    </row>
    <row r="7">
      <c r="A7" s="339" t="n"/>
      <c r="B7" s="339" t="n"/>
      <c r="C7" s="339" t="n"/>
      <c r="D7" s="339" t="n"/>
      <c r="E7" s="339" t="n"/>
      <c r="F7" s="270" t="inlineStr">
        <is>
          <t>на ед. изм.</t>
        </is>
      </c>
      <c r="G7" s="270" t="inlineStr">
        <is>
          <t>общая</t>
        </is>
      </c>
    </row>
    <row r="8">
      <c r="A8" s="270" t="n">
        <v>1</v>
      </c>
      <c r="B8" s="270" t="n">
        <v>2</v>
      </c>
      <c r="C8" s="270" t="n">
        <v>3</v>
      </c>
      <c r="D8" s="270" t="n">
        <v>4</v>
      </c>
      <c r="E8" s="270" t="n">
        <v>5</v>
      </c>
      <c r="F8" s="270" t="n">
        <v>6</v>
      </c>
      <c r="G8" s="270" t="n">
        <v>7</v>
      </c>
    </row>
    <row r="9" ht="15" customHeight="1">
      <c r="A9" s="25" t="n"/>
      <c r="B9" s="278" t="inlineStr">
        <is>
          <t>ИНЖЕНЕРНОЕ ОБОРУДОВАНИЕ</t>
        </is>
      </c>
      <c r="C9" s="336" t="n"/>
      <c r="D9" s="336" t="n"/>
      <c r="E9" s="336" t="n"/>
      <c r="F9" s="336" t="n"/>
      <c r="G9" s="337" t="n"/>
    </row>
    <row r="10" ht="27" customHeight="1">
      <c r="A10" s="270" t="n"/>
      <c r="B10" s="257" t="n"/>
      <c r="C10" s="278" t="inlineStr">
        <is>
          <t>ИТОГО ИНЖЕНЕРНОЕ ОБОРУДОВАНИЕ</t>
        </is>
      </c>
      <c r="D10" s="257" t="n"/>
      <c r="E10" s="105" t="n"/>
      <c r="F10" s="280" t="n"/>
      <c r="G10" s="280" t="n">
        <v>0</v>
      </c>
    </row>
    <row r="11">
      <c r="A11" s="270" t="n"/>
      <c r="B11" s="278" t="inlineStr">
        <is>
          <t>ТЕХНОЛОГИЧЕСКОЕ ОБОРУДОВАНИЕ</t>
        </is>
      </c>
      <c r="C11" s="336" t="n"/>
      <c r="D11" s="336" t="n"/>
      <c r="E11" s="336" t="n"/>
      <c r="F11" s="336" t="n"/>
      <c r="G11" s="337" t="n"/>
    </row>
    <row r="12" ht="46.9" customHeight="1">
      <c r="A12" s="270" t="n">
        <v>1</v>
      </c>
      <c r="B12" s="183">
        <f>'Прил.5 Расчет СМР и ОБ'!B30</f>
        <v/>
      </c>
      <c r="C12" s="278">
        <f>'Прил.5 Расчет СМР и ОБ'!C30</f>
        <v/>
      </c>
      <c r="D12" s="270">
        <f>'Прил.5 Расчет СМР и ОБ'!D30</f>
        <v/>
      </c>
      <c r="E12" s="348">
        <f>'Прил.5 Расчет СМР и ОБ'!E30</f>
        <v/>
      </c>
      <c r="F12" s="290">
        <f>'Прил.5 Расчет СМР и ОБ'!F30</f>
        <v/>
      </c>
      <c r="G12" s="32">
        <f>ROUND(E12*F12,2)</f>
        <v/>
      </c>
    </row>
    <row r="13" ht="25.5" customHeight="1">
      <c r="A13" s="270" t="n"/>
      <c r="B13" s="278" t="n"/>
      <c r="C13" s="278" t="inlineStr">
        <is>
          <t>ИТОГО ТЕХНОЛОГИЧЕСКОЕ ОБОРУДОВАНИЕ</t>
        </is>
      </c>
      <c r="D13" s="278" t="n"/>
      <c r="E13" s="290" t="n"/>
      <c r="F13" s="280" t="n"/>
      <c r="G13" s="32">
        <f>SUM(G12:G12)</f>
        <v/>
      </c>
    </row>
    <row r="14" ht="19.5" customHeight="1">
      <c r="A14" s="270" t="n"/>
      <c r="B14" s="278" t="n"/>
      <c r="C14" s="278" t="inlineStr">
        <is>
          <t>Всего по разделу «Оборудование»</t>
        </is>
      </c>
      <c r="D14" s="278" t="n"/>
      <c r="E14" s="290" t="n"/>
      <c r="F14" s="280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6" t="inlineStr">
        <is>
          <t>Приложение №7</t>
        </is>
      </c>
    </row>
    <row r="2">
      <c r="A2" s="286" t="n"/>
      <c r="B2" s="286" t="n"/>
      <c r="C2" s="286" t="n"/>
      <c r="D2" s="286" t="n"/>
    </row>
    <row r="3" ht="24.75" customHeight="1">
      <c r="A3" s="239" t="inlineStr">
        <is>
          <t>Расчет показателя УНЦ</t>
        </is>
      </c>
    </row>
    <row r="4" ht="24.75" customHeight="1">
      <c r="A4" s="239" t="n"/>
      <c r="B4" s="239" t="n"/>
      <c r="C4" s="239" t="n"/>
      <c r="D4" s="239" t="n"/>
    </row>
    <row r="5" ht="24.6" customHeight="1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ОБ'!D6:J6</f>
        <v/>
      </c>
    </row>
    <row r="6" ht="19.9" customHeight="1">
      <c r="A6" s="242" t="inlineStr">
        <is>
          <t>Единица измерения  — 1 ед</t>
        </is>
      </c>
      <c r="D6" s="242" t="n"/>
    </row>
    <row r="7">
      <c r="A7" s="4" t="n"/>
      <c r="B7" s="4" t="n"/>
      <c r="C7" s="4" t="n"/>
      <c r="D7" s="4" t="n"/>
    </row>
    <row r="8" ht="14.45" customHeight="1">
      <c r="A8" s="255" t="inlineStr">
        <is>
          <t>Код показателя</t>
        </is>
      </c>
      <c r="B8" s="255" t="inlineStr">
        <is>
          <t>Наименование показателя</t>
        </is>
      </c>
      <c r="C8" s="255" t="inlineStr">
        <is>
          <t>Наименование РМ, входящих в состав показателя</t>
        </is>
      </c>
      <c r="D8" s="255" t="inlineStr">
        <is>
          <t>Норматив цены на 01.01.2023, тыс.руб.</t>
        </is>
      </c>
    </row>
    <row r="9" ht="15" customHeight="1">
      <c r="A9" s="339" t="n"/>
      <c r="B9" s="339" t="n"/>
      <c r="C9" s="339" t="n"/>
      <c r="D9" s="339" t="n"/>
    </row>
    <row r="10">
      <c r="A10" s="270" t="n">
        <v>1</v>
      </c>
      <c r="B10" s="270" t="n">
        <v>2</v>
      </c>
      <c r="C10" s="270" t="n">
        <v>3</v>
      </c>
      <c r="D10" s="270" t="n">
        <v>4</v>
      </c>
    </row>
    <row r="11" ht="41.45" customHeight="1">
      <c r="A11" s="270" t="inlineStr">
        <is>
          <t>А8-33</t>
        </is>
      </c>
      <c r="B11" s="270" t="inlineStr">
        <is>
          <t xml:space="preserve">УНЦ систем ПА, УПАСК </t>
        </is>
      </c>
      <c r="C11" s="159">
        <f>D5</f>
        <v/>
      </c>
      <c r="D11" s="3">
        <f>'Прил.4 РМ'!C41/1000</f>
        <v/>
      </c>
      <c r="E11" s="158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4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9" t="inlineStr">
        <is>
          <t>Приложение № 10</t>
        </is>
      </c>
    </row>
    <row r="5" ht="18.75" customHeight="1">
      <c r="B5" s="117" t="n"/>
    </row>
    <row r="6" ht="15.75" customHeight="1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292" t="n"/>
    </row>
    <row r="8">
      <c r="B8" s="292" t="n"/>
      <c r="C8" s="292" t="n"/>
      <c r="D8" s="292" t="n"/>
      <c r="E8" s="292" t="n"/>
    </row>
    <row r="9" ht="47.25" customHeight="1">
      <c r="B9" s="255" t="inlineStr">
        <is>
          <t>Наименование индекса / норм сопутствующих затрат</t>
        </is>
      </c>
      <c r="C9" s="255" t="inlineStr">
        <is>
          <t>Дата применения и обоснование индекса / норм сопутствующих затрат</t>
        </is>
      </c>
      <c r="D9" s="255" t="inlineStr">
        <is>
          <t>Размер индекса / норма сопутствующих затрат</t>
        </is>
      </c>
    </row>
    <row r="10" ht="15.75" customHeight="1">
      <c r="B10" s="255" t="n">
        <v>1</v>
      </c>
      <c r="C10" s="255" t="n">
        <v>2</v>
      </c>
      <c r="D10" s="255" t="n">
        <v>3</v>
      </c>
    </row>
    <row r="11" ht="31.5" customHeight="1">
      <c r="B11" s="255" t="inlineStr">
        <is>
          <t xml:space="preserve">Индекс изменения сметной стоимости на 1 квартал 2023 года. ОЗП </t>
        </is>
      </c>
      <c r="C11" s="255" t="inlineStr">
        <is>
          <t>Письмо Минстроя России от 30.03.2023г. №17106-ИФ/09  прил.1</t>
        </is>
      </c>
      <c r="D11" s="255" t="n">
        <v>44.29</v>
      </c>
    </row>
    <row r="12" ht="31.5" customHeight="1">
      <c r="B12" s="255" t="inlineStr">
        <is>
          <t>Индекс изменения сметной стоимости на 1 квартал 2023 года. ЭМ</t>
        </is>
      </c>
      <c r="C12" s="255" t="inlineStr">
        <is>
          <t>Письмо Минстроя России от 30.03.2023г. №17106-ИФ/09  прил.1</t>
        </is>
      </c>
      <c r="D12" s="255" t="n">
        <v>13.47</v>
      </c>
    </row>
    <row r="13" ht="31.5" customHeight="1">
      <c r="B13" s="255" t="inlineStr">
        <is>
          <t>Индекс изменения сметной стоимости на 1 квартал 2023 года. МАТ</t>
        </is>
      </c>
      <c r="C13" s="255" t="inlineStr">
        <is>
          <t>Письмо Минстроя России от 30.03.2023г. №17106-ИФ/09  прил.1</t>
        </is>
      </c>
      <c r="D13" s="255" t="n">
        <v>8.039999999999999</v>
      </c>
    </row>
    <row r="14" ht="31.5" customHeight="1">
      <c r="B14" s="255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5" t="n">
        <v>6.26</v>
      </c>
    </row>
    <row r="15" ht="78.75" customHeight="1">
      <c r="B15" s="255" t="inlineStr">
        <is>
          <t>Временные здания и сооружения</t>
        </is>
      </c>
      <c r="C15" s="2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5" t="inlineStr">
        <is>
          <t>Дополнительные затраты при производстве строительно-монтажных работ в зимнее время</t>
        </is>
      </c>
      <c r="C16" s="2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5" t="inlineStr">
        <is>
          <t>Пусконаладочные работы*</t>
        </is>
      </c>
      <c r="C17" s="255" t="n"/>
      <c r="D17" s="120" t="inlineStr">
        <is>
          <t>Расчет</t>
        </is>
      </c>
    </row>
    <row r="18" ht="31.5" customHeight="1">
      <c r="B18" s="255" t="inlineStr">
        <is>
          <t>Строительный контроль</t>
        </is>
      </c>
      <c r="C18" s="255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5" t="inlineStr">
        <is>
          <t>Авторский надзор - 0,2%</t>
        </is>
      </c>
      <c r="C19" s="255" t="inlineStr">
        <is>
          <t>Приказ от 4.08.2020 № 421/пр п.173</t>
        </is>
      </c>
      <c r="D19" s="120" t="n">
        <v>0.002</v>
      </c>
    </row>
    <row r="20" ht="15.75" customHeight="1">
      <c r="B20" s="255" t="inlineStr">
        <is>
          <t>Непредвиденные расходы</t>
        </is>
      </c>
      <c r="C20" s="255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0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8" customHeight="1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5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6" customHeight="1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141" t="n"/>
    </row>
    <row r="6" ht="15.6" customHeight="1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141" t="n"/>
    </row>
    <row r="7" ht="109.15" customHeight="1">
      <c r="A7" s="217" t="inlineStr">
        <is>
          <t>1.1</t>
        </is>
      </c>
      <c r="B7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5" t="inlineStr">
        <is>
          <t>С1ср</t>
        </is>
      </c>
      <c r="D7" s="255" t="inlineStr">
        <is>
          <t>-</t>
        </is>
      </c>
      <c r="E7" s="61" t="n">
        <v>47872.94</v>
      </c>
      <c r="F7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15" customHeight="1">
      <c r="A8" s="217" t="inlineStr">
        <is>
          <t>1.2</t>
        </is>
      </c>
      <c r="B8" s="218" t="inlineStr">
        <is>
          <t>Среднегодовое нормативное число часов работы одного рабочего в месяц, часы (ч.)</t>
        </is>
      </c>
      <c r="C8" s="255" t="inlineStr">
        <is>
          <t>tср</t>
        </is>
      </c>
      <c r="D8" s="255" t="inlineStr">
        <is>
          <t>1973ч/12мес.</t>
        </is>
      </c>
      <c r="E8" s="219">
        <f>1973/12</f>
        <v/>
      </c>
      <c r="F8" s="218" t="inlineStr">
        <is>
          <t>Производственный календарь 2023 год
(40-часов.неделя)</t>
        </is>
      </c>
      <c r="G8" s="220" t="n"/>
    </row>
    <row r="9" ht="15.6" customHeight="1">
      <c r="A9" s="217" t="inlineStr">
        <is>
          <t>1.3</t>
        </is>
      </c>
      <c r="B9" s="218" t="inlineStr">
        <is>
          <t>Коэффициент увеличения</t>
        </is>
      </c>
      <c r="C9" s="255" t="inlineStr">
        <is>
          <t>Кув</t>
        </is>
      </c>
      <c r="D9" s="255" t="inlineStr">
        <is>
          <t>-</t>
        </is>
      </c>
      <c r="E9" s="219" t="n">
        <v>1</v>
      </c>
      <c r="F9" s="218" t="n"/>
      <c r="G9" s="220" t="n"/>
    </row>
    <row r="10" ht="15.6" customHeight="1">
      <c r="A10" s="217" t="inlineStr">
        <is>
          <t>1.4</t>
        </is>
      </c>
      <c r="B10" s="218" t="inlineStr">
        <is>
          <t>Средний разряд работ</t>
        </is>
      </c>
      <c r="C10" s="255" t="n"/>
      <c r="D10" s="255" t="n"/>
      <c r="E10" s="356" t="n">
        <v>3.8</v>
      </c>
      <c r="F10" s="218" t="inlineStr">
        <is>
          <t>РТМ</t>
        </is>
      </c>
      <c r="G10" s="220" t="n"/>
    </row>
    <row r="11" ht="78" customHeight="1">
      <c r="A11" s="217" t="inlineStr">
        <is>
          <t>1.5</t>
        </is>
      </c>
      <c r="B11" s="218" t="inlineStr">
        <is>
          <t>Тарифный коэффициент среднего разряда работ</t>
        </is>
      </c>
      <c r="C11" s="255" t="inlineStr">
        <is>
          <t>КТ</t>
        </is>
      </c>
      <c r="D11" s="255" t="inlineStr">
        <is>
          <t>-</t>
        </is>
      </c>
      <c r="E11" s="357" t="n">
        <v>1.308</v>
      </c>
      <c r="F11" s="2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" customHeight="1">
      <c r="A12" s="223" t="inlineStr">
        <is>
          <t>1.6</t>
        </is>
      </c>
      <c r="B12" s="231" t="inlineStr">
        <is>
          <t>Коэффициент инфляции, определяемый поквартально</t>
        </is>
      </c>
      <c r="C12" s="256" t="inlineStr">
        <is>
          <t>Кинф</t>
        </is>
      </c>
      <c r="D12" s="256" t="inlineStr">
        <is>
          <t>-</t>
        </is>
      </c>
      <c r="E12" s="358" t="n">
        <v>1.139</v>
      </c>
      <c r="F12" s="2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0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34" t="inlineStr">
        <is>
          <t>1.7</t>
        </is>
      </c>
      <c r="B13" s="235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237">
        <f>((E7*E9/E8)*E11)*E12</f>
        <v/>
      </c>
      <c r="F13" s="2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2025-01-24T11:53:05Z</dcterms:modified>
  <cp:lastModifiedBy>112</cp:lastModifiedBy>
</cp:coreProperties>
</file>