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720" tabRatio="924" firstSheet="4" activeTab="8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3'!$A$1:$H$60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ОБ'!$A$1:$J$80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0.000"/>
    <numFmt numFmtId="169" formatCode="#,##0.0"/>
    <numFmt numFmtId="170" formatCode="#,##0.000"/>
  </numFmts>
  <fonts count="33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00"/>
      <sz val="10"/>
    </font>
    <font>
      <name val="Times New Roman"/>
      <color rgb="FF0000FF"/>
      <sz val="12"/>
      <u val="single"/>
    </font>
    <font>
      <name val="Calibri"/>
      <b val="1"/>
      <color rgb="FF000000"/>
      <sz val="12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352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8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8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9" fillId="0" borderId="0" pivotButton="0" quotePrefix="0" xfId="0"/>
    <xf numFmtId="0" fontId="16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10" fontId="0" fillId="0" borderId="0" pivotButton="0" quotePrefix="0" xfId="0"/>
    <xf numFmtId="4" fontId="18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10" fontId="16" fillId="0" borderId="0" pivotButton="0" quotePrefix="0" xfId="0"/>
    <xf numFmtId="43" fontId="2" fillId="0" borderId="1" applyAlignment="1" pivotButton="0" quotePrefix="0" xfId="0">
      <alignment vertical="center" wrapText="1"/>
    </xf>
    <xf numFmtId="0" fontId="20" fillId="0" borderId="0" applyAlignment="1" pivotButton="0" quotePrefix="0" xfId="0">
      <alignment horizontal="center" vertical="center"/>
    </xf>
    <xf numFmtId="167" fontId="16" fillId="0" borderId="0" pivotButton="0" quotePrefix="0" xfId="0"/>
    <xf numFmtId="166" fontId="1" fillId="0" borderId="4" applyAlignment="1" pivotButton="0" quotePrefix="0" xfId="0">
      <alignment horizontal="center" vertical="center" wrapText="1"/>
    </xf>
    <xf numFmtId="4" fontId="1" fillId="4" borderId="1" applyAlignment="1" pivotButton="0" quotePrefix="0" xfId="0">
      <alignment horizontal="right" vertical="center" wrapText="1"/>
    </xf>
    <xf numFmtId="0" fontId="1" fillId="4" borderId="1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vertical="center" wrapText="1"/>
    </xf>
    <xf numFmtId="0" fontId="1" fillId="4" borderId="1" applyAlignment="1" pivotButton="0" quotePrefix="0" xfId="0">
      <alignment vertical="top" wrapText="1"/>
    </xf>
    <xf numFmtId="0" fontId="1" fillId="4" borderId="1" applyAlignment="1" pivotButton="0" quotePrefix="0" xfId="0">
      <alignment horizontal="center" vertical="top" wrapText="1"/>
    </xf>
    <xf numFmtId="0" fontId="16" fillId="0" borderId="0" applyAlignment="1" pivotButton="0" quotePrefix="0" xfId="0">
      <alignment horizontal="center" vertical="top"/>
    </xf>
    <xf numFmtId="0" fontId="16" fillId="0" borderId="5" applyAlignment="1" pivotButton="0" quotePrefix="0" xfId="0">
      <alignment horizontal="center" vertical="top" wrapText="1"/>
    </xf>
    <xf numFmtId="0" fontId="16" fillId="0" borderId="0" applyAlignment="1" pivotButton="0" quotePrefix="0" xfId="0">
      <alignment vertical="top"/>
    </xf>
    <xf numFmtId="0" fontId="16" fillId="0" borderId="0" applyAlignment="1" pivotButton="0" quotePrefix="0" xfId="0">
      <alignment horizontal="left" vertical="top"/>
    </xf>
    <xf numFmtId="166" fontId="1" fillId="4" borderId="1" applyAlignment="1" pivotButton="0" quotePrefix="0" xfId="0">
      <alignment horizontal="center" vertical="center" wrapText="1"/>
    </xf>
    <xf numFmtId="168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vertical="center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0" fontId="1" fillId="4" borderId="1" applyAlignment="1" pivotButton="0" quotePrefix="0" xfId="0">
      <alignment horizontal="right" vertical="center" wrapText="1"/>
    </xf>
    <xf numFmtId="0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vertical="center"/>
    </xf>
    <xf numFmtId="10" fontId="2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" fillId="0" borderId="4" applyAlignment="1" pivotButton="0" quotePrefix="0" xfId="0">
      <alignment vertical="center" wrapText="1"/>
    </xf>
    <xf numFmtId="166" fontId="1" fillId="4" borderId="1" applyAlignment="1" pivotButton="0" quotePrefix="0" xfId="0">
      <alignment horizontal="center" vertical="top" wrapText="1"/>
    </xf>
    <xf numFmtId="1" fontId="1" fillId="0" borderId="0" applyAlignment="1" pivotButton="0" quotePrefix="0" xfId="0">
      <alignment horizontal="center" vertical="top" wrapText="1"/>
    </xf>
    <xf numFmtId="0" fontId="8" fillId="0" borderId="0" applyAlignment="1" pivotButton="0" quotePrefix="0" xfId="0">
      <alignment wrapText="1"/>
    </xf>
    <xf numFmtId="4" fontId="1" fillId="0" borderId="0" applyAlignment="1" pivotButton="0" quotePrefix="0" xfId="0">
      <alignment vertical="top" wrapText="1"/>
    </xf>
    <xf numFmtId="4" fontId="1" fillId="0" borderId="0" applyAlignment="1" pivotButton="0" quotePrefix="0" xfId="0">
      <alignment horizontal="left" vertical="center" wrapText="1"/>
    </xf>
    <xf numFmtId="49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4" fontId="16" fillId="0" borderId="1" applyAlignment="1" pivotButton="0" quotePrefix="0" xfId="0">
      <alignment horizontal="center" vertical="center"/>
    </xf>
    <xf numFmtId="0" fontId="22" fillId="0" borderId="0" applyAlignment="1" pivotButton="0" quotePrefix="0" xfId="0">
      <alignment vertical="center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 vertical="center" wrapText="1"/>
    </xf>
    <xf numFmtId="43" fontId="2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vertical="center"/>
    </xf>
    <xf numFmtId="49" fontId="1" fillId="4" borderId="1" applyAlignment="1" pivotButton="0" quotePrefix="0" xfId="0">
      <alignment horizontal="center" vertical="center" wrapText="1"/>
    </xf>
    <xf numFmtId="0" fontId="19" fillId="0" borderId="1" applyAlignment="1" pivotButton="0" quotePrefix="0" xfId="0">
      <alignment horizontal="center" vertical="center"/>
    </xf>
    <xf numFmtId="4" fontId="19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1" fontId="1" fillId="0" borderId="1" applyAlignment="1" pivotButton="0" quotePrefix="0" xfId="0">
      <alignment horizontal="center" vertical="center" wrapText="1"/>
    </xf>
    <xf numFmtId="4" fontId="1" fillId="4" borderId="1" applyAlignment="1" pivotButton="0" quotePrefix="0" xfId="0">
      <alignment vertical="center" wrapText="1"/>
    </xf>
    <xf numFmtId="4" fontId="2" fillId="0" borderId="1" applyAlignment="1" pivotButton="0" quotePrefix="0" xfId="0">
      <alignment vertical="center" wrapText="1"/>
    </xf>
    <xf numFmtId="0" fontId="16" fillId="0" borderId="1" pivotButton="0" quotePrefix="0" xfId="0"/>
    <xf numFmtId="4" fontId="16" fillId="0" borderId="6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4" fontId="23" fillId="0" borderId="7" applyAlignment="1" pivotButton="0" quotePrefix="0" xfId="0">
      <alignment vertical="center" wrapText="1"/>
    </xf>
    <xf numFmtId="4" fontId="23" fillId="0" borderId="4" applyAlignment="1" pivotButton="0" quotePrefix="0" xfId="0">
      <alignment vertical="center" wrapText="1"/>
    </xf>
    <xf numFmtId="4" fontId="23" fillId="0" borderId="6" applyAlignment="1" pivotButton="0" quotePrefix="0" xfId="0">
      <alignment vertical="center" wrapText="1"/>
    </xf>
    <xf numFmtId="4" fontId="23" fillId="0" borderId="1" applyAlignment="1" pivotButton="0" quotePrefix="0" xfId="0">
      <alignment vertical="center" wrapText="1"/>
    </xf>
    <xf numFmtId="0" fontId="16" fillId="4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16" fontId="16" fillId="0" borderId="1" applyAlignment="1" pivotButton="0" quotePrefix="1" xfId="0">
      <alignment horizontal="center" vertical="center" wrapText="1"/>
    </xf>
    <xf numFmtId="0" fontId="31" fillId="0" borderId="0" pivotButton="0" quotePrefix="0" xfId="0"/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1" applyAlignment="1" pivotButton="0" quotePrefix="0" xfId="0">
      <alignment horizontal="center" vertical="center"/>
    </xf>
    <xf numFmtId="0" fontId="19" fillId="0" borderId="11" applyAlignment="1" pivotButton="0" quotePrefix="0" xfId="0">
      <alignment vertical="center" wrapText="1"/>
    </xf>
    <xf numFmtId="0" fontId="16" fillId="0" borderId="11" applyAlignment="1" pivotButton="0" quotePrefix="0" xfId="0">
      <alignment horizontal="center" vertical="center" wrapText="1"/>
    </xf>
    <xf numFmtId="4" fontId="19" fillId="0" borderId="11" applyAlignment="1" pivotButton="0" quotePrefix="0" xfId="0">
      <alignment horizontal="center" vertical="center"/>
    </xf>
    <xf numFmtId="0" fontId="16" fillId="0" borderId="11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19" fillId="0" borderId="4" applyAlignment="1" pivotButton="0" quotePrefix="0" xfId="0">
      <alignment horizontal="right" vertical="center" wrapText="1"/>
    </xf>
    <xf numFmtId="0" fontId="19" fillId="0" borderId="3" applyAlignment="1" pivotButton="0" quotePrefix="0" xfId="0">
      <alignment horizontal="right" vertical="center" wrapText="1"/>
    </xf>
    <xf numFmtId="0" fontId="19" fillId="0" borderId="1" applyAlignment="1" pivotButton="0" quotePrefix="0" xfId="0">
      <alignment horizontal="right" vertical="center" wrapText="1"/>
    </xf>
    <xf numFmtId="0" fontId="19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0" fontId="19" fillId="0" borderId="1" applyAlignment="1" pivotButton="0" quotePrefix="0" xfId="0">
      <alignment horizontal="left" vertical="center" wrapText="1"/>
    </xf>
    <xf numFmtId="0" fontId="19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8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5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10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10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6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9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4" pivotButton="0" quotePrefix="0" xfId="0"/>
    <xf numFmtId="0" fontId="0" fillId="0" borderId="16" pivotButton="0" quotePrefix="0" xfId="0"/>
    <xf numFmtId="0" fontId="0" fillId="0" borderId="7" pivotButton="0" quotePrefix="0" xfId="0"/>
    <xf numFmtId="43" fontId="2" fillId="0" borderId="1" applyAlignment="1" pivotButton="0" quotePrefix="0" xfId="0">
      <alignment horizontal="center" vertical="center" wrapText="1"/>
    </xf>
    <xf numFmtId="43" fontId="2" fillId="0" borderId="1" applyAlignment="1" pivotButton="0" quotePrefix="0" xfId="0">
      <alignment vertical="center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4" borderId="1" applyAlignment="1" pivotButton="0" quotePrefix="0" xfId="0">
      <alignment horizontal="center" vertical="center" wrapText="1"/>
    </xf>
    <xf numFmtId="0" fontId="0" fillId="0" borderId="13" pivotButton="0" quotePrefix="0" xfId="0"/>
    <xf numFmtId="0" fontId="0" fillId="0" borderId="14" pivotButton="0" quotePrefix="0" xfId="0"/>
    <xf numFmtId="166" fontId="1" fillId="4" borderId="1" applyAlignment="1" pivotButton="0" quotePrefix="0" xfId="0">
      <alignment horizontal="center" vertical="top" wrapText="1"/>
    </xf>
    <xf numFmtId="166" fontId="1" fillId="0" borderId="4" applyAlignment="1" pivotButton="0" quotePrefix="0" xfId="0">
      <alignment horizontal="center" vertical="center" wrapText="1"/>
    </xf>
    <xf numFmtId="168" fontId="1" fillId="0" borderId="1" applyAlignment="1" pivotButton="0" quotePrefix="0" xfId="0">
      <alignment horizontal="center" vertical="center" wrapText="1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view="pageBreakPreview" topLeftCell="A15" zoomScale="130" zoomScaleNormal="55" zoomScaleSheetLayoutView="130" workbookViewId="0">
      <selection activeCell="D27" sqref="D27"/>
    </sheetView>
  </sheetViews>
  <sheetFormatPr baseColWidth="8" defaultColWidth="9.140625" defaultRowHeight="15.75"/>
  <cols>
    <col width="9.140625" customWidth="1" style="140" min="1" max="2"/>
    <col width="51.7109375" customWidth="1" style="140" min="3" max="3"/>
    <col width="47" customWidth="1" style="140" min="4" max="4"/>
    <col width="37.42578125" customWidth="1" style="140" min="5" max="5"/>
    <col width="9.140625" customWidth="1" style="140" min="6" max="6"/>
  </cols>
  <sheetData>
    <row r="3">
      <c r="B3" s="244" t="inlineStr">
        <is>
          <t>Приложение № 1</t>
        </is>
      </c>
    </row>
    <row r="4">
      <c r="B4" s="245" t="inlineStr">
        <is>
          <t>Сравнительная таблица отбора объекта-представителя</t>
        </is>
      </c>
    </row>
    <row r="5" ht="24.6" customHeight="1">
      <c r="B5" s="247" t="n"/>
    </row>
    <row r="6" ht="18.75" customHeight="1">
      <c r="B6" s="161" t="n"/>
      <c r="C6" s="161" t="n"/>
      <c r="D6" s="161" t="n"/>
    </row>
    <row r="7">
      <c r="B7" s="246" t="inlineStr">
        <is>
          <t>Наименование разрабатываемого показателя УНЦ - Шкаф СМПР с кол-вом ИП: 16 шт</t>
        </is>
      </c>
    </row>
    <row r="8">
      <c r="B8" s="246" t="inlineStr">
        <is>
          <t>Сопоставимый уровень цен: 4 квартал 2016 года</t>
        </is>
      </c>
    </row>
    <row r="9" ht="15.75" customHeight="1">
      <c r="B9" s="246" t="inlineStr">
        <is>
          <t>Единица измерения  — 1 ед.</t>
        </is>
      </c>
    </row>
    <row r="10">
      <c r="B10" s="246" t="n"/>
    </row>
    <row r="11">
      <c r="B11" s="253" t="inlineStr">
        <is>
          <t>№ п/п</t>
        </is>
      </c>
      <c r="C11" s="253" t="inlineStr">
        <is>
          <t>Параметр</t>
        </is>
      </c>
      <c r="D11" s="253" t="inlineStr">
        <is>
          <t xml:space="preserve">Объект-представитель </t>
        </is>
      </c>
      <c r="E11" s="149" t="n"/>
    </row>
    <row r="12" ht="63" customHeight="1">
      <c r="B12" s="253" t="n">
        <v>1</v>
      </c>
      <c r="C12" s="257" t="inlineStr">
        <is>
          <t>Наименование объекта-представителя</t>
        </is>
      </c>
      <c r="D12" s="253" t="inlineStr">
        <is>
          <t>ПС 500 кВ Преображенская с заходами ВЛ 500 кВ Красноармейская - Газовая и ВЛ 220 кВ Бузулукская - Сорочинская (501 МВА, 5,69 км)</t>
        </is>
      </c>
    </row>
    <row r="13">
      <c r="B13" s="253" t="n">
        <v>2</v>
      </c>
      <c r="C13" s="257" t="inlineStr">
        <is>
          <t>Наименование субъекта Российской Федерации</t>
        </is>
      </c>
      <c r="D13" s="253" t="inlineStr">
        <is>
          <t>Оренбургская область</t>
        </is>
      </c>
    </row>
    <row r="14">
      <c r="B14" s="253" t="n">
        <v>3</v>
      </c>
      <c r="C14" s="257" t="inlineStr">
        <is>
          <t>Климатический район и подрайон</t>
        </is>
      </c>
      <c r="D14" s="253" t="inlineStr">
        <is>
          <t>IIIa</t>
        </is>
      </c>
    </row>
    <row r="15">
      <c r="B15" s="253" t="n">
        <v>4</v>
      </c>
      <c r="C15" s="257" t="inlineStr">
        <is>
          <t>Мощность объекта</t>
        </is>
      </c>
      <c r="D15" s="253" t="n">
        <v>1</v>
      </c>
    </row>
    <row r="16" ht="63" customHeight="1">
      <c r="B16" s="253" t="n">
        <v>5</v>
      </c>
      <c r="C16" s="11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21" t="inlineStr">
        <is>
          <t>Шкаф СМПР</t>
        </is>
      </c>
    </row>
    <row r="17" ht="63" customHeight="1">
      <c r="B17" s="253" t="n">
        <v>6</v>
      </c>
      <c r="C17" s="11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16">
        <f>D18+D19+D20+D21</f>
        <v/>
      </c>
      <c r="E17" s="160" t="n"/>
    </row>
    <row r="18">
      <c r="B18" s="148" t="inlineStr">
        <is>
          <t>6.1</t>
        </is>
      </c>
      <c r="C18" s="257" t="inlineStr">
        <is>
          <t>строительно-монтажные работы</t>
        </is>
      </c>
      <c r="D18" s="216" t="n">
        <v>331.43</v>
      </c>
    </row>
    <row r="19" ht="15.75" customHeight="1">
      <c r="B19" s="148" t="inlineStr">
        <is>
          <t>6.2</t>
        </is>
      </c>
      <c r="C19" s="257" t="inlineStr">
        <is>
          <t>оборудование и инвентарь</t>
        </is>
      </c>
      <c r="D19" s="216" t="n">
        <v>9250.709999999999</v>
      </c>
    </row>
    <row r="20" ht="16.5" customHeight="1">
      <c r="B20" s="148" t="inlineStr">
        <is>
          <t>6.3</t>
        </is>
      </c>
      <c r="C20" s="257" t="inlineStr">
        <is>
          <t>пусконаладочные работы</t>
        </is>
      </c>
      <c r="D20" s="216" t="n"/>
    </row>
    <row r="21">
      <c r="B21" s="148" t="inlineStr">
        <is>
          <t>6.4</t>
        </is>
      </c>
      <c r="C21" s="147" t="inlineStr">
        <is>
          <t>прочие и лимитированные затраты</t>
        </is>
      </c>
      <c r="D21" s="216" t="n"/>
    </row>
    <row r="22">
      <c r="B22" s="253" t="n">
        <v>7</v>
      </c>
      <c r="C22" s="147" t="inlineStr">
        <is>
          <t>Сопоставимый уровень цен</t>
        </is>
      </c>
      <c r="D22" s="222" t="inlineStr">
        <is>
          <t>4 квартал 2016 года</t>
        </is>
      </c>
      <c r="E22" s="145" t="n"/>
    </row>
    <row r="23" ht="78.75" customHeight="1">
      <c r="B23" s="253" t="n">
        <v>8</v>
      </c>
      <c r="C23" s="146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16">
        <f>D17</f>
        <v/>
      </c>
      <c r="E23" s="160" t="n"/>
    </row>
    <row r="24" ht="31.5" customHeight="1">
      <c r="B24" s="253" t="n">
        <v>9</v>
      </c>
      <c r="C24" s="116" t="inlineStr">
        <is>
          <t>Приведенная сметная стоимость на единицу мощности, тыс. руб. (строка 8/строку 4)</t>
        </is>
      </c>
      <c r="D24" s="216">
        <f>D23/D15</f>
        <v/>
      </c>
      <c r="E24" s="145" t="n"/>
    </row>
    <row r="25">
      <c r="B25" s="253" t="n">
        <v>10</v>
      </c>
      <c r="C25" s="257" t="inlineStr">
        <is>
          <t>Примечание</t>
        </is>
      </c>
      <c r="D25" s="257" t="n"/>
    </row>
    <row r="26">
      <c r="B26" s="258" t="n"/>
      <c r="C26" s="142" t="n"/>
      <c r="D26" s="142" t="n"/>
    </row>
    <row r="27" ht="37.5" customHeight="1">
      <c r="B27" s="141" t="n"/>
    </row>
    <row r="28">
      <c r="B28" s="140" t="inlineStr">
        <is>
          <t>Составил ______________________    А.Р. Маркова</t>
        </is>
      </c>
    </row>
    <row r="29">
      <c r="B29" s="141" t="inlineStr">
        <is>
          <t xml:space="preserve">                         (подпись, инициалы, фамилия)</t>
        </is>
      </c>
    </row>
    <row r="31">
      <c r="B31" s="140" t="inlineStr">
        <is>
          <t>Проверил ______________________        А.В. Костянецкая</t>
        </is>
      </c>
    </row>
    <row r="32">
      <c r="B32" s="141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086614173228351" right="0.7086614173228351" top="0.748031496062992" bottom="0.748031496062992" header="0.31496062992126" footer="0.31496062992126"/>
  <pageSetup orientation="portrait" paperSize="9" scale="75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B3:K22"/>
  <sheetViews>
    <sheetView view="pageBreakPreview" zoomScale="130" zoomScaleNormal="70" zoomScaleSheetLayoutView="130" workbookViewId="0">
      <selection activeCell="C17" sqref="C17"/>
    </sheetView>
  </sheetViews>
  <sheetFormatPr baseColWidth="8" defaultColWidth="9.140625" defaultRowHeight="15.75"/>
  <cols>
    <col width="5.5703125" customWidth="1" style="140" min="1" max="1"/>
    <col width="9.140625" customWidth="1" style="140" min="2" max="2"/>
    <col width="35.28515625" customWidth="1" style="140" min="3" max="3"/>
    <col width="13.85546875" customWidth="1" style="140" min="4" max="4"/>
    <col width="24.85546875" customWidth="1" style="140" min="5" max="5"/>
    <col width="15.5703125" customWidth="1" style="140" min="6" max="6"/>
    <col width="14.85546875" customWidth="1" style="140" min="7" max="7"/>
    <col width="16.7109375" customWidth="1" style="140" min="8" max="8"/>
    <col width="13" customWidth="1" style="140" min="9" max="10"/>
    <col width="18" customWidth="1" style="140" min="11" max="11"/>
    <col width="9.140625" customWidth="1" style="140" min="12" max="12"/>
  </cols>
  <sheetData>
    <row r="3">
      <c r="B3" s="244" t="inlineStr">
        <is>
          <t>Приложение № 2</t>
        </is>
      </c>
      <c r="K3" s="141" t="n"/>
    </row>
    <row r="4">
      <c r="B4" s="245" t="inlineStr">
        <is>
          <t>Расчет стоимости основных видов работ для выбора объекта-представителя</t>
        </is>
      </c>
    </row>
    <row r="5">
      <c r="B5" s="150" t="n"/>
      <c r="C5" s="150" t="n"/>
      <c r="D5" s="150" t="n"/>
      <c r="E5" s="150" t="n"/>
      <c r="F5" s="150" t="n"/>
      <c r="G5" s="150" t="n"/>
      <c r="H5" s="150" t="n"/>
      <c r="I5" s="150" t="n"/>
      <c r="J5" s="150" t="n"/>
      <c r="K5" s="150" t="n"/>
    </row>
    <row r="6">
      <c r="B6" s="252">
        <f>'Прил.1 Сравнит табл'!B7:D7</f>
        <v/>
      </c>
      <c r="K6" s="141" t="n"/>
    </row>
    <row r="7">
      <c r="B7" s="246">
        <f>'Прил.1 Сравнит табл'!B9:D9</f>
        <v/>
      </c>
    </row>
    <row r="8" ht="18.75" customHeight="1">
      <c r="B8" s="118" t="n"/>
    </row>
    <row r="9" ht="15.75" customHeight="1">
      <c r="B9" s="253" t="inlineStr">
        <is>
          <t>№ п/п</t>
        </is>
      </c>
      <c r="C9" s="253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53" t="inlineStr">
        <is>
          <t>Объект-представитель 1</t>
        </is>
      </c>
      <c r="E9" s="331" t="n"/>
      <c r="F9" s="331" t="n"/>
      <c r="G9" s="331" t="n"/>
      <c r="H9" s="331" t="n"/>
      <c r="I9" s="331" t="n"/>
      <c r="J9" s="332" t="n"/>
    </row>
    <row r="10" ht="15.75" customHeight="1">
      <c r="B10" s="333" t="n"/>
      <c r="C10" s="333" t="n"/>
      <c r="D10" s="253" t="inlineStr">
        <is>
          <t>Номер сметы</t>
        </is>
      </c>
      <c r="E10" s="253" t="inlineStr">
        <is>
          <t>Наименование сметы</t>
        </is>
      </c>
      <c r="F10" s="253" t="inlineStr">
        <is>
          <t>Сметная стоимость в уровне цен 4 кв. 2016 г., тыс. руб.</t>
        </is>
      </c>
      <c r="G10" s="331" t="n"/>
      <c r="H10" s="331" t="n"/>
      <c r="I10" s="331" t="n"/>
      <c r="J10" s="332" t="n"/>
    </row>
    <row r="11" ht="31.5" customHeight="1">
      <c r="B11" s="334" t="n"/>
      <c r="C11" s="334" t="n"/>
      <c r="D11" s="334" t="n"/>
      <c r="E11" s="334" t="n"/>
      <c r="F11" s="153" t="inlineStr">
        <is>
          <t>Строительные работы</t>
        </is>
      </c>
      <c r="G11" s="253" t="inlineStr">
        <is>
          <t>Монтажные работы</t>
        </is>
      </c>
      <c r="H11" s="253" t="inlineStr">
        <is>
          <t>Оборудование</t>
        </is>
      </c>
      <c r="I11" s="253" t="inlineStr">
        <is>
          <t>Прочее</t>
        </is>
      </c>
      <c r="J11" s="253" t="inlineStr">
        <is>
          <t>Всего</t>
        </is>
      </c>
    </row>
    <row r="12" ht="47.25" customHeight="1">
      <c r="B12" s="253" t="n">
        <v>1</v>
      </c>
      <c r="C12" s="253" t="inlineStr">
        <is>
          <t>Шкаф СМПР</t>
        </is>
      </c>
      <c r="D12" s="223" t="inlineStr">
        <is>
          <t>02-10-03-2</t>
        </is>
      </c>
      <c r="E12" s="257" t="inlineStr">
        <is>
          <t xml:space="preserve">ОРУ 220 кВ. Устройства автоматики. 2 этап. 																		</t>
        </is>
      </c>
      <c r="F12" s="214" t="n"/>
      <c r="G12" s="215" t="n">
        <v>331.43</v>
      </c>
      <c r="H12" s="216" t="n">
        <v>9250.709999999999</v>
      </c>
      <c r="I12" s="216" t="n"/>
      <c r="J12" s="216">
        <f>SUM(F12:I12)</f>
        <v/>
      </c>
    </row>
    <row r="13" ht="15" customHeight="1">
      <c r="B13" s="248" t="inlineStr">
        <is>
          <t>Всего по объекту:</t>
        </is>
      </c>
      <c r="C13" s="335" t="n"/>
      <c r="D13" s="335" t="n"/>
      <c r="E13" s="336" t="n"/>
      <c r="F13" s="214" t="n"/>
      <c r="G13" s="217">
        <f>SUM(G12)</f>
        <v/>
      </c>
      <c r="H13" s="218">
        <f>SUM(H12)</f>
        <v/>
      </c>
      <c r="I13" s="218" t="n"/>
      <c r="J13" s="218">
        <f>SUM(J12)</f>
        <v/>
      </c>
    </row>
    <row r="14">
      <c r="B14" s="250" t="inlineStr">
        <is>
          <t>Всего по объекту в сопоставимом уровне цен 4 кв. 2016 г:</t>
        </is>
      </c>
      <c r="C14" s="331" t="n"/>
      <c r="D14" s="331" t="n"/>
      <c r="E14" s="332" t="n"/>
      <c r="F14" s="214" t="n"/>
      <c r="G14" s="219">
        <f>G13</f>
        <v/>
      </c>
      <c r="H14" s="220">
        <f>H13</f>
        <v/>
      </c>
      <c r="I14" s="220" t="n"/>
      <c r="J14" s="220">
        <f>J13</f>
        <v/>
      </c>
    </row>
    <row r="15" ht="15" customHeight="1"/>
    <row r="16" ht="15" customHeight="1"/>
    <row r="17" ht="15" customHeight="1"/>
    <row r="18" ht="15" customHeight="1">
      <c r="C18" s="4" t="inlineStr">
        <is>
          <t>Составил ______________________     А.Р. Маркова</t>
        </is>
      </c>
      <c r="D18" s="12" t="n"/>
      <c r="E18" s="12" t="n"/>
    </row>
    <row r="19" ht="15" customHeight="1">
      <c r="C19" s="33" t="inlineStr">
        <is>
          <t xml:space="preserve">                         (подпись, инициалы, фамилия)</t>
        </is>
      </c>
      <c r="D19" s="12" t="n"/>
      <c r="E19" s="12" t="n"/>
    </row>
    <row r="20" ht="15" customHeight="1">
      <c r="C20" s="4" t="n"/>
      <c r="D20" s="12" t="n"/>
      <c r="E20" s="12" t="n"/>
    </row>
    <row r="21" ht="15" customHeight="1">
      <c r="C21" s="4" t="inlineStr">
        <is>
          <t>Проверил ______________________        А.В. Костянецкая</t>
        </is>
      </c>
      <c r="D21" s="12" t="n"/>
      <c r="E21" s="12" t="n"/>
    </row>
    <row r="22" ht="15" customHeight="1">
      <c r="C22" s="33" t="inlineStr">
        <is>
          <t xml:space="preserve">                        (подпись, инициалы, фамилия)</t>
        </is>
      </c>
      <c r="D22" s="12" t="n"/>
      <c r="E22" s="12" t="n"/>
    </row>
    <row r="23" ht="15" customHeight="1"/>
    <row r="24" ht="15" customHeight="1"/>
    <row r="25" ht="15" customHeight="1"/>
    <row r="26" ht="15" customHeight="1"/>
    <row r="27" ht="15" customHeight="1"/>
    <row r="28" ht="15" customHeight="1"/>
  </sheetData>
  <mergeCells count="12">
    <mergeCell ref="B3:J3"/>
    <mergeCell ref="D10:D11"/>
    <mergeCell ref="B4:K4"/>
    <mergeCell ref="D9:J9"/>
    <mergeCell ref="B13:E13"/>
    <mergeCell ref="F10:J10"/>
    <mergeCell ref="B6:J6"/>
    <mergeCell ref="B7:K7"/>
    <mergeCell ref="B9:B11"/>
    <mergeCell ref="E10:E11"/>
    <mergeCell ref="C9:C11"/>
    <mergeCell ref="B14:E14"/>
  </mergeCells>
  <pageMargins left="0.7086614173228351" right="0.7086614173228351" top="0.748031496062992" bottom="0.748031496062992" header="0.31496062992126" footer="0.31496062992126"/>
  <pageSetup orientation="portrait" paperSize="9" scale="54" fitToHeight="0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2:M59"/>
  <sheetViews>
    <sheetView view="pageBreakPreview" topLeftCell="A42" zoomScale="115" zoomScaleSheetLayoutView="115" workbookViewId="0">
      <selection activeCell="D56" sqref="D56"/>
    </sheetView>
  </sheetViews>
  <sheetFormatPr baseColWidth="8" defaultColWidth="9.140625" defaultRowHeight="15.75"/>
  <cols>
    <col width="9.140625" customWidth="1" style="140" min="1" max="1"/>
    <col width="12.5703125" customWidth="1" style="140" min="2" max="2"/>
    <col width="22.42578125" customWidth="1" style="174" min="3" max="3"/>
    <col width="49.7109375" customWidth="1" style="176" min="4" max="4"/>
    <col width="10.140625" customWidth="1" style="174" min="5" max="5"/>
    <col width="20.7109375" customWidth="1" style="174" min="6" max="6"/>
    <col width="20" customWidth="1" style="176" min="7" max="7"/>
    <col width="16.7109375" customWidth="1" style="141" min="8" max="8"/>
    <col width="9.140625" customWidth="1" style="140" min="9" max="10"/>
    <col width="15" customWidth="1" style="140" min="11" max="11"/>
    <col width="9.140625" customWidth="1" style="140" min="12" max="12"/>
    <col width="11.28515625" customWidth="1" style="140" min="13" max="13"/>
    <col width="9.140625" customWidth="1" style="140" min="14" max="14"/>
  </cols>
  <sheetData>
    <row r="2">
      <c r="A2" s="244" t="inlineStr">
        <is>
          <t xml:space="preserve">Приложение № 3 </t>
        </is>
      </c>
    </row>
    <row r="3">
      <c r="A3" s="245" t="inlineStr">
        <is>
          <t>Объектная ресурсная ведомость</t>
        </is>
      </c>
    </row>
    <row r="4" ht="18.75" customHeight="1">
      <c r="A4" s="164" t="n"/>
      <c r="B4" s="164" t="n"/>
      <c r="C4" s="259" t="n"/>
    </row>
    <row r="5">
      <c r="A5" s="246" t="n"/>
    </row>
    <row r="6">
      <c r="A6" s="258" t="inlineStr">
        <is>
          <t>Наименование разрабатываемого показателя УНЦ -  Шкаф СМПР с кол-вом ИП: 16 шт</t>
        </is>
      </c>
    </row>
    <row r="7">
      <c r="A7" s="151" t="n"/>
      <c r="B7" s="151" t="n"/>
      <c r="D7" s="177" t="n"/>
      <c r="G7" s="177" t="n"/>
    </row>
    <row r="8" ht="38.25" customHeight="1">
      <c r="A8" s="253" t="inlineStr">
        <is>
          <t>п/п</t>
        </is>
      </c>
      <c r="B8" s="253" t="inlineStr">
        <is>
          <t>№ЛСР</t>
        </is>
      </c>
      <c r="C8" s="253" t="inlineStr">
        <is>
          <t>Код ресурса</t>
        </is>
      </c>
      <c r="D8" s="253" t="inlineStr">
        <is>
          <t>Наименование ресурса</t>
        </is>
      </c>
      <c r="E8" s="253" t="inlineStr">
        <is>
          <t>Ед. изм.</t>
        </is>
      </c>
      <c r="F8" s="253" t="inlineStr">
        <is>
          <t>Кол-во единиц по данным объекта-представителя</t>
        </is>
      </c>
      <c r="G8" s="253" t="inlineStr">
        <is>
          <t>Сметная стоимость в ценах на 01.01.2000 (руб.)</t>
        </is>
      </c>
      <c r="H8" s="332" t="n"/>
    </row>
    <row r="9" ht="40.5" customHeight="1">
      <c r="A9" s="334" t="n"/>
      <c r="B9" s="334" t="n"/>
      <c r="C9" s="334" t="n"/>
      <c r="D9" s="334" t="n"/>
      <c r="E9" s="334" t="n"/>
      <c r="F9" s="334" t="n"/>
      <c r="G9" s="253" t="inlineStr">
        <is>
          <t>на ед.изм.</t>
        </is>
      </c>
      <c r="H9" s="253" t="inlineStr">
        <is>
          <t>общая</t>
        </is>
      </c>
    </row>
    <row r="10">
      <c r="A10" s="153" t="n">
        <v>1</v>
      </c>
      <c r="B10" s="153" t="n"/>
      <c r="C10" s="175" t="n">
        <v>2</v>
      </c>
      <c r="D10" s="175" t="inlineStr">
        <is>
          <t>З</t>
        </is>
      </c>
      <c r="E10" s="175" t="n">
        <v>4</v>
      </c>
      <c r="F10" s="175" t="n">
        <v>5</v>
      </c>
      <c r="G10" s="175" t="n">
        <v>6</v>
      </c>
      <c r="H10" s="153" t="n">
        <v>7</v>
      </c>
    </row>
    <row r="11" customFormat="1" s="152">
      <c r="A11" s="255" t="inlineStr">
        <is>
          <t>Затраты труда рабочих</t>
        </is>
      </c>
      <c r="B11" s="331" t="n"/>
      <c r="C11" s="331" t="n"/>
      <c r="D11" s="331" t="n"/>
      <c r="E11" s="332" t="n"/>
      <c r="F11" s="337" t="n">
        <v>221.8552</v>
      </c>
      <c r="G11" s="10" t="n"/>
      <c r="H11" s="338">
        <f>SUM(H12:H15)</f>
        <v/>
      </c>
    </row>
    <row r="12">
      <c r="A12" s="264" t="n">
        <v>1</v>
      </c>
      <c r="B12" s="206" t="n"/>
      <c r="C12" s="207" t="inlineStr">
        <is>
          <t>1-3-8</t>
        </is>
      </c>
      <c r="D12" s="171" t="inlineStr">
        <is>
          <t>Затраты труда рабочих (средний разряд работы 3,8)</t>
        </is>
      </c>
      <c r="E12" s="170" t="inlineStr">
        <is>
          <t>чел.-ч</t>
        </is>
      </c>
      <c r="F12" s="170" t="n">
        <v>165.976</v>
      </c>
      <c r="G12" s="212" t="n">
        <v>9.4</v>
      </c>
      <c r="H12" s="155">
        <f>ROUND(F12*G12,2)</f>
        <v/>
      </c>
      <c r="M12" s="339" t="n"/>
    </row>
    <row r="13">
      <c r="A13" s="264" t="n">
        <v>2</v>
      </c>
      <c r="B13" s="206" t="n"/>
      <c r="C13" s="207" t="inlineStr">
        <is>
          <t>1-4-1</t>
        </is>
      </c>
      <c r="D13" s="171" t="inlineStr">
        <is>
          <t>Затраты труда рабочих (средний разряд работы 4,1)</t>
        </is>
      </c>
      <c r="E13" s="170" t="inlineStr">
        <is>
          <t>чел.-ч</t>
        </is>
      </c>
      <c r="F13" s="170" t="n">
        <v>27.4392</v>
      </c>
      <c r="G13" s="212" t="n">
        <v>9.76</v>
      </c>
      <c r="H13" s="155">
        <f>ROUND(F13*G13,2)</f>
        <v/>
      </c>
      <c r="M13" s="339" t="n"/>
    </row>
    <row r="14">
      <c r="A14" s="264" t="n">
        <v>3</v>
      </c>
      <c r="B14" s="206" t="n"/>
      <c r="C14" s="207" t="inlineStr">
        <is>
          <t>1-3-6</t>
        </is>
      </c>
      <c r="D14" s="171" t="inlineStr">
        <is>
          <t>Затраты труда рабочих (средний разряд работы 3,6)</t>
        </is>
      </c>
      <c r="E14" s="170" t="inlineStr">
        <is>
          <t>чел.-ч</t>
        </is>
      </c>
      <c r="F14" s="170" t="n">
        <v>24.32</v>
      </c>
      <c r="G14" s="212" t="n">
        <v>9.18</v>
      </c>
      <c r="H14" s="155">
        <f>ROUND(F14*G14,2)</f>
        <v/>
      </c>
      <c r="M14" s="339" t="n"/>
    </row>
    <row r="15">
      <c r="A15" s="264" t="n">
        <v>4</v>
      </c>
      <c r="B15" s="206" t="n"/>
      <c r="C15" s="207" t="inlineStr">
        <is>
          <t>1-4-2</t>
        </is>
      </c>
      <c r="D15" s="171" t="inlineStr">
        <is>
          <t>Затраты труда рабочих (средний разряд работы 4,2)</t>
        </is>
      </c>
      <c r="E15" s="170" t="inlineStr">
        <is>
          <t>чел.-ч</t>
        </is>
      </c>
      <c r="F15" s="170" t="n">
        <v>4.12</v>
      </c>
      <c r="G15" s="212" t="n">
        <v>9.92</v>
      </c>
      <c r="H15" s="155">
        <f>ROUND(F15*G15,2)</f>
        <v/>
      </c>
      <c r="M15" s="339" t="n"/>
    </row>
    <row r="16">
      <c r="A16" s="254" t="inlineStr">
        <is>
          <t>Затраты труда машинистов</t>
        </is>
      </c>
      <c r="B16" s="331" t="n"/>
      <c r="C16" s="331" t="n"/>
      <c r="D16" s="331" t="n"/>
      <c r="E16" s="332" t="n"/>
      <c r="F16" s="208" t="n"/>
      <c r="G16" s="209" t="n"/>
      <c r="H16" s="213">
        <f>H17</f>
        <v/>
      </c>
    </row>
    <row r="17">
      <c r="A17" s="264" t="n">
        <v>5</v>
      </c>
      <c r="B17" s="256" t="n"/>
      <c r="C17" s="133" t="n">
        <v>2</v>
      </c>
      <c r="D17" s="273" t="inlineStr">
        <is>
          <t>Затраты труда машинистов(справочно)</t>
        </is>
      </c>
      <c r="E17" s="264" t="inlineStr">
        <is>
          <t>чел.-ч</t>
        </is>
      </c>
      <c r="F17" s="264" t="n">
        <v>7.636</v>
      </c>
      <c r="G17" s="32" t="n"/>
      <c r="H17" s="155" t="n">
        <v>95.84999999999999</v>
      </c>
    </row>
    <row r="18" customFormat="1" s="152">
      <c r="A18" s="255" t="inlineStr">
        <is>
          <t>Машины и механизмы</t>
        </is>
      </c>
      <c r="B18" s="331" t="n"/>
      <c r="C18" s="331" t="n"/>
      <c r="D18" s="331" t="n"/>
      <c r="E18" s="332" t="n"/>
      <c r="F18" s="208" t="n"/>
      <c r="G18" s="209" t="n"/>
      <c r="H18" s="213">
        <f>SUM(H19:H23)</f>
        <v/>
      </c>
    </row>
    <row r="19" ht="25.5" customHeight="1">
      <c r="A19" s="264" t="n">
        <v>6</v>
      </c>
      <c r="B19" s="256" t="n"/>
      <c r="C19" s="170" t="inlineStr">
        <is>
          <t>91.05.05-015</t>
        </is>
      </c>
      <c r="D19" s="171" t="inlineStr">
        <is>
          <t>Краны на автомобильном ходу, грузоподъемность 16 т</t>
        </is>
      </c>
      <c r="E19" s="170" t="inlineStr">
        <is>
          <t>маш.-ч.</t>
        </is>
      </c>
      <c r="F19" s="170" t="n">
        <v>3.818</v>
      </c>
      <c r="G19" s="167" t="n">
        <v>115.4</v>
      </c>
      <c r="H19" s="155">
        <f>ROUND(F19*G19,2)</f>
        <v/>
      </c>
      <c r="I19" s="162" t="n"/>
      <c r="J19" s="162" t="n"/>
      <c r="L19" s="162" t="n"/>
    </row>
    <row r="20" customFormat="1" s="152">
      <c r="A20" s="264" t="n">
        <v>7</v>
      </c>
      <c r="B20" s="256" t="n"/>
      <c r="C20" s="170" t="inlineStr">
        <is>
          <t>91.14.02-001</t>
        </is>
      </c>
      <c r="D20" s="171" t="inlineStr">
        <is>
          <t>Автомобили бортовые, грузоподъемность до 5 т</t>
        </is>
      </c>
      <c r="E20" s="170" t="inlineStr">
        <is>
          <t>маш.-ч.</t>
        </is>
      </c>
      <c r="F20" s="170" t="n">
        <v>3.818</v>
      </c>
      <c r="G20" s="167" t="n">
        <v>65.7</v>
      </c>
      <c r="H20" s="155">
        <f>ROUND(F20*G20,2)</f>
        <v/>
      </c>
      <c r="I20" s="162" t="n"/>
      <c r="J20" s="162" t="n"/>
      <c r="L20" s="162" t="n"/>
    </row>
    <row r="21" ht="25.5" customHeight="1">
      <c r="A21" s="264" t="n">
        <v>8</v>
      </c>
      <c r="B21" s="256" t="n"/>
      <c r="C21" s="170" t="inlineStr">
        <is>
          <t>91.06.03-061</t>
        </is>
      </c>
      <c r="D21" s="171" t="inlineStr">
        <is>
          <t>Лебедки электрические тяговым усилием до 12,26 кН (1,25 т)</t>
        </is>
      </c>
      <c r="E21" s="170" t="inlineStr">
        <is>
          <t>маш.-ч.</t>
        </is>
      </c>
      <c r="F21" s="170" t="n">
        <v>32.088</v>
      </c>
      <c r="G21" s="167" t="n">
        <v>3.28</v>
      </c>
      <c r="H21" s="155">
        <f>ROUND(F21*G21,2)</f>
        <v/>
      </c>
      <c r="I21" s="162" t="n"/>
      <c r="J21" s="162" t="n"/>
      <c r="K21" s="162" t="n"/>
      <c r="L21" s="162" t="n"/>
    </row>
    <row r="22">
      <c r="A22" s="264" t="n">
        <v>9</v>
      </c>
      <c r="B22" s="256" t="n"/>
      <c r="C22" s="170" t="inlineStr">
        <is>
          <t>91.06.01-003</t>
        </is>
      </c>
      <c r="D22" s="171" t="inlineStr">
        <is>
          <t>Домкраты гидравлические, грузоподъемность 63-100 т</t>
        </is>
      </c>
      <c r="E22" s="170" t="inlineStr">
        <is>
          <t>маш.-ч.</t>
        </is>
      </c>
      <c r="F22" s="170" t="n">
        <v>32.088</v>
      </c>
      <c r="G22" s="167" t="n">
        <v>0.9</v>
      </c>
      <c r="H22" s="155">
        <f>ROUND(F22*G22,2)</f>
        <v/>
      </c>
      <c r="I22" s="162" t="n"/>
      <c r="J22" s="162" t="n"/>
      <c r="L22" s="162" t="n"/>
    </row>
    <row r="23" ht="25.5" customHeight="1">
      <c r="A23" s="264" t="n">
        <v>10</v>
      </c>
      <c r="B23" s="256" t="n"/>
      <c r="C23" s="170" t="inlineStr">
        <is>
          <t>91.17.04-233</t>
        </is>
      </c>
      <c r="D23" s="171" t="inlineStr">
        <is>
          <t>Установки для сварки ручной дуговой (постоянного тока)</t>
        </is>
      </c>
      <c r="E23" s="170" t="inlineStr">
        <is>
          <t>маш.-ч.</t>
        </is>
      </c>
      <c r="F23" s="170" t="n">
        <v>0.9</v>
      </c>
      <c r="G23" s="167" t="n">
        <v>8.1</v>
      </c>
      <c r="H23" s="155">
        <f>ROUND(F23*G23,2)</f>
        <v/>
      </c>
      <c r="I23" s="162" t="n"/>
      <c r="J23" s="162" t="n"/>
      <c r="L23" s="162" t="n"/>
    </row>
    <row r="24" ht="15" customHeight="1">
      <c r="A24" s="254" t="inlineStr">
        <is>
          <t>Оборудование</t>
        </is>
      </c>
      <c r="B24" s="331" t="n"/>
      <c r="C24" s="331" t="n"/>
      <c r="D24" s="331" t="n"/>
      <c r="E24" s="332" t="n"/>
      <c r="F24" s="277" t="n"/>
      <c r="G24" s="213" t="n"/>
      <c r="H24" s="213">
        <f>SUM(H25:H25)</f>
        <v/>
      </c>
    </row>
    <row r="25" ht="22.15" customHeight="1">
      <c r="A25" s="211" t="n">
        <v>11</v>
      </c>
      <c r="B25" s="272" t="n"/>
      <c r="C25" s="170" t="inlineStr">
        <is>
          <t>Прайс из СД ОП</t>
        </is>
      </c>
      <c r="D25" s="168" t="inlineStr">
        <is>
          <t>Шкаф СМПР с кол-вом ИП: 16 шт</t>
        </is>
      </c>
      <c r="E25" s="170" t="inlineStr">
        <is>
          <t>шт</t>
        </is>
      </c>
      <c r="F25" s="170" t="n">
        <v>1</v>
      </c>
      <c r="G25" s="167" t="n">
        <v>2161380.2</v>
      </c>
      <c r="H25" s="155">
        <f>ROUND(F25*G25,2)</f>
        <v/>
      </c>
      <c r="I25" s="159" t="n"/>
    </row>
    <row r="26">
      <c r="A26" s="255" t="inlineStr">
        <is>
          <t>Материалы</t>
        </is>
      </c>
      <c r="B26" s="331" t="n"/>
      <c r="C26" s="331" t="n"/>
      <c r="D26" s="331" t="n"/>
      <c r="E26" s="332" t="n"/>
      <c r="F26" s="208" t="n"/>
      <c r="G26" s="209" t="n"/>
      <c r="H26" s="213">
        <f>SUM(H27:H53)</f>
        <v/>
      </c>
    </row>
    <row r="27">
      <c r="A27" s="211" t="n">
        <v>12</v>
      </c>
      <c r="B27" s="256" t="n"/>
      <c r="C27" s="170" t="inlineStr">
        <is>
          <t>21.1.08.03-0579</t>
        </is>
      </c>
      <c r="D27" s="171" t="inlineStr">
        <is>
          <t>Кабель контрольный КВВГЭнг(А)-LS 5x2,5</t>
        </is>
      </c>
      <c r="E27" s="170" t="inlineStr">
        <is>
          <t>1000 м</t>
        </is>
      </c>
      <c r="F27" s="170" t="n">
        <v>0.8159999999999999</v>
      </c>
      <c r="G27" s="212" t="n">
        <v>38348.22</v>
      </c>
      <c r="H27" s="155">
        <f>ROUND(F27*G27,2)</f>
        <v/>
      </c>
      <c r="I27" s="159" t="n"/>
      <c r="J27" s="162" t="n"/>
      <c r="K27" s="162" t="n"/>
    </row>
    <row r="28">
      <c r="A28" s="211" t="n">
        <v>13</v>
      </c>
      <c r="B28" s="256" t="n"/>
      <c r="C28" s="170" t="inlineStr">
        <is>
          <t>21.1.08.03-0578</t>
        </is>
      </c>
      <c r="D28" s="171" t="inlineStr">
        <is>
          <t>Кабель контрольный КВВГЭнг(A)-LS 5х1,5</t>
        </is>
      </c>
      <c r="E28" s="170" t="inlineStr">
        <is>
          <t>1000 м</t>
        </is>
      </c>
      <c r="F28" s="170" t="n">
        <v>0.8159999999999999</v>
      </c>
      <c r="G28" s="212" t="n">
        <v>29332.61</v>
      </c>
      <c r="H28" s="155">
        <f>ROUND(F28*G28,2)</f>
        <v/>
      </c>
      <c r="I28" s="159" t="n"/>
      <c r="J28" s="162" t="n"/>
      <c r="K28" s="162" t="n"/>
    </row>
    <row r="29">
      <c r="A29" s="211" t="n">
        <v>14</v>
      </c>
      <c r="B29" s="256" t="n"/>
      <c r="C29" s="170" t="inlineStr">
        <is>
          <t>21.1.08.03-0574</t>
        </is>
      </c>
      <c r="D29" s="171" t="inlineStr">
        <is>
          <t>Кабель контрольный КВВГЭнг(А)-LS 4x2,5</t>
        </is>
      </c>
      <c r="E29" s="170" t="inlineStr">
        <is>
          <t>1000 м</t>
        </is>
      </c>
      <c r="F29" s="170" t="n">
        <v>0.102</v>
      </c>
      <c r="G29" s="212" t="n">
        <v>32828.82</v>
      </c>
      <c r="H29" s="155">
        <f>ROUND(F29*G29,2)</f>
        <v/>
      </c>
      <c r="I29" s="159" t="n"/>
      <c r="J29" s="162" t="n"/>
      <c r="K29" s="162" t="n"/>
    </row>
    <row r="30" ht="25.5" customHeight="1">
      <c r="A30" s="211" t="n">
        <v>15</v>
      </c>
      <c r="B30" s="256" t="n"/>
      <c r="C30" s="170" t="inlineStr">
        <is>
          <t>10.3.02.03-0011</t>
        </is>
      </c>
      <c r="D30" s="171" t="inlineStr">
        <is>
          <t>Припои оловянно-свинцовые бессурьмянистые, марка ПОС30</t>
        </is>
      </c>
      <c r="E30" s="170" t="inlineStr">
        <is>
          <t>т</t>
        </is>
      </c>
      <c r="F30" s="170" t="n">
        <v>0.009356</v>
      </c>
      <c r="G30" s="212" t="n">
        <v>68031.21000000001</v>
      </c>
      <c r="H30" s="155">
        <f>ROUND(F30*G30,2)</f>
        <v/>
      </c>
      <c r="I30" s="159" t="n"/>
      <c r="J30" s="162" t="n"/>
    </row>
    <row r="31" ht="25.5" customHeight="1">
      <c r="A31" s="211" t="n">
        <v>16</v>
      </c>
      <c r="B31" s="256" t="n"/>
      <c r="C31" s="170" t="inlineStr">
        <is>
          <t>24.3.01.02-0002</t>
        </is>
      </c>
      <c r="D31" s="171" t="inlineStr">
        <is>
          <t>Трубы гибкие гофрированные из самозатухающего ПВХ легкие с протяжкой, диаметр 25 мм</t>
        </is>
      </c>
      <c r="E31" s="170" t="inlineStr">
        <is>
          <t>м</t>
        </is>
      </c>
      <c r="F31" s="170" t="n">
        <v>163.2</v>
      </c>
      <c r="G31" s="212" t="n">
        <v>3.43</v>
      </c>
      <c r="H31" s="155">
        <f>ROUND(F31*G31,2)</f>
        <v/>
      </c>
      <c r="I31" s="159" t="n"/>
      <c r="J31" s="162" t="n"/>
    </row>
    <row r="32" ht="25.5" customHeight="1">
      <c r="A32" s="211" t="n">
        <v>17</v>
      </c>
      <c r="B32" s="256" t="n"/>
      <c r="C32" s="170" t="inlineStr">
        <is>
          <t>21.1.04.01-1006</t>
        </is>
      </c>
      <c r="D32" s="171" t="inlineStr">
        <is>
          <t>Кабель витая пара, категория 5e, ЭКС-ГВПВЭ 4х2х0,51</t>
        </is>
      </c>
      <c r="E32" s="170" t="inlineStr">
        <is>
          <t>1000 м</t>
        </is>
      </c>
      <c r="F32" s="170" t="n">
        <v>0.16</v>
      </c>
      <c r="G32" s="212" t="n">
        <v>2719.5</v>
      </c>
      <c r="H32" s="155">
        <f>ROUND(F32*G32,2)</f>
        <v/>
      </c>
      <c r="I32" s="159" t="n"/>
      <c r="J32" s="162" t="n"/>
    </row>
    <row r="33" ht="25.5" customHeight="1">
      <c r="A33" s="211" t="n">
        <v>18</v>
      </c>
      <c r="B33" s="256" t="n"/>
      <c r="C33" s="170" t="inlineStr">
        <is>
          <t>07.2.07.04-0007</t>
        </is>
      </c>
      <c r="D33" s="171" t="inlineStr">
        <is>
          <t>Конструкции стальные индивидуальные решетчатые сварные, масса до 0,1 т</t>
        </is>
      </c>
      <c r="E33" s="170" t="inlineStr">
        <is>
          <t>т</t>
        </is>
      </c>
      <c r="F33" s="170" t="n">
        <v>0.03</v>
      </c>
      <c r="G33" s="212" t="n">
        <v>11500</v>
      </c>
      <c r="H33" s="155">
        <f>ROUND(F33*G33,2)</f>
        <v/>
      </c>
      <c r="I33" s="159" t="n"/>
      <c r="J33" s="162" t="n"/>
    </row>
    <row r="34">
      <c r="A34" s="211" t="n">
        <v>19</v>
      </c>
      <c r="B34" s="256" t="n"/>
      <c r="C34" s="170" t="inlineStr">
        <is>
          <t>20.1.02.06-0001</t>
        </is>
      </c>
      <c r="D34" s="171" t="inlineStr">
        <is>
          <t>Жир паяльный</t>
        </is>
      </c>
      <c r="E34" s="170" t="inlineStr">
        <is>
          <t>кг</t>
        </is>
      </c>
      <c r="F34" s="170" t="n">
        <v>1.36</v>
      </c>
      <c r="G34" s="212" t="n">
        <v>101</v>
      </c>
      <c r="H34" s="155">
        <f>ROUND(F34*G34,2)</f>
        <v/>
      </c>
      <c r="I34" s="159" t="n"/>
      <c r="J34" s="162" t="n"/>
    </row>
    <row r="35">
      <c r="A35" s="211" t="n">
        <v>20</v>
      </c>
      <c r="B35" s="256" t="n"/>
      <c r="C35" s="170" t="inlineStr">
        <is>
          <t>25.2.01.01-0017</t>
        </is>
      </c>
      <c r="D35" s="171" t="inlineStr">
        <is>
          <t>Бирки маркировочные пластмассовые</t>
        </is>
      </c>
      <c r="E35" s="170" t="inlineStr">
        <is>
          <t>100 шт</t>
        </is>
      </c>
      <c r="F35" s="170" t="n">
        <v>2.96</v>
      </c>
      <c r="G35" s="212" t="n">
        <v>30.74</v>
      </c>
      <c r="H35" s="155">
        <f>ROUND(F35*G35,2)</f>
        <v/>
      </c>
      <c r="I35" s="159" t="n"/>
      <c r="J35" s="162" t="n"/>
    </row>
    <row r="36">
      <c r="A36" s="211" t="n">
        <v>21</v>
      </c>
      <c r="B36" s="256" t="n"/>
      <c r="C36" s="170" t="inlineStr">
        <is>
          <t>14.4.03.03-0002</t>
        </is>
      </c>
      <c r="D36" s="171" t="inlineStr">
        <is>
          <t>Лак битумный БТ-123</t>
        </is>
      </c>
      <c r="E36" s="170" t="inlineStr">
        <is>
          <t>т</t>
        </is>
      </c>
      <c r="F36" s="170" t="n">
        <v>0.008016000000000001</v>
      </c>
      <c r="G36" s="212" t="n">
        <v>7833.08</v>
      </c>
      <c r="H36" s="155">
        <f>ROUND(F36*G36,2)</f>
        <v/>
      </c>
      <c r="I36" s="159" t="n"/>
      <c r="J36" s="162" t="n"/>
    </row>
    <row r="37">
      <c r="A37" s="211" t="n">
        <v>22</v>
      </c>
      <c r="B37" s="256" t="n"/>
      <c r="C37" s="170" t="inlineStr">
        <is>
          <t>01.7.06.07-0002</t>
        </is>
      </c>
      <c r="D37" s="171" t="inlineStr">
        <is>
          <t>Лента монтажная, тип ЛМ-5</t>
        </is>
      </c>
      <c r="E37" s="170" t="inlineStr">
        <is>
          <t>10 м</t>
        </is>
      </c>
      <c r="F37" s="170" t="n">
        <v>8.741</v>
      </c>
      <c r="G37" s="212" t="n">
        <v>6.9</v>
      </c>
      <c r="H37" s="155">
        <f>ROUND(F37*G37,2)</f>
        <v/>
      </c>
      <c r="I37" s="159" t="n"/>
      <c r="J37" s="162" t="n"/>
    </row>
    <row r="38" ht="25.5" customHeight="1">
      <c r="A38" s="211" t="n">
        <v>23</v>
      </c>
      <c r="B38" s="256" t="n"/>
      <c r="C38" s="170" t="inlineStr">
        <is>
          <t>999-9950</t>
        </is>
      </c>
      <c r="D38" s="171" t="inlineStr">
        <is>
          <t>Вспомогательные ненормируемые материальные ресурсы</t>
        </is>
      </c>
      <c r="E38" s="170" t="inlineStr">
        <is>
          <t>руб</t>
        </is>
      </c>
      <c r="F38" s="170" t="n">
        <v>41.841456</v>
      </c>
      <c r="G38" s="212" t="n">
        <v>1.01</v>
      </c>
      <c r="H38" s="155">
        <f>ROUND(F38*G38,2)</f>
        <v/>
      </c>
      <c r="I38" s="159" t="n"/>
      <c r="J38" s="162" t="n"/>
    </row>
    <row r="39" ht="25.5" customHeight="1">
      <c r="A39" s="211" t="n">
        <v>24</v>
      </c>
      <c r="B39" s="256" t="n"/>
      <c r="C39" s="170" t="inlineStr">
        <is>
          <t>01.7.06.05-0041</t>
        </is>
      </c>
      <c r="D39" s="171" t="inlineStr">
        <is>
          <t>Лента изоляционная прорезиненная односторонняя, ширина 20 мм, толщина 0,25-0,35 мм</t>
        </is>
      </c>
      <c r="E39" s="170" t="inlineStr">
        <is>
          <t>кг</t>
        </is>
      </c>
      <c r="F39" s="170" t="n">
        <v>1.192</v>
      </c>
      <c r="G39" s="212" t="n">
        <v>30.18</v>
      </c>
      <c r="H39" s="155">
        <f>ROUND(F39*G39,2)</f>
        <v/>
      </c>
      <c r="I39" s="159" t="n"/>
      <c r="J39" s="162" t="n"/>
    </row>
    <row r="40" ht="25.5" customHeight="1">
      <c r="A40" s="211" t="n">
        <v>25</v>
      </c>
      <c r="B40" s="256" t="n"/>
      <c r="C40" s="170" t="inlineStr">
        <is>
          <t>10.3.02.03-0013</t>
        </is>
      </c>
      <c r="D40" s="171" t="inlineStr">
        <is>
          <t>Припои оловянно-свинцовые бессурьмянистые, марка ПОС61</t>
        </is>
      </c>
      <c r="E40" s="170" t="inlineStr">
        <is>
          <t>т</t>
        </is>
      </c>
      <c r="F40" s="170" t="n">
        <v>0.0002368</v>
      </c>
      <c r="G40" s="212" t="n">
        <v>114231.42</v>
      </c>
      <c r="H40" s="155">
        <f>ROUND(F40*G40,2)</f>
        <v/>
      </c>
      <c r="I40" s="159" t="n"/>
      <c r="J40" s="162" t="n"/>
    </row>
    <row r="41">
      <c r="A41" s="211" t="n">
        <v>26</v>
      </c>
      <c r="B41" s="256" t="n"/>
      <c r="C41" s="170" t="inlineStr">
        <is>
          <t>01.7.15.07-0152</t>
        </is>
      </c>
      <c r="D41" s="171" t="inlineStr">
        <is>
          <t>Дюбели с шурупом, размер 6x35 мм</t>
        </is>
      </c>
      <c r="E41" s="170" t="inlineStr">
        <is>
          <t>100 шт</t>
        </is>
      </c>
      <c r="F41" s="170" t="n">
        <v>2.8</v>
      </c>
      <c r="G41" s="212" t="n">
        <v>8</v>
      </c>
      <c r="H41" s="155">
        <f>ROUND(F41*G41,2)</f>
        <v/>
      </c>
      <c r="I41" s="159" t="n"/>
      <c r="J41" s="162" t="n"/>
    </row>
    <row r="42">
      <c r="A42" s="211" t="n">
        <v>27</v>
      </c>
      <c r="B42" s="256" t="n"/>
      <c r="C42" s="170" t="inlineStr">
        <is>
          <t>01.7.15.14-0165</t>
        </is>
      </c>
      <c r="D42" s="171" t="inlineStr">
        <is>
          <t>Шурупы с полукруглой головкой 4x40 мм</t>
        </is>
      </c>
      <c r="E42" s="170" t="inlineStr">
        <is>
          <t>т</t>
        </is>
      </c>
      <c r="F42" s="170" t="n">
        <v>0.001166</v>
      </c>
      <c r="G42" s="212" t="n">
        <v>12452.83</v>
      </c>
      <c r="H42" s="155">
        <f>ROUND(F42*G42,2)</f>
        <v/>
      </c>
      <c r="I42" s="159" t="n"/>
      <c r="J42" s="162" t="n"/>
    </row>
    <row r="43">
      <c r="A43" s="211" t="n">
        <v>28</v>
      </c>
      <c r="B43" s="256" t="n"/>
      <c r="C43" s="170" t="inlineStr">
        <is>
          <t>20.2.01.05-0005</t>
        </is>
      </c>
      <c r="D43" s="171" t="inlineStr">
        <is>
          <t>Гильзы кабельные медные ГМ 16</t>
        </is>
      </c>
      <c r="E43" s="170" t="inlineStr">
        <is>
          <t>100 шт</t>
        </is>
      </c>
      <c r="F43" s="170" t="n">
        <v>0.08</v>
      </c>
      <c r="G43" s="212" t="n">
        <v>143</v>
      </c>
      <c r="H43" s="155">
        <f>ROUND(F43*G43,2)</f>
        <v/>
      </c>
      <c r="I43" s="159" t="n"/>
      <c r="J43" s="162" t="n"/>
    </row>
    <row r="44">
      <c r="A44" s="211" t="n">
        <v>29</v>
      </c>
      <c r="B44" s="256" t="n"/>
      <c r="C44" s="170" t="inlineStr">
        <is>
          <t>01.3.01.05-0009</t>
        </is>
      </c>
      <c r="D44" s="171" t="inlineStr">
        <is>
          <t>Парафин нефтяной твердый Т-1</t>
        </is>
      </c>
      <c r="E44" s="170" t="inlineStr">
        <is>
          <t>т</t>
        </is>
      </c>
      <c r="F44" s="170" t="n">
        <v>0.00068</v>
      </c>
      <c r="G44" s="212" t="n">
        <v>8000</v>
      </c>
      <c r="H44" s="155">
        <f>ROUND(F44*G44,2)</f>
        <v/>
      </c>
      <c r="I44" s="159" t="n"/>
      <c r="J44" s="162" t="n"/>
    </row>
    <row r="45">
      <c r="A45" s="211" t="n">
        <v>30</v>
      </c>
      <c r="B45" s="256" t="n"/>
      <c r="C45" s="170" t="inlineStr">
        <is>
          <t>24.3.01.01-0002</t>
        </is>
      </c>
      <c r="D45" s="171" t="inlineStr">
        <is>
          <t>Трубка полихлорвиниловая</t>
        </is>
      </c>
      <c r="E45" s="170" t="inlineStr">
        <is>
          <t>кг</t>
        </is>
      </c>
      <c r="F45" s="170" t="n">
        <v>0.1184</v>
      </c>
      <c r="G45" s="212" t="n">
        <v>35.73</v>
      </c>
      <c r="H45" s="155">
        <f>ROUND(F45*G45,2)</f>
        <v/>
      </c>
      <c r="I45" s="159" t="n"/>
      <c r="J45" s="162" t="n"/>
    </row>
    <row r="46">
      <c r="A46" s="211" t="n">
        <v>31</v>
      </c>
      <c r="B46" s="256" t="n"/>
      <c r="C46" s="170" t="inlineStr">
        <is>
          <t>20.2.02.01-0013</t>
        </is>
      </c>
      <c r="D46" s="171" t="inlineStr">
        <is>
          <t>Втулки, диаметр 28 мм</t>
        </is>
      </c>
      <c r="E46" s="170" t="inlineStr">
        <is>
          <t>1000 шт</t>
        </is>
      </c>
      <c r="F46" s="170" t="n">
        <v>0.01952</v>
      </c>
      <c r="G46" s="212" t="n">
        <v>176.23</v>
      </c>
      <c r="H46" s="155">
        <f>ROUND(F46*G46,2)</f>
        <v/>
      </c>
      <c r="I46" s="159" t="n"/>
      <c r="J46" s="162" t="n"/>
    </row>
    <row r="47">
      <c r="A47" s="211" t="n">
        <v>32</v>
      </c>
      <c r="B47" s="256" t="n"/>
      <c r="C47" s="170" t="inlineStr">
        <is>
          <t>01.3.01.07-0009</t>
        </is>
      </c>
      <c r="D47" s="171" t="inlineStr">
        <is>
          <t>Спирт этиловый ректификованный технический, сорт I</t>
        </is>
      </c>
      <c r="E47" s="170" t="inlineStr">
        <is>
          <t>кг</t>
        </is>
      </c>
      <c r="F47" s="170" t="n">
        <v>0.08584</v>
      </c>
      <c r="G47" s="212" t="n">
        <v>38.91</v>
      </c>
      <c r="H47" s="155">
        <f>ROUND(F47*G47,2)</f>
        <v/>
      </c>
      <c r="I47" s="159" t="n"/>
      <c r="J47" s="162" t="n"/>
    </row>
    <row r="48">
      <c r="A48" s="211" t="n">
        <v>33</v>
      </c>
      <c r="B48" s="256" t="n"/>
      <c r="C48" s="170" t="inlineStr">
        <is>
          <t>01.7.11.07-0034</t>
        </is>
      </c>
      <c r="D48" s="171" t="inlineStr">
        <is>
          <t>Электроды сварочные Э42А, диаметр 4 мм</t>
        </is>
      </c>
      <c r="E48" s="170" t="inlineStr">
        <is>
          <t>кг</t>
        </is>
      </c>
      <c r="F48" s="170" t="n">
        <v>0.3</v>
      </c>
      <c r="G48" s="212" t="n">
        <v>10.57</v>
      </c>
      <c r="H48" s="155">
        <f>ROUND(F48*G48,2)</f>
        <v/>
      </c>
      <c r="I48" s="159" t="n"/>
      <c r="J48" s="162" t="n"/>
    </row>
    <row r="49">
      <c r="A49" s="211" t="n">
        <v>34</v>
      </c>
      <c r="B49" s="256" t="n"/>
      <c r="C49" s="170" t="inlineStr">
        <is>
          <t>01.7.07.20-0002</t>
        </is>
      </c>
      <c r="D49" s="171" t="inlineStr">
        <is>
          <t>Тальк молотый, сорт I</t>
        </is>
      </c>
      <c r="E49" s="170" t="inlineStr">
        <is>
          <t>т</t>
        </is>
      </c>
      <c r="F49" s="170" t="n">
        <v>0.00168</v>
      </c>
      <c r="G49" s="212" t="n">
        <v>1821.43</v>
      </c>
      <c r="H49" s="155">
        <f>ROUND(F49*G49,2)</f>
        <v/>
      </c>
      <c r="I49" s="159" t="n"/>
      <c r="J49" s="162" t="n"/>
    </row>
    <row r="50">
      <c r="A50" s="211" t="n">
        <v>35</v>
      </c>
      <c r="B50" s="256" t="n"/>
      <c r="C50" s="170" t="inlineStr">
        <is>
          <t>14.4.02.09-0001</t>
        </is>
      </c>
      <c r="D50" s="171" t="inlineStr">
        <is>
          <t>Краска</t>
        </is>
      </c>
      <c r="E50" s="170" t="inlineStr">
        <is>
          <t>кг</t>
        </is>
      </c>
      <c r="F50" s="170" t="n">
        <v>0.082</v>
      </c>
      <c r="G50" s="212" t="n">
        <v>28.54</v>
      </c>
      <c r="H50" s="155">
        <f>ROUND(F50*G50,2)</f>
        <v/>
      </c>
      <c r="I50" s="159" t="n"/>
      <c r="J50" s="162" t="n"/>
    </row>
    <row r="51">
      <c r="A51" s="211" t="n">
        <v>36</v>
      </c>
      <c r="B51" s="256" t="n"/>
      <c r="C51" s="170" t="inlineStr">
        <is>
          <t>01.3.05.17-0002</t>
        </is>
      </c>
      <c r="D51" s="171" t="inlineStr">
        <is>
          <t>Канифоль сосновая</t>
        </is>
      </c>
      <c r="E51" s="170" t="inlineStr">
        <is>
          <t>кг</t>
        </is>
      </c>
      <c r="F51" s="170" t="n">
        <v>0.05624</v>
      </c>
      <c r="G51" s="212" t="n">
        <v>27.92</v>
      </c>
      <c r="H51" s="155">
        <f>ROUND(F51*G51,2)</f>
        <v/>
      </c>
      <c r="I51" s="159" t="n"/>
      <c r="J51" s="162" t="n"/>
    </row>
    <row r="52">
      <c r="A52" s="211" t="n">
        <v>37</v>
      </c>
      <c r="B52" s="256" t="n"/>
      <c r="C52" s="170" t="inlineStr">
        <is>
          <t>01.7.15.03-0042</t>
        </is>
      </c>
      <c r="D52" s="171" t="inlineStr">
        <is>
          <t>Болты с гайками и шайбами строительные</t>
        </is>
      </c>
      <c r="E52" s="170" t="inlineStr">
        <is>
          <t>кг</t>
        </is>
      </c>
      <c r="F52" s="170" t="n">
        <v>0.06</v>
      </c>
      <c r="G52" s="212" t="n">
        <v>9</v>
      </c>
      <c r="H52" s="155">
        <f>ROUND(F52*G52,2)</f>
        <v/>
      </c>
      <c r="I52" s="159" t="n"/>
      <c r="J52" s="162" t="n"/>
    </row>
    <row r="53">
      <c r="A53" s="211" t="n">
        <v>38</v>
      </c>
      <c r="B53" s="256" t="n"/>
      <c r="C53" s="170" t="inlineStr">
        <is>
          <t>01.3.05.11-0001</t>
        </is>
      </c>
      <c r="D53" s="171" t="inlineStr">
        <is>
          <t>Дихлорэтан технический, сорт I</t>
        </is>
      </c>
      <c r="E53" s="170" t="inlineStr">
        <is>
          <t>т</t>
        </is>
      </c>
      <c r="F53" s="170" t="n">
        <v>5.92e-05</v>
      </c>
      <c r="G53" s="212" t="n">
        <v>5067.57</v>
      </c>
      <c r="H53" s="155">
        <f>ROUND(F53*G53,2)</f>
        <v/>
      </c>
      <c r="I53" s="159" t="n"/>
      <c r="J53" s="162" t="n"/>
    </row>
    <row r="54">
      <c r="A54" s="192" t="n"/>
      <c r="C54" s="193" t="n"/>
      <c r="D54" s="193" t="n"/>
      <c r="E54" s="193" t="n"/>
      <c r="F54" s="193" t="n"/>
      <c r="G54" s="193" t="n"/>
      <c r="H54" s="194" t="n"/>
    </row>
    <row r="55">
      <c r="B55" s="140" t="inlineStr">
        <is>
          <t>Составил ______________________     А.Р. Маркова</t>
        </is>
      </c>
    </row>
    <row r="56">
      <c r="B56" s="141" t="inlineStr">
        <is>
          <t xml:space="preserve">                         (подпись, инициалы, фамилия)</t>
        </is>
      </c>
    </row>
    <row r="58">
      <c r="B58" s="140" t="inlineStr">
        <is>
          <t>Проверил ______________________        А.В. Костянецкая</t>
        </is>
      </c>
    </row>
    <row r="59">
      <c r="B59" s="141" t="inlineStr">
        <is>
          <t xml:space="preserve">                        (подпись, инициалы, фамилия)</t>
        </is>
      </c>
    </row>
  </sheetData>
  <mergeCells count="16">
    <mergeCell ref="A3:H3"/>
    <mergeCell ref="A8:A9"/>
    <mergeCell ref="A26:E26"/>
    <mergeCell ref="C8:C9"/>
    <mergeCell ref="A16:E16"/>
    <mergeCell ref="F8:F9"/>
    <mergeCell ref="E8:E9"/>
    <mergeCell ref="A24:E24"/>
    <mergeCell ref="A2:H2"/>
    <mergeCell ref="A11:E11"/>
    <mergeCell ref="D8:D9"/>
    <mergeCell ref="B8:B9"/>
    <mergeCell ref="C4:H4"/>
    <mergeCell ref="G8:H8"/>
    <mergeCell ref="A18:E18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L50"/>
  <sheetViews>
    <sheetView view="pageBreakPreview" topLeftCell="A37" workbookViewId="0">
      <selection activeCell="D43" sqref="D43"/>
    </sheetView>
  </sheetViews>
  <sheetFormatPr baseColWidth="8" defaultColWidth="9.140625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11.42578125" customWidth="1" min="6" max="6"/>
    <col width="14.42578125" customWidth="1" min="7" max="7"/>
    <col width="13.5703125" customWidth="1" min="12" max="12"/>
  </cols>
  <sheetData>
    <row r="1">
      <c r="B1" s="4" t="n"/>
      <c r="C1" s="4" t="n"/>
      <c r="D1" s="4" t="n"/>
      <c r="E1" s="4" t="n"/>
    </row>
    <row r="2">
      <c r="B2" s="4" t="n"/>
      <c r="C2" s="4" t="n"/>
      <c r="D2" s="4" t="n"/>
      <c r="E2" s="281" t="inlineStr">
        <is>
          <t>Приложение № 4</t>
        </is>
      </c>
    </row>
    <row r="3">
      <c r="B3" s="4" t="n"/>
      <c r="C3" s="4" t="n"/>
      <c r="D3" s="4" t="n"/>
      <c r="E3" s="4" t="n"/>
    </row>
    <row r="4">
      <c r="B4" s="4" t="n"/>
      <c r="C4" s="4" t="n"/>
      <c r="D4" s="4" t="n"/>
      <c r="E4" s="4" t="n"/>
    </row>
    <row r="5">
      <c r="B5" s="234" t="inlineStr">
        <is>
          <t>Ресурсная модель</t>
        </is>
      </c>
    </row>
    <row r="6">
      <c r="B6" s="158" t="n"/>
      <c r="C6" s="4" t="n"/>
      <c r="D6" s="4" t="n"/>
      <c r="E6" s="4" t="n"/>
    </row>
    <row r="7" ht="42" customHeight="1">
      <c r="B7" s="243" t="inlineStr">
        <is>
          <t>Наименование разрабатываемого показателя УНЦ — Шкаф СМПР с кол-вом ИП: 16 шт</t>
        </is>
      </c>
    </row>
    <row r="8">
      <c r="B8" s="260" t="inlineStr">
        <is>
          <t>Единица измерения  — 1 ед.</t>
        </is>
      </c>
    </row>
    <row r="9">
      <c r="B9" s="158" t="n"/>
      <c r="C9" s="4" t="n"/>
      <c r="D9" s="4" t="n"/>
      <c r="E9" s="4" t="n"/>
    </row>
    <row r="10" ht="51" customHeight="1">
      <c r="B10" s="264" t="inlineStr">
        <is>
          <t>Наименование</t>
        </is>
      </c>
      <c r="C10" s="264" t="inlineStr">
        <is>
          <t>Сметная стоимость в ценах на 01.01.2023
 (руб.)</t>
        </is>
      </c>
      <c r="D10" s="264" t="inlineStr">
        <is>
          <t>Удельный вес, 
(в СМР)</t>
        </is>
      </c>
      <c r="E10" s="264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155">
        <f>'Прил.5 Расчет СМР и ОБ'!J15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155">
        <f>'Прил.5 Расчет СМР и ОБ'!J23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155">
        <f>'Прил.5 Расчет СМР и ОБ'!J26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155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155">
        <f>'Прил.5 Расчет СМР и ОБ'!J17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155">
        <f>'Прил.5 Расчет СМР и ОБ'!J41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155">
        <f>'Прил.5 Расчет СМР и ОБ'!J66</f>
        <v/>
      </c>
      <c r="D17" s="27">
        <f>C17/$C$24</f>
        <v/>
      </c>
      <c r="E17" s="27">
        <f>C17/$C$40</f>
        <v/>
      </c>
      <c r="G17" s="340" t="n"/>
    </row>
    <row r="18">
      <c r="B18" s="25" t="inlineStr">
        <is>
          <t>МАТЕРИАЛЫ, ВСЕГО:</t>
        </is>
      </c>
      <c r="C18" s="155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155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155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ОБ'!D70</f>
        <v/>
      </c>
      <c r="D21" s="27" t="n"/>
      <c r="E21" s="25" t="n"/>
    </row>
    <row r="22">
      <c r="B22" s="25" t="inlineStr">
        <is>
          <t>Накладные расходы, руб.</t>
        </is>
      </c>
      <c r="C22" s="155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ОБ'!D69</f>
        <v/>
      </c>
      <c r="D23" s="27" t="n"/>
      <c r="E23" s="25" t="n"/>
    </row>
    <row r="24">
      <c r="B24" s="25" t="inlineStr">
        <is>
          <t>ВСЕГО СМР с НР и СП</t>
        </is>
      </c>
      <c r="C24" s="155">
        <f>C19+C20+C22</f>
        <v/>
      </c>
      <c r="D24" s="27">
        <f>C24/$C$24</f>
        <v/>
      </c>
      <c r="E24" s="27">
        <f>C24/$C$40</f>
        <v/>
      </c>
    </row>
    <row r="25" ht="25.5" customHeight="1">
      <c r="B25" s="25" t="inlineStr">
        <is>
          <t>ВСЕГО стоимость оборудования, в том числе</t>
        </is>
      </c>
      <c r="C25" s="155">
        <f>'Прил.5 Расчет СМР и ОБ'!J33</f>
        <v/>
      </c>
      <c r="D25" s="27" t="n"/>
      <c r="E25" s="27">
        <f>C25/$C$40</f>
        <v/>
      </c>
    </row>
    <row r="26" ht="25.5" customHeight="1">
      <c r="B26" s="25" t="inlineStr">
        <is>
          <t>стоимость оборудования технологического</t>
        </is>
      </c>
      <c r="C26" s="155">
        <f>'Прил.5 Расчет СМР и ОБ'!J34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  <c r="F28" s="156" t="n"/>
    </row>
    <row r="29" ht="25.5" customHeight="1">
      <c r="B29" s="25" t="inlineStr">
        <is>
          <t>Временные здания и сооружения - 3,9%</t>
        </is>
      </c>
      <c r="C29" s="26">
        <f>ROUND(C24*3.9%,2)</f>
        <v/>
      </c>
      <c r="D29" s="25" t="n"/>
      <c r="E29" s="27">
        <f>C29/$C$40</f>
        <v/>
      </c>
    </row>
    <row r="30" ht="38.25" customHeight="1">
      <c r="B30" s="25" t="inlineStr">
        <is>
          <t>Дополнительные затраты при производстве строительно-монтажных работ в зимнее время - 2,1%</t>
        </is>
      </c>
      <c r="C30" s="26">
        <f>ROUND((C24+C29)*2.1%,2)</f>
        <v/>
      </c>
      <c r="D30" s="25" t="n"/>
      <c r="E30" s="27">
        <f>C30/$C$40</f>
        <v/>
      </c>
      <c r="F30" s="156" t="n"/>
    </row>
    <row r="31">
      <c r="B31" s="25" t="inlineStr">
        <is>
          <t>Пусконаладочные работы</t>
        </is>
      </c>
      <c r="C31" s="26" t="n">
        <v>316144.1</v>
      </c>
      <c r="D31" s="25" t="n"/>
      <c r="E31" s="27">
        <f>C31/$C$40</f>
        <v/>
      </c>
    </row>
    <row r="32" ht="25.5" customHeight="1">
      <c r="B32" s="25" t="inlineStr">
        <is>
          <t>Затраты по перевозке работников к месту работы и обратно</t>
        </is>
      </c>
      <c r="C32" s="26">
        <f>ROUND(C27*0%,2)</f>
        <v/>
      </c>
      <c r="D32" s="25" t="n"/>
      <c r="E32" s="27">
        <f>C32/$C$40</f>
        <v/>
      </c>
    </row>
    <row r="33" ht="25.5" customHeight="1">
      <c r="B33" s="25" t="inlineStr">
        <is>
          <t>Затраты, связанные с осуществлением работ вахтовым методом</t>
        </is>
      </c>
      <c r="C33" s="26">
        <f>ROUND(C28*0%,2)</f>
        <v/>
      </c>
      <c r="D33" s="25" t="n"/>
      <c r="E33" s="27">
        <f>C33/$C$40</f>
        <v/>
      </c>
    </row>
    <row r="34" ht="51" customHeight="1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>
        <f>ROUND(C29*0%,2)</f>
        <v/>
      </c>
      <c r="D34" s="25" t="n"/>
      <c r="E34" s="27">
        <f>C34/$C$40</f>
        <v/>
      </c>
      <c r="H34" s="159" t="n"/>
    </row>
    <row r="35" ht="76.5" customHeight="1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>
        <f>ROUND(C30*0%,2)</f>
        <v/>
      </c>
      <c r="D35" s="25" t="n"/>
      <c r="E35" s="180">
        <f>C35/$C$40</f>
        <v/>
      </c>
    </row>
    <row r="36" ht="25.5" customHeight="1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180">
        <f>C36/$C$40</f>
        <v/>
      </c>
      <c r="G36" s="181" t="n"/>
      <c r="L36" s="156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180">
        <f>C37/$C$40</f>
        <v/>
      </c>
      <c r="G37" s="182" t="n"/>
      <c r="L37" s="156" t="n"/>
    </row>
    <row r="38" ht="38.25" customHeight="1">
      <c r="B38" s="25" t="inlineStr">
        <is>
          <t>ИТОГО (СМР+ОБОРУДОВАНИЕ+ПРОЧ. ЗАТР., УЧТЕННЫЕ ПОКАЗАТЕЛЕМ)</t>
        </is>
      </c>
      <c r="C38" s="155">
        <f>C27+C32+C33+C34+C35+C29+C31+C30+C36+C37</f>
        <v/>
      </c>
      <c r="D38" s="25" t="n"/>
      <c r="E38" s="180">
        <f>C38/$C$40</f>
        <v/>
      </c>
    </row>
    <row r="39" ht="13.5" customHeight="1">
      <c r="B39" s="25" t="inlineStr">
        <is>
          <t>Непредвиденные расходы</t>
        </is>
      </c>
      <c r="C39" s="155">
        <f>ROUND(C38*3%,2)</f>
        <v/>
      </c>
      <c r="D39" s="25" t="n"/>
      <c r="E39" s="180">
        <f>C39/$C$38</f>
        <v/>
      </c>
    </row>
    <row r="40">
      <c r="B40" s="25" t="inlineStr">
        <is>
          <t>ВСЕГО:</t>
        </is>
      </c>
      <c r="C40" s="155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155">
        <f>C40/'Прил.5 Расчет СМР и ОБ'!E73</f>
        <v/>
      </c>
      <c r="D41" s="25" t="n"/>
      <c r="E41" s="25" t="n"/>
    </row>
    <row r="42">
      <c r="B42" s="154" t="n"/>
      <c r="C42" s="4" t="n"/>
      <c r="D42" s="4" t="n"/>
      <c r="E42" s="4" t="n"/>
    </row>
    <row r="43">
      <c r="B43" s="154" t="inlineStr">
        <is>
          <t>Составил ____________________________ А.Р. Маркова</t>
        </is>
      </c>
      <c r="C43" s="4" t="n"/>
      <c r="D43" s="4" t="n"/>
      <c r="E43" s="4" t="n"/>
    </row>
    <row r="44">
      <c r="B44" s="154" t="inlineStr">
        <is>
          <t xml:space="preserve">(должность, подпись, инициалы, фамилия) </t>
        </is>
      </c>
      <c r="C44" s="4" t="n"/>
      <c r="D44" s="4" t="n"/>
      <c r="E44" s="4" t="n"/>
    </row>
    <row r="45">
      <c r="B45" s="154" t="n"/>
      <c r="C45" s="4" t="n"/>
      <c r="D45" s="4" t="n"/>
      <c r="E45" s="4" t="n"/>
    </row>
    <row r="46">
      <c r="B46" s="154" t="inlineStr">
        <is>
          <t>Проверил ____________________________ А.В. Костянецкая</t>
        </is>
      </c>
      <c r="C46" s="4" t="n"/>
      <c r="D46" s="4" t="n"/>
      <c r="E46" s="4" t="n"/>
    </row>
    <row r="47">
      <c r="B47" s="260" t="inlineStr">
        <is>
          <t>(должность, подпись, инициалы, фамилия)</t>
        </is>
      </c>
      <c r="D47" s="4" t="n"/>
      <c r="E47" s="4" t="n"/>
    </row>
    <row r="49">
      <c r="B49" s="4" t="n"/>
      <c r="C49" s="4" t="n"/>
      <c r="D49" s="4" t="n"/>
      <c r="E49" s="4" t="n"/>
    </row>
    <row r="50">
      <c r="B50" s="4" t="n"/>
      <c r="C50" s="4" t="n"/>
      <c r="D50" s="4" t="n"/>
      <c r="E50" s="4" t="n"/>
    </row>
  </sheetData>
  <mergeCells count="4">
    <mergeCell ref="B7:E7"/>
    <mergeCell ref="B47:C47"/>
    <mergeCell ref="B8:E8"/>
    <mergeCell ref="B5:E5"/>
  </mergeCells>
  <pageMargins left="0.7086614173228351" right="0.7086614173228351" top="0.748031496062992" bottom="0.748031496062992" header="0.31496062992126" footer="0.31496062992126"/>
  <pageSetup orientation="portrait" paperSize="9" scale="75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79"/>
  <sheetViews>
    <sheetView tabSelected="1" view="pageBreakPreview" topLeftCell="A66" zoomScale="130" zoomScaleSheetLayoutView="130" workbookViewId="0">
      <selection activeCell="E76" sqref="E76"/>
    </sheetView>
  </sheetViews>
  <sheetFormatPr baseColWidth="8" defaultColWidth="9.140625" defaultRowHeight="15" outlineLevelRow="1"/>
  <cols>
    <col width="5.7109375" customWidth="1" style="12" min="1" max="1"/>
    <col width="22.5703125" customWidth="1" style="184" min="2" max="2"/>
    <col width="39.140625" customWidth="1" style="185" min="3" max="3"/>
    <col width="10.7109375" customWidth="1" style="185" min="4" max="4"/>
    <col width="12.7109375" customWidth="1" style="185" min="5" max="5"/>
    <col width="15" customWidth="1" style="185" min="6" max="6"/>
    <col width="13.42578125" customWidth="1" style="12" min="7" max="7"/>
    <col width="12.7109375" customWidth="1" style="12" min="8" max="8"/>
    <col width="13.85546875" customWidth="1" style="12" min="9" max="9"/>
    <col width="17.5703125" customWidth="1" style="12" min="10" max="10"/>
    <col width="10.85546875" customWidth="1" style="12" min="11" max="11"/>
    <col width="9.140625" customWidth="1" style="12" min="12" max="12"/>
  </cols>
  <sheetData>
    <row r="1">
      <c r="M1" s="12" t="n"/>
      <c r="N1" s="12" t="n"/>
    </row>
    <row r="2" ht="15.75" customHeight="1">
      <c r="H2" s="261" t="inlineStr">
        <is>
          <t>Приложение №5</t>
        </is>
      </c>
      <c r="M2" s="12" t="n"/>
      <c r="N2" s="12" t="n"/>
    </row>
    <row r="3">
      <c r="M3" s="12" t="n"/>
      <c r="N3" s="12" t="n"/>
    </row>
    <row r="4" ht="12.75" customFormat="1" customHeight="1" s="4">
      <c r="A4" s="234" t="inlineStr">
        <is>
          <t>Расчет стоимости СМР и оборудования</t>
        </is>
      </c>
    </row>
    <row r="5" ht="12.75" customFormat="1" customHeight="1" s="4">
      <c r="A5" s="234" t="n"/>
      <c r="B5" s="234" t="n"/>
      <c r="C5" s="189" t="n"/>
      <c r="D5" s="234" t="n"/>
      <c r="E5" s="234" t="n"/>
      <c r="F5" s="234" t="n"/>
      <c r="G5" s="234" t="n"/>
      <c r="H5" s="234" t="n"/>
      <c r="I5" s="234" t="n"/>
      <c r="J5" s="234" t="n"/>
    </row>
    <row r="6" ht="27.6" customFormat="1" customHeight="1" s="4">
      <c r="A6" s="135" t="inlineStr">
        <is>
          <t>Наименование разрабатываемого показателя УНЦ</t>
        </is>
      </c>
      <c r="B6" s="267" t="n"/>
      <c r="C6" s="134" t="n"/>
      <c r="D6" s="267" t="inlineStr">
        <is>
          <t>Шкаф СМПР с кол-вом ИП: 16 шт</t>
        </is>
      </c>
    </row>
    <row r="7" ht="12.75" customFormat="1" customHeight="1" s="4">
      <c r="A7" s="237" t="inlineStr">
        <is>
          <t>Единица измерения  — 1 ед.</t>
        </is>
      </c>
      <c r="I7" s="243" t="n"/>
      <c r="J7" s="243" t="n"/>
    </row>
    <row r="8" ht="13.5" customFormat="1" customHeight="1" s="4">
      <c r="A8" s="237" t="n"/>
    </row>
    <row r="9" ht="13.15" customFormat="1" customHeight="1" s="4">
      <c r="B9" s="1" t="n"/>
      <c r="C9" s="154" t="n"/>
      <c r="D9" s="154" t="n"/>
      <c r="E9" s="154" t="n"/>
      <c r="F9" s="154" t="n"/>
    </row>
    <row r="10" ht="27" customHeight="1">
      <c r="A10" s="264" t="inlineStr">
        <is>
          <t>№ пп.</t>
        </is>
      </c>
      <c r="B10" s="264" t="inlineStr">
        <is>
          <t>Код ресурса</t>
        </is>
      </c>
      <c r="C10" s="264" t="inlineStr">
        <is>
          <t>Наименование</t>
        </is>
      </c>
      <c r="D10" s="264" t="inlineStr">
        <is>
          <t>Ед. изм.</t>
        </is>
      </c>
      <c r="E10" s="264" t="inlineStr">
        <is>
          <t>Кол-во единиц по проектным данным</t>
        </is>
      </c>
      <c r="F10" s="264" t="inlineStr">
        <is>
          <t>Сметная стоимость в ценах на 01.01.2000 (руб.)</t>
        </is>
      </c>
      <c r="G10" s="332" t="n"/>
      <c r="H10" s="264" t="inlineStr">
        <is>
          <t>Удельный вес, %</t>
        </is>
      </c>
      <c r="I10" s="264" t="inlineStr">
        <is>
          <t>Сметная стоимость в ценах на 01.01.2023 (руб.)</t>
        </is>
      </c>
      <c r="J10" s="332" t="n"/>
      <c r="M10" s="12" t="n"/>
      <c r="N10" s="12" t="n"/>
    </row>
    <row r="11" ht="28.5" customHeight="1">
      <c r="A11" s="334" t="n"/>
      <c r="B11" s="334" t="n"/>
      <c r="C11" s="334" t="n"/>
      <c r="D11" s="334" t="n"/>
      <c r="E11" s="334" t="n"/>
      <c r="F11" s="264" t="inlineStr">
        <is>
          <t>на ед. изм.</t>
        </is>
      </c>
      <c r="G11" s="264" t="inlineStr">
        <is>
          <t>общая</t>
        </is>
      </c>
      <c r="H11" s="334" t="n"/>
      <c r="I11" s="264" t="inlineStr">
        <is>
          <t>на ед. изм.</t>
        </is>
      </c>
      <c r="J11" s="264" t="inlineStr">
        <is>
          <t>общая</t>
        </is>
      </c>
      <c r="M11" s="12" t="n"/>
      <c r="N11" s="12" t="n"/>
    </row>
    <row r="12">
      <c r="A12" s="264" t="n">
        <v>1</v>
      </c>
      <c r="B12" s="264" t="n">
        <v>2</v>
      </c>
      <c r="C12" s="25" t="n">
        <v>3</v>
      </c>
      <c r="D12" s="264" t="n">
        <v>4</v>
      </c>
      <c r="E12" s="264" t="n">
        <v>5</v>
      </c>
      <c r="F12" s="264" t="n">
        <v>6</v>
      </c>
      <c r="G12" s="264" t="n">
        <v>7</v>
      </c>
      <c r="H12" s="264" t="n">
        <v>8</v>
      </c>
      <c r="I12" s="265" t="n">
        <v>9</v>
      </c>
      <c r="J12" s="265" t="n">
        <v>10</v>
      </c>
      <c r="M12" s="12" t="n"/>
      <c r="N12" s="12" t="n"/>
    </row>
    <row r="13">
      <c r="A13" s="264" t="n"/>
      <c r="B13" s="272" t="inlineStr">
        <is>
          <t>Затраты труда рабочих-строителей</t>
        </is>
      </c>
      <c r="C13" s="331" t="n"/>
      <c r="D13" s="331" t="n"/>
      <c r="E13" s="331" t="n"/>
      <c r="F13" s="331" t="n"/>
      <c r="G13" s="331" t="n"/>
      <c r="H13" s="332" t="n"/>
      <c r="I13" s="124" t="n"/>
      <c r="J13" s="124" t="n"/>
    </row>
    <row r="14" ht="25.5" customHeight="1">
      <c r="A14" s="264" t="n">
        <v>1</v>
      </c>
      <c r="B14" s="133" t="inlineStr">
        <is>
          <t>1-3-8</t>
        </is>
      </c>
      <c r="C14" s="25" t="inlineStr">
        <is>
          <t>Затраты труда рабочих-строителей среднего разряда (3,8)</t>
        </is>
      </c>
      <c r="D14" s="264" t="inlineStr">
        <is>
          <t>чел.-ч.</t>
        </is>
      </c>
      <c r="E14" s="341">
        <f>G14/F14</f>
        <v/>
      </c>
      <c r="F14" s="32" t="n">
        <v>9.4</v>
      </c>
      <c r="G14" s="32">
        <f>'Прил. 3'!H11</f>
        <v/>
      </c>
      <c r="H14" s="127">
        <f>G14/G15</f>
        <v/>
      </c>
      <c r="I14" s="32">
        <f>'ФОТр.тек.'!E13</f>
        <v/>
      </c>
      <c r="J14" s="32">
        <f>ROUND(I14*E14,2)</f>
        <v/>
      </c>
    </row>
    <row r="15" ht="25.5" customFormat="1" customHeight="1" s="12">
      <c r="A15" s="264" t="n"/>
      <c r="B15" s="264" t="n"/>
      <c r="C15" s="10" t="inlineStr">
        <is>
          <t>Итого по разделу "Затраты труда рабочих-строителей"</t>
        </is>
      </c>
      <c r="D15" s="264" t="inlineStr">
        <is>
          <t>чел.-ч.</t>
        </is>
      </c>
      <c r="E15" s="341">
        <f>SUM(E14:E14)</f>
        <v/>
      </c>
      <c r="F15" s="32" t="n"/>
      <c r="G15" s="32">
        <f>SUM(G14:G14)</f>
        <v/>
      </c>
      <c r="H15" s="276" t="n">
        <v>1</v>
      </c>
      <c r="I15" s="124" t="n"/>
      <c r="J15" s="32">
        <f>SUM(J14:J14)</f>
        <v/>
      </c>
    </row>
    <row r="16" ht="14.25" customFormat="1" customHeight="1" s="12">
      <c r="A16" s="264" t="n"/>
      <c r="B16" s="273" t="inlineStr">
        <is>
          <t>Затраты труда машинистов</t>
        </is>
      </c>
      <c r="C16" s="331" t="n"/>
      <c r="D16" s="331" t="n"/>
      <c r="E16" s="331" t="n"/>
      <c r="F16" s="331" t="n"/>
      <c r="G16" s="331" t="n"/>
      <c r="H16" s="332" t="n"/>
      <c r="I16" s="124" t="n"/>
      <c r="J16" s="124" t="n"/>
    </row>
    <row r="17" ht="14.25" customFormat="1" customHeight="1" s="12">
      <c r="A17" s="264" t="n">
        <v>2</v>
      </c>
      <c r="B17" s="264" t="n">
        <v>2</v>
      </c>
      <c r="C17" s="25" t="inlineStr">
        <is>
          <t>Затраты труда машинистов</t>
        </is>
      </c>
      <c r="D17" s="264" t="inlineStr">
        <is>
          <t>чел.-ч.</t>
        </is>
      </c>
      <c r="E17" s="342" t="n">
        <v>7.636</v>
      </c>
      <c r="F17" s="32">
        <f>G17/E17</f>
        <v/>
      </c>
      <c r="G17" s="32">
        <f>'Прил. 3'!H16</f>
        <v/>
      </c>
      <c r="H17" s="276" t="n">
        <v>1</v>
      </c>
      <c r="I17" s="32">
        <f>ROUND(F17*'Прил. 10'!D11,2)</f>
        <v/>
      </c>
      <c r="J17" s="32">
        <f>ROUND(I17*E17,2)</f>
        <v/>
      </c>
    </row>
    <row r="18" ht="14.25" customFormat="1" customHeight="1" s="12">
      <c r="A18" s="264" t="n"/>
      <c r="B18" s="272" t="inlineStr">
        <is>
          <t>Машины и механизмы</t>
        </is>
      </c>
      <c r="C18" s="331" t="n"/>
      <c r="D18" s="331" t="n"/>
      <c r="E18" s="331" t="n"/>
      <c r="F18" s="331" t="n"/>
      <c r="G18" s="331" t="n"/>
      <c r="H18" s="332" t="n"/>
      <c r="I18" s="124" t="n"/>
      <c r="J18" s="124" t="n"/>
    </row>
    <row r="19" ht="14.25" customFormat="1" customHeight="1" s="12">
      <c r="A19" s="264" t="n"/>
      <c r="B19" s="273" t="inlineStr">
        <is>
          <t>Основные машины и механизмы</t>
        </is>
      </c>
      <c r="C19" s="331" t="n"/>
      <c r="D19" s="331" t="n"/>
      <c r="E19" s="331" t="n"/>
      <c r="F19" s="331" t="n"/>
      <c r="G19" s="331" t="n"/>
      <c r="H19" s="332" t="n"/>
      <c r="I19" s="124" t="n"/>
      <c r="J19" s="124" t="n"/>
    </row>
    <row r="20" ht="25.5" customFormat="1" customHeight="1" s="12">
      <c r="A20" s="264" t="n">
        <v>3</v>
      </c>
      <c r="B20" s="170" t="inlineStr">
        <is>
          <t>91.05.05-015</t>
        </is>
      </c>
      <c r="C20" s="171" t="inlineStr">
        <is>
          <t>Краны на автомобильном ходу, грузоподъемность 16 т</t>
        </is>
      </c>
      <c r="D20" s="170" t="inlineStr">
        <is>
          <t>маш.-ч.</t>
        </is>
      </c>
      <c r="E20" s="343" t="n">
        <v>3.818</v>
      </c>
      <c r="F20" s="183" t="n">
        <v>115.4</v>
      </c>
      <c r="G20" s="32">
        <f>ROUND(E20*F20,2)</f>
        <v/>
      </c>
      <c r="H20" s="127">
        <f>G20/$G$27</f>
        <v/>
      </c>
      <c r="I20" s="32">
        <f>ROUND(F20*'Прил. 10'!$D$12,2)</f>
        <v/>
      </c>
      <c r="J20" s="32">
        <f>ROUND(I20*E20,2)</f>
        <v/>
      </c>
    </row>
    <row r="21" ht="25.5" customFormat="1" customHeight="1" s="12">
      <c r="A21" s="264" t="n">
        <v>4</v>
      </c>
      <c r="B21" s="170" t="inlineStr">
        <is>
          <t>91.14.02-001</t>
        </is>
      </c>
      <c r="C21" s="171" t="inlineStr">
        <is>
          <t>Автомобили бортовые, грузоподъемность до 5 т</t>
        </is>
      </c>
      <c r="D21" s="170" t="inlineStr">
        <is>
          <t>маш.-ч.</t>
        </is>
      </c>
      <c r="E21" s="343" t="n">
        <v>3.818</v>
      </c>
      <c r="F21" s="183" t="n">
        <v>65.7</v>
      </c>
      <c r="G21" s="32">
        <f>ROUND(E21*F21,2)</f>
        <v/>
      </c>
      <c r="H21" s="127">
        <f>G21/$G$27</f>
        <v/>
      </c>
      <c r="I21" s="32">
        <f>ROUND(F21*'Прил. 10'!$D$12,2)</f>
        <v/>
      </c>
      <c r="J21" s="32">
        <f>ROUND(I21*E21,2)</f>
        <v/>
      </c>
    </row>
    <row r="22" ht="25.5" customFormat="1" customHeight="1" s="12">
      <c r="A22" s="264" t="n">
        <v>5</v>
      </c>
      <c r="B22" s="170" t="inlineStr">
        <is>
          <t>91.06.03-061</t>
        </is>
      </c>
      <c r="C22" s="171" t="inlineStr">
        <is>
          <t>Лебедки электрические тяговым усилием до 12,26 кН (1,25 т)</t>
        </is>
      </c>
      <c r="D22" s="170" t="inlineStr">
        <is>
          <t>маш.-ч.</t>
        </is>
      </c>
      <c r="E22" s="343" t="n">
        <v>32.088</v>
      </c>
      <c r="F22" s="183" t="n">
        <v>3.28</v>
      </c>
      <c r="G22" s="32">
        <f>ROUND(E22*F22,2)</f>
        <v/>
      </c>
      <c r="H22" s="127">
        <f>G22/$G$27</f>
        <v/>
      </c>
      <c r="I22" s="32">
        <f>ROUND(F22*'Прил. 10'!$D$12,2)</f>
        <v/>
      </c>
      <c r="J22" s="32">
        <f>ROUND(I22*E22,2)</f>
        <v/>
      </c>
    </row>
    <row r="23" ht="14.25" customFormat="1" customHeight="1" s="12">
      <c r="A23" s="264" t="n"/>
      <c r="B23" s="264" t="n"/>
      <c r="C23" s="25" t="inlineStr">
        <is>
          <t>Итого основные машины и механизмы</t>
        </is>
      </c>
      <c r="D23" s="264" t="n"/>
      <c r="E23" s="342" t="n"/>
      <c r="F23" s="32" t="n"/>
      <c r="G23" s="32">
        <f>SUM(G20:G22)</f>
        <v/>
      </c>
      <c r="H23" s="276">
        <f>G23/G27</f>
        <v/>
      </c>
      <c r="I23" s="126" t="n"/>
      <c r="J23" s="32">
        <f>SUM(J20:J22)</f>
        <v/>
      </c>
    </row>
    <row r="24" hidden="1" outlineLevel="1" ht="25.5" customFormat="1" customHeight="1" s="12">
      <c r="A24" s="264" t="n">
        <v>6</v>
      </c>
      <c r="B24" s="170" t="inlineStr">
        <is>
          <t>91.06.01-003</t>
        </is>
      </c>
      <c r="C24" s="171" t="inlineStr">
        <is>
          <t>Домкраты гидравлические, грузоподъемность 63-100 т</t>
        </is>
      </c>
      <c r="D24" s="170" t="inlineStr">
        <is>
          <t>маш.-ч.</t>
        </is>
      </c>
      <c r="E24" s="343" t="n">
        <v>32.088</v>
      </c>
      <c r="F24" s="183" t="n">
        <v>0.9</v>
      </c>
      <c r="G24" s="32">
        <f>ROUND(E24*F24,2)</f>
        <v/>
      </c>
      <c r="H24" s="127">
        <f>G24/$G$27</f>
        <v/>
      </c>
      <c r="I24" s="32">
        <f>ROUND(F24*'Прил. 10'!$D$12,2)</f>
        <v/>
      </c>
      <c r="J24" s="32">
        <f>ROUND(I24*E24,2)</f>
        <v/>
      </c>
    </row>
    <row r="25" hidden="1" outlineLevel="1" ht="25.5" customFormat="1" customHeight="1" s="12">
      <c r="A25" s="264" t="n">
        <v>7</v>
      </c>
      <c r="B25" s="170" t="inlineStr">
        <is>
          <t>91.17.04-233</t>
        </is>
      </c>
      <c r="C25" s="171" t="inlineStr">
        <is>
          <t>Установки для сварки ручной дуговой (постоянного тока)</t>
        </is>
      </c>
      <c r="D25" s="170" t="inlineStr">
        <is>
          <t>маш.-ч.</t>
        </is>
      </c>
      <c r="E25" s="343" t="n">
        <v>0.9</v>
      </c>
      <c r="F25" s="183" t="n">
        <v>8.1</v>
      </c>
      <c r="G25" s="32">
        <f>ROUND(E25*F25,2)</f>
        <v/>
      </c>
      <c r="H25" s="127">
        <f>G25/$G$27</f>
        <v/>
      </c>
      <c r="I25" s="32">
        <f>ROUND(F25*'Прил. 10'!$D$12,2)</f>
        <v/>
      </c>
      <c r="J25" s="32">
        <f>ROUND(I25*E25,2)</f>
        <v/>
      </c>
    </row>
    <row r="26" collapsed="1" ht="14.25" customFormat="1" customHeight="1" s="12">
      <c r="A26" s="264" t="n"/>
      <c r="B26" s="264" t="n"/>
      <c r="C26" s="25" t="inlineStr">
        <is>
          <t>Итого прочие машины и механизмы</t>
        </is>
      </c>
      <c r="D26" s="264" t="n"/>
      <c r="E26" s="274" t="n"/>
      <c r="F26" s="32" t="n"/>
      <c r="G26" s="126">
        <f>SUM(G24:G25)</f>
        <v/>
      </c>
      <c r="H26" s="127">
        <f>G26/G27</f>
        <v/>
      </c>
      <c r="I26" s="32" t="n"/>
      <c r="J26" s="32">
        <f>SUM(J24:J25)</f>
        <v/>
      </c>
    </row>
    <row r="27" ht="25.5" customFormat="1" customHeight="1" s="12">
      <c r="A27" s="264" t="n"/>
      <c r="B27" s="264" t="n"/>
      <c r="C27" s="10" t="inlineStr">
        <is>
          <t>Итого по разделу «Машины и механизмы»</t>
        </is>
      </c>
      <c r="D27" s="264" t="n"/>
      <c r="E27" s="274" t="n"/>
      <c r="F27" s="32" t="n"/>
      <c r="G27" s="32">
        <f>G26+G23</f>
        <v/>
      </c>
      <c r="H27" s="128" t="n">
        <v>1</v>
      </c>
      <c r="I27" s="129" t="n"/>
      <c r="J27" s="130">
        <f>J26+J23</f>
        <v/>
      </c>
    </row>
    <row r="28" ht="14.25" customFormat="1" customHeight="1" s="12">
      <c r="A28" s="264" t="n"/>
      <c r="B28" s="272" t="inlineStr">
        <is>
          <t>Оборудование</t>
        </is>
      </c>
      <c r="C28" s="331" t="n"/>
      <c r="D28" s="331" t="n"/>
      <c r="E28" s="331" t="n"/>
      <c r="F28" s="331" t="n"/>
      <c r="G28" s="331" t="n"/>
      <c r="H28" s="332" t="n"/>
      <c r="I28" s="124" t="n"/>
      <c r="J28" s="124" t="n"/>
    </row>
    <row r="29">
      <c r="A29" s="264" t="n"/>
      <c r="B29" s="273" t="inlineStr">
        <is>
          <t>Основное оборудование</t>
        </is>
      </c>
      <c r="C29" s="331" t="n"/>
      <c r="D29" s="331" t="n"/>
      <c r="E29" s="331" t="n"/>
      <c r="F29" s="331" t="n"/>
      <c r="G29" s="331" t="n"/>
      <c r="H29" s="332" t="n"/>
      <c r="I29" s="124" t="n"/>
      <c r="J29" s="124" t="n"/>
    </row>
    <row r="30" ht="32.45" customFormat="1" customHeight="1" s="12">
      <c r="A30" s="264" t="n">
        <v>8</v>
      </c>
      <c r="B30" s="264" t="inlineStr">
        <is>
          <t>БЦ.31_1.27</t>
        </is>
      </c>
      <c r="C30" s="25" t="inlineStr">
        <is>
          <t>Шкаф СМПР с кол-вом ИП: 16 шт</t>
        </is>
      </c>
      <c r="D30" s="264" t="inlineStr">
        <is>
          <t>шт</t>
        </is>
      </c>
      <c r="E30" s="342" t="n">
        <v>1</v>
      </c>
      <c r="F30" s="285">
        <f>ROUND(I30/'Прил. 10'!$D$14,2)</f>
        <v/>
      </c>
      <c r="G30" s="32">
        <f>ROUND(E30*F30,2)</f>
        <v/>
      </c>
      <c r="H30" s="127">
        <f>G30/$G$33</f>
        <v/>
      </c>
      <c r="I30" s="167" t="n">
        <v>15033600</v>
      </c>
      <c r="J30" s="32">
        <f>ROUND(I30*E30,2)</f>
        <v/>
      </c>
    </row>
    <row r="31">
      <c r="A31" s="264" t="n"/>
      <c r="B31" s="264" t="n"/>
      <c r="C31" s="25" t="inlineStr">
        <is>
          <t>Итого основное оборудование</t>
        </is>
      </c>
      <c r="D31" s="264" t="n"/>
      <c r="E31" s="342" t="n"/>
      <c r="F31" s="275" t="n"/>
      <c r="G31" s="32">
        <f>G30</f>
        <v/>
      </c>
      <c r="H31" s="127">
        <f>G31/$G$33</f>
        <v/>
      </c>
      <c r="I31" s="126" t="n"/>
      <c r="J31" s="32">
        <f>J30</f>
        <v/>
      </c>
    </row>
    <row r="32">
      <c r="A32" s="264" t="n"/>
      <c r="B32" s="264" t="n"/>
      <c r="C32" s="25" t="inlineStr">
        <is>
          <t>Итого прочее оборудование</t>
        </is>
      </c>
      <c r="D32" s="169" t="n"/>
      <c r="E32" s="342" t="n"/>
      <c r="F32" s="275" t="n"/>
      <c r="G32" s="32" t="n">
        <v>0</v>
      </c>
      <c r="H32" s="127">
        <f>G32/$G$33</f>
        <v/>
      </c>
      <c r="I32" s="126" t="n"/>
      <c r="J32" s="32" t="n">
        <v>0</v>
      </c>
    </row>
    <row r="33">
      <c r="A33" s="264" t="n"/>
      <c r="B33" s="264" t="n"/>
      <c r="C33" s="10" t="inlineStr">
        <is>
          <t>Итого по разделу «Оборудование»</t>
        </is>
      </c>
      <c r="D33" s="264" t="n"/>
      <c r="E33" s="274" t="n"/>
      <c r="F33" s="275" t="n"/>
      <c r="G33" s="32">
        <f>G31+G32</f>
        <v/>
      </c>
      <c r="H33" s="127">
        <f>G33/$G$33</f>
        <v/>
      </c>
      <c r="I33" s="126" t="n"/>
      <c r="J33" s="32">
        <f>J31+J32</f>
        <v/>
      </c>
    </row>
    <row r="34" ht="25.5" customHeight="1">
      <c r="A34" s="264" t="n"/>
      <c r="B34" s="264" t="n"/>
      <c r="C34" s="25" t="inlineStr">
        <is>
          <t>в том числе технологическое оборудование</t>
        </is>
      </c>
      <c r="D34" s="264" t="n"/>
      <c r="E34" s="342" t="n"/>
      <c r="F34" s="275" t="n"/>
      <c r="G34" s="32">
        <f>'Прил.6 Расчет ОБ'!G13</f>
        <v/>
      </c>
      <c r="H34" s="276" t="n"/>
      <c r="I34" s="126" t="n"/>
      <c r="J34" s="32">
        <f>J33</f>
        <v/>
      </c>
    </row>
    <row r="35" ht="14.25" customFormat="1" customHeight="1" s="12">
      <c r="A35" s="264" t="n"/>
      <c r="B35" s="272" t="inlineStr">
        <is>
          <t>Материалы</t>
        </is>
      </c>
      <c r="C35" s="331" t="n"/>
      <c r="D35" s="331" t="n"/>
      <c r="E35" s="331" t="n"/>
      <c r="F35" s="331" t="n"/>
      <c r="G35" s="331" t="n"/>
      <c r="H35" s="332" t="n"/>
      <c r="I35" s="124" t="n"/>
      <c r="J35" s="124" t="n"/>
    </row>
    <row r="36" ht="14.25" customFormat="1" customHeight="1" s="12">
      <c r="A36" s="265" t="n"/>
      <c r="B36" s="268" t="inlineStr">
        <is>
          <t>Основные материалы</t>
        </is>
      </c>
      <c r="C36" s="344" t="n"/>
      <c r="D36" s="344" t="n"/>
      <c r="E36" s="344" t="n"/>
      <c r="F36" s="344" t="n"/>
      <c r="G36" s="344" t="n"/>
      <c r="H36" s="345" t="n"/>
      <c r="I36" s="136" t="n"/>
      <c r="J36" s="136" t="n"/>
    </row>
    <row r="37" ht="19.15" customFormat="1" customHeight="1" s="12">
      <c r="A37" s="264" t="n">
        <v>9</v>
      </c>
      <c r="B37" s="170" t="inlineStr">
        <is>
          <t>21.1.08.03-0579</t>
        </is>
      </c>
      <c r="C37" s="171" t="inlineStr">
        <is>
          <t>Кабель контрольный КВВГЭнг(А)-LS 5x2,5</t>
        </is>
      </c>
      <c r="D37" s="170" t="inlineStr">
        <is>
          <t>1000 м</t>
        </is>
      </c>
      <c r="E37" s="343">
        <f>G37/F37</f>
        <v/>
      </c>
      <c r="F37" s="171" t="n">
        <v>38348.22</v>
      </c>
      <c r="G37" s="32">
        <f>G38+G39+G40</f>
        <v/>
      </c>
      <c r="H37" s="127">
        <f>G37/$G$67</f>
        <v/>
      </c>
      <c r="I37" s="32">
        <f>ROUND(F37*'Прил. 10'!$D$13,2)</f>
        <v/>
      </c>
      <c r="J37" s="32">
        <f>ROUND(I37*E37,2)</f>
        <v/>
      </c>
    </row>
    <row r="38" hidden="1" outlineLevel="1" ht="19.9" customFormat="1" customHeight="1" s="12">
      <c r="A38" s="264" t="n"/>
      <c r="B38" s="170" t="inlineStr">
        <is>
          <t>21.1.08.03-0579</t>
        </is>
      </c>
      <c r="C38" s="171" t="inlineStr">
        <is>
          <t>Кабель контрольный КВВГЭнг(А)-LS 5x2,5</t>
        </is>
      </c>
      <c r="D38" s="170" t="inlineStr">
        <is>
          <t>1000 м</t>
        </is>
      </c>
      <c r="E38" s="346" t="n">
        <v>0.8159999999999999</v>
      </c>
      <c r="F38" s="171" t="n">
        <v>38348.22</v>
      </c>
      <c r="G38" s="32">
        <f>ROUND(E38*F38,2)</f>
        <v/>
      </c>
      <c r="H38" s="127">
        <f>G38/$G$67</f>
        <v/>
      </c>
      <c r="I38" s="32">
        <f>ROUND(F38*'Прил. 10'!$D$13,2)</f>
        <v/>
      </c>
      <c r="J38" s="32">
        <f>ROUND(I38*E38,2)</f>
        <v/>
      </c>
    </row>
    <row r="39" hidden="1" outlineLevel="1" ht="18.6" customFormat="1" customHeight="1" s="12">
      <c r="A39" s="264" t="n"/>
      <c r="B39" s="170" t="inlineStr">
        <is>
          <t>21.1.08.03-0578</t>
        </is>
      </c>
      <c r="C39" s="171" t="inlineStr">
        <is>
          <t>Кабель контрольный КВВГЭнг(A)-LS 5х1,5</t>
        </is>
      </c>
      <c r="D39" s="170" t="inlineStr">
        <is>
          <t>1000 м</t>
        </is>
      </c>
      <c r="E39" s="346" t="n">
        <v>0.8159999999999999</v>
      </c>
      <c r="F39" s="171" t="n">
        <v>29332.61</v>
      </c>
      <c r="G39" s="32">
        <f>ROUND(E39*F39,2)</f>
        <v/>
      </c>
      <c r="H39" s="127">
        <f>G39/$G$67</f>
        <v/>
      </c>
      <c r="I39" s="32">
        <f>ROUND(F39*'Прил. 10'!$D$13,2)</f>
        <v/>
      </c>
      <c r="J39" s="32">
        <f>ROUND(I39*E39,2)</f>
        <v/>
      </c>
    </row>
    <row r="40" hidden="1" outlineLevel="1" ht="17.45" customFormat="1" customHeight="1" s="12">
      <c r="A40" s="264" t="n"/>
      <c r="B40" s="173" t="inlineStr">
        <is>
          <t>21.1.08.03-0574</t>
        </is>
      </c>
      <c r="C40" s="172" t="inlineStr">
        <is>
          <t>Кабель контрольный КВВГЭнг(А)-LS 4x2,5</t>
        </is>
      </c>
      <c r="D40" s="173" t="inlineStr">
        <is>
          <t>1000 м</t>
        </is>
      </c>
      <c r="E40" s="346" t="n">
        <v>0.102</v>
      </c>
      <c r="F40" s="172" t="n">
        <v>32828.82</v>
      </c>
      <c r="G40" s="32">
        <f>ROUND(E40*F40,2)</f>
        <v/>
      </c>
      <c r="H40" s="127">
        <f>G40/$G$67</f>
        <v/>
      </c>
      <c r="I40" s="32">
        <f>ROUND(F40*'Прил. 10'!$D$13,2)</f>
        <v/>
      </c>
      <c r="J40" s="32">
        <f>ROUND(I40*E40,2)</f>
        <v/>
      </c>
    </row>
    <row r="41" collapsed="1" ht="14.25" customFormat="1" customHeight="1" s="12">
      <c r="A41" s="264" t="n"/>
      <c r="B41" s="137" t="n"/>
      <c r="C41" s="190" t="inlineStr">
        <is>
          <t>Итого основные материалы</t>
        </is>
      </c>
      <c r="D41" s="266" t="n"/>
      <c r="E41" s="347" t="n"/>
      <c r="F41" s="130" t="n"/>
      <c r="G41" s="130">
        <f>G37</f>
        <v/>
      </c>
      <c r="H41" s="127">
        <f>G41/$G$67</f>
        <v/>
      </c>
      <c r="I41" s="32" t="n"/>
      <c r="J41" s="130">
        <f>J37</f>
        <v/>
      </c>
    </row>
    <row r="42" hidden="1" outlineLevel="1" ht="31.9" customFormat="1" customHeight="1" s="12">
      <c r="A42" s="264" t="n">
        <v>10</v>
      </c>
      <c r="B42" s="170" t="inlineStr">
        <is>
          <t>10.3.02.03-0011</t>
        </is>
      </c>
      <c r="C42" s="171" t="inlineStr">
        <is>
          <t>Припои оловянно-свинцовые бессурьмянистые, марка ПОС30</t>
        </is>
      </c>
      <c r="D42" s="170" t="inlineStr">
        <is>
          <t>т</t>
        </is>
      </c>
      <c r="E42" s="343" t="n">
        <v>0.009356</v>
      </c>
      <c r="F42" s="171" t="n">
        <v>68031.21000000001</v>
      </c>
      <c r="G42" s="32">
        <f>ROUND(E42*F42,2)</f>
        <v/>
      </c>
      <c r="H42" s="127">
        <f>G42/$G$67</f>
        <v/>
      </c>
      <c r="I42" s="32">
        <f>ROUND(F42*'Прил. 10'!$D$13,2)</f>
        <v/>
      </c>
      <c r="J42" s="32">
        <f>ROUND(I42*E42,2)</f>
        <v/>
      </c>
    </row>
    <row r="43" hidden="1" outlineLevel="1" ht="41.45" customFormat="1" customHeight="1" s="12">
      <c r="A43" s="264" t="n">
        <v>11</v>
      </c>
      <c r="B43" s="170" t="inlineStr">
        <is>
          <t>24.3.01.02-0002</t>
        </is>
      </c>
      <c r="C43" s="171" t="inlineStr">
        <is>
          <t>Трубы гибкие гофрированные из самозатухающего ПВХ легкие с протяжкой, диаметр 25 мм</t>
        </is>
      </c>
      <c r="D43" s="170" t="inlineStr">
        <is>
          <t>м</t>
        </is>
      </c>
      <c r="E43" s="343" t="n">
        <v>163.2</v>
      </c>
      <c r="F43" s="171" t="n">
        <v>3.43</v>
      </c>
      <c r="G43" s="32">
        <f>ROUND(E43*F43,2)</f>
        <v/>
      </c>
      <c r="H43" s="127">
        <f>G43/$G$67</f>
        <v/>
      </c>
      <c r="I43" s="32">
        <f>ROUND(F43*'Прил. 10'!$D$13,2)</f>
        <v/>
      </c>
      <c r="J43" s="32">
        <f>ROUND(I43*E43,2)</f>
        <v/>
      </c>
    </row>
    <row r="44" hidden="1" outlineLevel="1" ht="25.5" customFormat="1" customHeight="1" s="12">
      <c r="A44" s="264" t="n">
        <v>12</v>
      </c>
      <c r="B44" s="170" t="inlineStr">
        <is>
          <t>21.1.04.01-1006</t>
        </is>
      </c>
      <c r="C44" s="171" t="inlineStr">
        <is>
          <t>Кабель витая пара, категория 5e, ЭКС-ГВПВЭ 4х2х0,51</t>
        </is>
      </c>
      <c r="D44" s="170" t="inlineStr">
        <is>
          <t>1000 м</t>
        </is>
      </c>
      <c r="E44" s="343" t="n">
        <v>0.16</v>
      </c>
      <c r="F44" s="171" t="n">
        <v>2719.5</v>
      </c>
      <c r="G44" s="32">
        <f>ROUND(E44*F44,2)</f>
        <v/>
      </c>
      <c r="H44" s="127">
        <f>G44/$G$67</f>
        <v/>
      </c>
      <c r="I44" s="32">
        <f>ROUND(F44*'Прил. 10'!$D$13,2)</f>
        <v/>
      </c>
      <c r="J44" s="32">
        <f>ROUND(I44*E44,2)</f>
        <v/>
      </c>
    </row>
    <row r="45" hidden="1" outlineLevel="1" ht="25.5" customFormat="1" customHeight="1" s="12">
      <c r="A45" s="264" t="n">
        <v>13</v>
      </c>
      <c r="B45" s="170" t="inlineStr">
        <is>
          <t>07.2.07.04-0007</t>
        </is>
      </c>
      <c r="C45" s="171" t="inlineStr">
        <is>
          <t>Конструкции стальные индивидуальные решетчатые сварные, масса до 0,1 т</t>
        </is>
      </c>
      <c r="D45" s="170" t="inlineStr">
        <is>
          <t>т</t>
        </is>
      </c>
      <c r="E45" s="343" t="n">
        <v>0.03</v>
      </c>
      <c r="F45" s="171" t="n">
        <v>11500</v>
      </c>
      <c r="G45" s="32">
        <f>ROUND(E45*F45,2)</f>
        <v/>
      </c>
      <c r="H45" s="127">
        <f>G45/$G$67</f>
        <v/>
      </c>
      <c r="I45" s="32">
        <f>ROUND(F45*'Прил. 10'!$D$13,2)</f>
        <v/>
      </c>
      <c r="J45" s="32">
        <f>ROUND(I45*E45,2)</f>
        <v/>
      </c>
    </row>
    <row r="46" hidden="1" outlineLevel="1" ht="14.25" customFormat="1" customHeight="1" s="12">
      <c r="A46" s="264" t="n">
        <v>14</v>
      </c>
      <c r="B46" s="170" t="inlineStr">
        <is>
          <t>20.1.02.06-0001</t>
        </is>
      </c>
      <c r="C46" s="171" t="inlineStr">
        <is>
          <t>Жир паяльный</t>
        </is>
      </c>
      <c r="D46" s="170" t="inlineStr">
        <is>
          <t>кг</t>
        </is>
      </c>
      <c r="E46" s="343" t="n">
        <v>1.36</v>
      </c>
      <c r="F46" s="171" t="n">
        <v>101</v>
      </c>
      <c r="G46" s="32">
        <f>ROUND(E46*F46,2)</f>
        <v/>
      </c>
      <c r="H46" s="127">
        <f>G46/$G$67</f>
        <v/>
      </c>
      <c r="I46" s="32">
        <f>ROUND(F46*'Прил. 10'!$D$13,2)</f>
        <v/>
      </c>
      <c r="J46" s="32">
        <f>ROUND(I46*E46,2)</f>
        <v/>
      </c>
    </row>
    <row r="47" hidden="1" outlineLevel="1" ht="14.25" customFormat="1" customHeight="1" s="12">
      <c r="A47" s="264" t="n">
        <v>15</v>
      </c>
      <c r="B47" s="170" t="inlineStr">
        <is>
          <t>25.2.01.01-0017</t>
        </is>
      </c>
      <c r="C47" s="171" t="inlineStr">
        <is>
          <t>Бирки маркировочные пластмассовые</t>
        </is>
      </c>
      <c r="D47" s="170" t="inlineStr">
        <is>
          <t>100 шт</t>
        </is>
      </c>
      <c r="E47" s="343" t="n">
        <v>2.96</v>
      </c>
      <c r="F47" s="171" t="n">
        <v>30.74</v>
      </c>
      <c r="G47" s="32">
        <f>ROUND(E47*F47,2)</f>
        <v/>
      </c>
      <c r="H47" s="127">
        <f>G47/$G$67</f>
        <v/>
      </c>
      <c r="I47" s="32">
        <f>ROUND(F47*'Прил. 10'!$D$13,2)</f>
        <v/>
      </c>
      <c r="J47" s="32">
        <f>ROUND(I47*E47,2)</f>
        <v/>
      </c>
    </row>
    <row r="48" hidden="1" outlineLevel="1" ht="14.25" customFormat="1" customHeight="1" s="12">
      <c r="A48" s="264" t="n">
        <v>16</v>
      </c>
      <c r="B48" s="170" t="inlineStr">
        <is>
          <t>14.4.03.03-0002</t>
        </is>
      </c>
      <c r="C48" s="171" t="inlineStr">
        <is>
          <t>Лак битумный БТ-123</t>
        </is>
      </c>
      <c r="D48" s="170" t="inlineStr">
        <is>
          <t>т</t>
        </is>
      </c>
      <c r="E48" s="343" t="n">
        <v>0.008016000000000001</v>
      </c>
      <c r="F48" s="171" t="n">
        <v>7833.08</v>
      </c>
      <c r="G48" s="32">
        <f>ROUND(E48*F48,2)</f>
        <v/>
      </c>
      <c r="H48" s="127">
        <f>G48/$G$67</f>
        <v/>
      </c>
      <c r="I48" s="32">
        <f>ROUND(F48*'Прил. 10'!$D$13,2)</f>
        <v/>
      </c>
      <c r="J48" s="32">
        <f>ROUND(I48*E48,2)</f>
        <v/>
      </c>
    </row>
    <row r="49" hidden="1" outlineLevel="1" ht="14.25" customFormat="1" customHeight="1" s="12">
      <c r="A49" s="264" t="n">
        <v>17</v>
      </c>
      <c r="B49" s="170" t="inlineStr">
        <is>
          <t>01.7.06.07-0002</t>
        </is>
      </c>
      <c r="C49" s="171" t="inlineStr">
        <is>
          <t>Лента монтажная, тип ЛМ-5</t>
        </is>
      </c>
      <c r="D49" s="170" t="inlineStr">
        <is>
          <t>10 м</t>
        </is>
      </c>
      <c r="E49" s="343" t="n">
        <v>8.741</v>
      </c>
      <c r="F49" s="171" t="n">
        <v>6.9</v>
      </c>
      <c r="G49" s="32">
        <f>ROUND(E49*F49,2)</f>
        <v/>
      </c>
      <c r="H49" s="127">
        <f>G49/$G$67</f>
        <v/>
      </c>
      <c r="I49" s="32">
        <f>ROUND(F49*'Прил. 10'!$D$13,2)</f>
        <v/>
      </c>
      <c r="J49" s="32">
        <f>ROUND(I49*E49,2)</f>
        <v/>
      </c>
    </row>
    <row r="50" hidden="1" outlineLevel="1" ht="25.5" customFormat="1" customHeight="1" s="12">
      <c r="A50" s="264" t="n">
        <v>18</v>
      </c>
      <c r="B50" s="170" t="inlineStr">
        <is>
          <t>999-9950</t>
        </is>
      </c>
      <c r="C50" s="171" t="inlineStr">
        <is>
          <t>Вспомогательные ненормируемые материальные ресурсы</t>
        </is>
      </c>
      <c r="D50" s="170" t="inlineStr">
        <is>
          <t>руб</t>
        </is>
      </c>
      <c r="E50" s="343" t="n">
        <v>41.841456</v>
      </c>
      <c r="F50" s="171" t="n">
        <v>1.01</v>
      </c>
      <c r="G50" s="32">
        <f>ROUND(E50*F50,2)</f>
        <v/>
      </c>
      <c r="H50" s="127">
        <f>G50/$G$67</f>
        <v/>
      </c>
      <c r="I50" s="32">
        <f>ROUND(F50*'Прил. 10'!$D$13,2)</f>
        <v/>
      </c>
      <c r="J50" s="32">
        <f>ROUND(I50*E50,2)</f>
        <v/>
      </c>
    </row>
    <row r="51" hidden="1" outlineLevel="1" ht="38.25" customFormat="1" customHeight="1" s="12">
      <c r="A51" s="264" t="n">
        <v>19</v>
      </c>
      <c r="B51" s="170" t="inlineStr">
        <is>
          <t>01.7.06.05-0041</t>
        </is>
      </c>
      <c r="C51" s="171" t="inlineStr">
        <is>
          <t>Лента изоляционная прорезиненная односторонняя, ширина 20 мм, толщина 0,25-0,35 мм</t>
        </is>
      </c>
      <c r="D51" s="170" t="inlineStr">
        <is>
          <t>кг</t>
        </is>
      </c>
      <c r="E51" s="343" t="n">
        <v>1.192</v>
      </c>
      <c r="F51" s="171" t="n">
        <v>30.18</v>
      </c>
      <c r="G51" s="32">
        <f>ROUND(E51*F51,2)</f>
        <v/>
      </c>
      <c r="H51" s="127">
        <f>G51/$G$67</f>
        <v/>
      </c>
      <c r="I51" s="32">
        <f>ROUND(F51*'Прил. 10'!$D$13,2)</f>
        <v/>
      </c>
      <c r="J51" s="32">
        <f>ROUND(I51*E51,2)</f>
        <v/>
      </c>
    </row>
    <row r="52" hidden="1" outlineLevel="1" ht="31.15" customFormat="1" customHeight="1" s="12">
      <c r="A52" s="264" t="n">
        <v>20</v>
      </c>
      <c r="B52" s="170" t="inlineStr">
        <is>
          <t>10.3.02.03-0013</t>
        </is>
      </c>
      <c r="C52" s="171" t="inlineStr">
        <is>
          <t>Припои оловянно-свинцовые бессурьмянистые, марка ПОС61</t>
        </is>
      </c>
      <c r="D52" s="170" t="inlineStr">
        <is>
          <t>т</t>
        </is>
      </c>
      <c r="E52" s="343" t="n">
        <v>0.0002368</v>
      </c>
      <c r="F52" s="171" t="n">
        <v>114231.42</v>
      </c>
      <c r="G52" s="32">
        <f>ROUND(E52*F52,2)</f>
        <v/>
      </c>
      <c r="H52" s="127">
        <f>G52/$G$67</f>
        <v/>
      </c>
      <c r="I52" s="32">
        <f>ROUND(F52*'Прил. 10'!$D$13,2)</f>
        <v/>
      </c>
      <c r="J52" s="32">
        <f>ROUND(I52*E52,2)</f>
        <v/>
      </c>
    </row>
    <row r="53" hidden="1" outlineLevel="1" ht="14.25" customFormat="1" customHeight="1" s="12">
      <c r="A53" s="264" t="n">
        <v>21</v>
      </c>
      <c r="B53" s="170" t="inlineStr">
        <is>
          <t>01.7.15.07-0152</t>
        </is>
      </c>
      <c r="C53" s="171" t="inlineStr">
        <is>
          <t>Дюбели с шурупом, размер 6x35 мм</t>
        </is>
      </c>
      <c r="D53" s="170" t="inlineStr">
        <is>
          <t>100 шт</t>
        </is>
      </c>
      <c r="E53" s="343" t="n">
        <v>2.8</v>
      </c>
      <c r="F53" s="171" t="n">
        <v>8</v>
      </c>
      <c r="G53" s="32">
        <f>ROUND(E53*F53,2)</f>
        <v/>
      </c>
      <c r="H53" s="127">
        <f>G53/$G$67</f>
        <v/>
      </c>
      <c r="I53" s="32">
        <f>ROUND(F53*'Прил. 10'!$D$13,2)</f>
        <v/>
      </c>
      <c r="J53" s="32">
        <f>ROUND(I53*E53,2)</f>
        <v/>
      </c>
    </row>
    <row r="54" hidden="1" outlineLevel="1" ht="14.25" customFormat="1" customHeight="1" s="12">
      <c r="A54" s="264" t="n">
        <v>22</v>
      </c>
      <c r="B54" s="170" t="inlineStr">
        <is>
          <t>01.7.15.14-0165</t>
        </is>
      </c>
      <c r="C54" s="171" t="inlineStr">
        <is>
          <t>Шурупы с полукруглой головкой 4x40 мм</t>
        </is>
      </c>
      <c r="D54" s="170" t="inlineStr">
        <is>
          <t>т</t>
        </is>
      </c>
      <c r="E54" s="343" t="n">
        <v>0.001166</v>
      </c>
      <c r="F54" s="171" t="n">
        <v>12452.83</v>
      </c>
      <c r="G54" s="32">
        <f>ROUND(E54*F54,2)</f>
        <v/>
      </c>
      <c r="H54" s="127">
        <f>G54/$G$67</f>
        <v/>
      </c>
      <c r="I54" s="32">
        <f>ROUND(F54*'Прил. 10'!$D$13,2)</f>
        <v/>
      </c>
      <c r="J54" s="32">
        <f>ROUND(I54*E54,2)</f>
        <v/>
      </c>
    </row>
    <row r="55" hidden="1" outlineLevel="1" ht="14.25" customFormat="1" customHeight="1" s="12">
      <c r="A55" s="264" t="n">
        <v>23</v>
      </c>
      <c r="B55" s="170" t="inlineStr">
        <is>
          <t>20.2.01.05-0005</t>
        </is>
      </c>
      <c r="C55" s="171" t="inlineStr">
        <is>
          <t>Гильзы кабельные медные ГМ 16</t>
        </is>
      </c>
      <c r="D55" s="170" t="inlineStr">
        <is>
          <t>100 шт</t>
        </is>
      </c>
      <c r="E55" s="343" t="n">
        <v>0.08</v>
      </c>
      <c r="F55" s="171" t="n">
        <v>143</v>
      </c>
      <c r="G55" s="32">
        <f>ROUND(E55*F55,2)</f>
        <v/>
      </c>
      <c r="H55" s="127">
        <f>G55/$G$67</f>
        <v/>
      </c>
      <c r="I55" s="32">
        <f>ROUND(F55*'Прил. 10'!$D$13,2)</f>
        <v/>
      </c>
      <c r="J55" s="32">
        <f>ROUND(I55*E55,2)</f>
        <v/>
      </c>
    </row>
    <row r="56" hidden="1" outlineLevel="1" ht="14.25" customFormat="1" customHeight="1" s="12">
      <c r="A56" s="264" t="n">
        <v>24</v>
      </c>
      <c r="B56" s="170" t="inlineStr">
        <is>
          <t>01.3.01.05-0009</t>
        </is>
      </c>
      <c r="C56" s="171" t="inlineStr">
        <is>
          <t>Парафин нефтяной твердый Т-1</t>
        </is>
      </c>
      <c r="D56" s="170" t="inlineStr">
        <is>
          <t>т</t>
        </is>
      </c>
      <c r="E56" s="343" t="n">
        <v>0.00068</v>
      </c>
      <c r="F56" s="171" t="n">
        <v>8000</v>
      </c>
      <c r="G56" s="32">
        <f>ROUND(E56*F56,2)</f>
        <v/>
      </c>
      <c r="H56" s="127">
        <f>G56/$G$67</f>
        <v/>
      </c>
      <c r="I56" s="32">
        <f>ROUND(F56*'Прил. 10'!$D$13,2)</f>
        <v/>
      </c>
      <c r="J56" s="32">
        <f>ROUND(I56*E56,2)</f>
        <v/>
      </c>
    </row>
    <row r="57" hidden="1" outlineLevel="1" ht="14.25" customFormat="1" customHeight="1" s="12">
      <c r="A57" s="264" t="n">
        <v>25</v>
      </c>
      <c r="B57" s="170" t="inlineStr">
        <is>
          <t>24.3.01.01-0002</t>
        </is>
      </c>
      <c r="C57" s="171" t="inlineStr">
        <is>
          <t>Трубка полихлорвиниловая</t>
        </is>
      </c>
      <c r="D57" s="170" t="inlineStr">
        <is>
          <t>кг</t>
        </is>
      </c>
      <c r="E57" s="343" t="n">
        <v>0.1184</v>
      </c>
      <c r="F57" s="171" t="n">
        <v>35.73</v>
      </c>
      <c r="G57" s="32">
        <f>ROUND(E57*F57,2)</f>
        <v/>
      </c>
      <c r="H57" s="127">
        <f>G57/$G$67</f>
        <v/>
      </c>
      <c r="I57" s="32">
        <f>ROUND(F57*'Прил. 10'!$D$13,2)</f>
        <v/>
      </c>
      <c r="J57" s="32">
        <f>ROUND(I57*E57,2)</f>
        <v/>
      </c>
    </row>
    <row r="58" hidden="1" outlineLevel="1" ht="14.25" customFormat="1" customHeight="1" s="12">
      <c r="A58" s="264" t="n">
        <v>26</v>
      </c>
      <c r="B58" s="170" t="inlineStr">
        <is>
          <t>20.2.02.01-0013</t>
        </is>
      </c>
      <c r="C58" s="171" t="inlineStr">
        <is>
          <t>Втулки, диаметр 28 мм</t>
        </is>
      </c>
      <c r="D58" s="170" t="inlineStr">
        <is>
          <t>1000 шт</t>
        </is>
      </c>
      <c r="E58" s="343" t="n">
        <v>0.01952</v>
      </c>
      <c r="F58" s="171" t="n">
        <v>176.23</v>
      </c>
      <c r="G58" s="32">
        <f>ROUND(E58*F58,2)</f>
        <v/>
      </c>
      <c r="H58" s="127">
        <f>G58/$G$67</f>
        <v/>
      </c>
      <c r="I58" s="32">
        <f>ROUND(F58*'Прил. 10'!$D$13,2)</f>
        <v/>
      </c>
      <c r="J58" s="32">
        <f>ROUND(I58*E58,2)</f>
        <v/>
      </c>
    </row>
    <row r="59" hidden="1" outlineLevel="1" ht="27.6" customFormat="1" customHeight="1" s="12">
      <c r="A59" s="264" t="n">
        <v>27</v>
      </c>
      <c r="B59" s="170" t="inlineStr">
        <is>
          <t>01.3.01.07-0009</t>
        </is>
      </c>
      <c r="C59" s="171" t="inlineStr">
        <is>
          <t>Спирт этиловый ректификованный технический, сорт I</t>
        </is>
      </c>
      <c r="D59" s="170" t="inlineStr">
        <is>
          <t>кг</t>
        </is>
      </c>
      <c r="E59" s="343" t="n">
        <v>0.08584</v>
      </c>
      <c r="F59" s="171" t="n">
        <v>38.91</v>
      </c>
      <c r="G59" s="32">
        <f>ROUND(E59*F59,2)</f>
        <v/>
      </c>
      <c r="H59" s="127">
        <f>G59/$G$67</f>
        <v/>
      </c>
      <c r="I59" s="32">
        <f>ROUND(F59*'Прил. 10'!$D$13,2)</f>
        <v/>
      </c>
      <c r="J59" s="32">
        <f>ROUND(I59*E59,2)</f>
        <v/>
      </c>
    </row>
    <row r="60" hidden="1" outlineLevel="1" ht="25.5" customFormat="1" customHeight="1" s="12">
      <c r="A60" s="264" t="n">
        <v>28</v>
      </c>
      <c r="B60" s="170" t="inlineStr">
        <is>
          <t>01.7.11.07-0034</t>
        </is>
      </c>
      <c r="C60" s="171" t="inlineStr">
        <is>
          <t>Электроды сварочные Э42А, диаметр 4 мм</t>
        </is>
      </c>
      <c r="D60" s="170" t="inlineStr">
        <is>
          <t>кг</t>
        </is>
      </c>
      <c r="E60" s="343" t="n">
        <v>0.3</v>
      </c>
      <c r="F60" s="171" t="n">
        <v>10.57</v>
      </c>
      <c r="G60" s="32">
        <f>ROUND(E60*F60,2)</f>
        <v/>
      </c>
      <c r="H60" s="127">
        <f>G60/$G$67</f>
        <v/>
      </c>
      <c r="I60" s="32">
        <f>ROUND(F60*'Прил. 10'!$D$13,2)</f>
        <v/>
      </c>
      <c r="J60" s="32">
        <f>ROUND(I60*E60,2)</f>
        <v/>
      </c>
    </row>
    <row r="61" hidden="1" outlineLevel="1" ht="14.25" customFormat="1" customHeight="1" s="12">
      <c r="A61" s="264" t="n">
        <v>29</v>
      </c>
      <c r="B61" s="170" t="inlineStr">
        <is>
          <t>01.7.07.20-0002</t>
        </is>
      </c>
      <c r="C61" s="171" t="inlineStr">
        <is>
          <t>Тальк молотый, сорт I</t>
        </is>
      </c>
      <c r="D61" s="170" t="inlineStr">
        <is>
          <t>т</t>
        </is>
      </c>
      <c r="E61" s="343" t="n">
        <v>0.00168</v>
      </c>
      <c r="F61" s="171" t="n">
        <v>1821.43</v>
      </c>
      <c r="G61" s="32">
        <f>ROUND(E61*F61,2)</f>
        <v/>
      </c>
      <c r="H61" s="127">
        <f>G61/$G$67</f>
        <v/>
      </c>
      <c r="I61" s="32">
        <f>ROUND(F61*'Прил. 10'!$D$13,2)</f>
        <v/>
      </c>
      <c r="J61" s="32">
        <f>ROUND(I61*E61,2)</f>
        <v/>
      </c>
    </row>
    <row r="62" hidden="1" outlineLevel="1" ht="14.25" customFormat="1" customHeight="1" s="12">
      <c r="A62" s="264" t="n">
        <v>30</v>
      </c>
      <c r="B62" s="170" t="inlineStr">
        <is>
          <t>14.4.02.09-0001</t>
        </is>
      </c>
      <c r="C62" s="171" t="inlineStr">
        <is>
          <t>Краска</t>
        </is>
      </c>
      <c r="D62" s="170" t="inlineStr">
        <is>
          <t>кг</t>
        </is>
      </c>
      <c r="E62" s="343" t="n">
        <v>0.082</v>
      </c>
      <c r="F62" s="171" t="n">
        <v>28.54</v>
      </c>
      <c r="G62" s="32">
        <f>ROUND(E62*F62,2)</f>
        <v/>
      </c>
      <c r="H62" s="127">
        <f>G62/$G$67</f>
        <v/>
      </c>
      <c r="I62" s="32">
        <f>ROUND(F62*'Прил. 10'!$D$13,2)</f>
        <v/>
      </c>
      <c r="J62" s="32">
        <f>ROUND(I62*E62,2)</f>
        <v/>
      </c>
    </row>
    <row r="63" hidden="1" outlineLevel="1" ht="14.25" customFormat="1" customHeight="1" s="12">
      <c r="A63" s="264" t="n">
        <v>31</v>
      </c>
      <c r="B63" s="170" t="inlineStr">
        <is>
          <t>01.3.05.17-0002</t>
        </is>
      </c>
      <c r="C63" s="171" t="inlineStr">
        <is>
          <t>Канифоль сосновая</t>
        </is>
      </c>
      <c r="D63" s="170" t="inlineStr">
        <is>
          <t>кг</t>
        </is>
      </c>
      <c r="E63" s="343" t="n">
        <v>0.05624</v>
      </c>
      <c r="F63" s="171" t="n">
        <v>27.92</v>
      </c>
      <c r="G63" s="32">
        <f>ROUND(E63*F63,2)</f>
        <v/>
      </c>
      <c r="H63" s="127">
        <f>G63/$G$67</f>
        <v/>
      </c>
      <c r="I63" s="32">
        <f>ROUND(F63*'Прил. 10'!$D$13,2)</f>
        <v/>
      </c>
      <c r="J63" s="32">
        <f>ROUND(I63*E63,2)</f>
        <v/>
      </c>
    </row>
    <row r="64" hidden="1" outlineLevel="1" ht="14.25" customFormat="1" customHeight="1" s="12">
      <c r="A64" s="264" t="n">
        <v>32</v>
      </c>
      <c r="B64" s="170" t="inlineStr">
        <is>
          <t>01.7.15.03-0042</t>
        </is>
      </c>
      <c r="C64" s="171" t="inlineStr">
        <is>
          <t>Болты с гайками и шайбами строительные</t>
        </is>
      </c>
      <c r="D64" s="170" t="inlineStr">
        <is>
          <t>кг</t>
        </is>
      </c>
      <c r="E64" s="343" t="n">
        <v>0.06</v>
      </c>
      <c r="F64" s="171" t="n">
        <v>9</v>
      </c>
      <c r="G64" s="32">
        <f>ROUND(E64*F64,2)</f>
        <v/>
      </c>
      <c r="H64" s="127">
        <f>G64/$G$67</f>
        <v/>
      </c>
      <c r="I64" s="32">
        <f>ROUND(F64*'Прил. 10'!$D$13,2)</f>
        <v/>
      </c>
      <c r="J64" s="32">
        <f>ROUND(I64*E64,2)</f>
        <v/>
      </c>
    </row>
    <row r="65" hidden="1" outlineLevel="1" ht="14.25" customFormat="1" customHeight="1" s="12">
      <c r="A65" s="264" t="n">
        <v>33</v>
      </c>
      <c r="B65" s="170" t="inlineStr">
        <is>
          <t>01.3.05.11-0001</t>
        </is>
      </c>
      <c r="C65" s="171" t="inlineStr">
        <is>
          <t>Дихлорэтан технический, сорт I</t>
        </is>
      </c>
      <c r="D65" s="170" t="inlineStr">
        <is>
          <t>т</t>
        </is>
      </c>
      <c r="E65" s="343" t="n">
        <v>5.92e-05</v>
      </c>
      <c r="F65" s="171" t="n">
        <v>5067.57</v>
      </c>
      <c r="G65" s="32">
        <f>ROUND(E65*F65,2)</f>
        <v/>
      </c>
      <c r="H65" s="127">
        <f>G65/$G$67</f>
        <v/>
      </c>
      <c r="I65" s="32">
        <f>ROUND(F65*'Прил. 10'!$D$13,2)</f>
        <v/>
      </c>
      <c r="J65" s="32">
        <f>ROUND(I65*E65,2)</f>
        <v/>
      </c>
    </row>
    <row r="66" collapsed="1" ht="14.25" customFormat="1" customHeight="1" s="12">
      <c r="A66" s="264" t="n"/>
      <c r="B66" s="264" t="n"/>
      <c r="C66" s="25" t="inlineStr">
        <is>
          <t>Итого прочие материалы</t>
        </is>
      </c>
      <c r="D66" s="264" t="n"/>
      <c r="E66" s="342" t="n"/>
      <c r="F66" s="275" t="n"/>
      <c r="G66" s="32">
        <f>SUM(G42:G65)</f>
        <v/>
      </c>
      <c r="H66" s="127">
        <f>G66/$G$67</f>
        <v/>
      </c>
      <c r="I66" s="32" t="n"/>
      <c r="J66" s="32">
        <f>SUM(J42:J65)</f>
        <v/>
      </c>
    </row>
    <row r="67" ht="14.25" customFormat="1" customHeight="1" s="12">
      <c r="A67" s="264" t="n"/>
      <c r="B67" s="264" t="n"/>
      <c r="C67" s="10" t="inlineStr">
        <is>
          <t>Итого по разделу «Материалы»</t>
        </is>
      </c>
      <c r="D67" s="264" t="n"/>
      <c r="E67" s="274" t="n"/>
      <c r="F67" s="275" t="n"/>
      <c r="G67" s="32">
        <f>G41+G66</f>
        <v/>
      </c>
      <c r="H67" s="276">
        <f>G67/$G$67</f>
        <v/>
      </c>
      <c r="I67" s="32" t="n"/>
      <c r="J67" s="32">
        <f>J41+J66</f>
        <v/>
      </c>
    </row>
    <row r="68" ht="14.25" customFormat="1" customHeight="1" s="12">
      <c r="A68" s="264" t="n"/>
      <c r="B68" s="264" t="n"/>
      <c r="C68" s="25" t="inlineStr">
        <is>
          <t>ИТОГО ПО РМ</t>
        </is>
      </c>
      <c r="D68" s="264" t="n"/>
      <c r="E68" s="274" t="n"/>
      <c r="F68" s="275" t="n"/>
      <c r="G68" s="32">
        <f>G15+G27+G67</f>
        <v/>
      </c>
      <c r="H68" s="276" t="n"/>
      <c r="I68" s="32" t="n"/>
      <c r="J68" s="32">
        <f>J15+J27+J67</f>
        <v/>
      </c>
    </row>
    <row r="69" ht="14.25" customFormat="1" customHeight="1" s="12">
      <c r="A69" s="264" t="n"/>
      <c r="B69" s="264" t="n"/>
      <c r="C69" s="25" t="inlineStr">
        <is>
          <t>Накладные расходы</t>
        </is>
      </c>
      <c r="D69" s="186">
        <f>ROUND(G69/(G$17+$G$15),2)</f>
        <v/>
      </c>
      <c r="E69" s="274" t="n"/>
      <c r="F69" s="275" t="n"/>
      <c r="G69" s="32" t="n">
        <v>2103.54</v>
      </c>
      <c r="H69" s="276" t="n"/>
      <c r="I69" s="32" t="n"/>
      <c r="J69" s="32">
        <f>ROUND(D69*(J15+J17),2)</f>
        <v/>
      </c>
    </row>
    <row r="70" ht="14.25" customFormat="1" customHeight="1" s="12">
      <c r="A70" s="264" t="n"/>
      <c r="B70" s="264" t="n"/>
      <c r="C70" s="25" t="inlineStr">
        <is>
          <t>Сметная прибыль</t>
        </is>
      </c>
      <c r="D70" s="186">
        <f>ROUND(G70/(G$15+G$17),2)</f>
        <v/>
      </c>
      <c r="E70" s="274" t="n"/>
      <c r="F70" s="275" t="n"/>
      <c r="G70" s="32" t="n">
        <v>1102.44</v>
      </c>
      <c r="H70" s="276" t="n"/>
      <c r="I70" s="32" t="n"/>
      <c r="J70" s="32">
        <f>ROUND(D70*(J15+J17),2)</f>
        <v/>
      </c>
    </row>
    <row r="71" ht="14.25" customFormat="1" customHeight="1" s="12">
      <c r="A71" s="264" t="n"/>
      <c r="B71" s="264" t="n"/>
      <c r="C71" s="25" t="inlineStr">
        <is>
          <t>Итого СМР (с НР и СП)</t>
        </is>
      </c>
      <c r="D71" s="264" t="n"/>
      <c r="E71" s="274" t="n"/>
      <c r="F71" s="275" t="n"/>
      <c r="G71" s="32">
        <f>G15+G27+G67+G69+G70</f>
        <v/>
      </c>
      <c r="H71" s="276" t="n"/>
      <c r="I71" s="32" t="n"/>
      <c r="J71" s="32">
        <f>J15+J27+J67+J69+J70</f>
        <v/>
      </c>
    </row>
    <row r="72" ht="14.25" customFormat="1" customHeight="1" s="12">
      <c r="A72" s="264" t="n"/>
      <c r="B72" s="264" t="n"/>
      <c r="C72" s="25" t="inlineStr">
        <is>
          <t>ВСЕГО СМР + ОБОРУДОВАНИЕ</t>
        </is>
      </c>
      <c r="D72" s="264" t="n"/>
      <c r="E72" s="274" t="n"/>
      <c r="F72" s="275" t="n"/>
      <c r="G72" s="32">
        <f>G71+G33</f>
        <v/>
      </c>
      <c r="H72" s="276" t="n"/>
      <c r="I72" s="32" t="n"/>
      <c r="J72" s="32">
        <f>J71+J33</f>
        <v/>
      </c>
    </row>
    <row r="73" ht="34.5" customFormat="1" customHeight="1" s="12">
      <c r="A73" s="264" t="n"/>
      <c r="B73" s="264" t="n"/>
      <c r="C73" s="25" t="inlineStr">
        <is>
          <t>ИТОГО ПОКАЗАТЕЛЬ НА ЕД. ИЗМ.</t>
        </is>
      </c>
      <c r="D73" s="264" t="inlineStr">
        <is>
          <t>1 ед.</t>
        </is>
      </c>
      <c r="E73" s="348" t="n">
        <v>1</v>
      </c>
      <c r="F73" s="275" t="n"/>
      <c r="G73" s="32">
        <f>G72/E73</f>
        <v/>
      </c>
      <c r="H73" s="276" t="n"/>
      <c r="I73" s="32" t="n"/>
      <c r="J73" s="32">
        <f>J72/E73</f>
        <v/>
      </c>
    </row>
    <row r="75" ht="14.25" customFormat="1" customHeight="1" s="12">
      <c r="A75" s="4" t="inlineStr">
        <is>
          <t>Составил ______________________    А.Р. Маркова</t>
        </is>
      </c>
      <c r="B75" s="184" t="n"/>
      <c r="C75" s="185" t="n"/>
      <c r="D75" s="185" t="n"/>
      <c r="E75" s="185" t="n"/>
      <c r="F75" s="185" t="n"/>
    </row>
    <row r="76" ht="14.25" customFormat="1" customHeight="1" s="12">
      <c r="A76" s="33" t="inlineStr">
        <is>
          <t xml:space="preserve">                         (подпись, инициалы, фамилия)</t>
        </is>
      </c>
      <c r="B76" s="184" t="n"/>
      <c r="C76" s="185" t="n"/>
      <c r="D76" s="185" t="n"/>
      <c r="E76" s="185" t="n"/>
      <c r="F76" s="185" t="n"/>
    </row>
    <row r="77" ht="14.25" customFormat="1" customHeight="1" s="12">
      <c r="A77" s="4" t="n"/>
      <c r="B77" s="184" t="n"/>
      <c r="C77" s="185" t="n"/>
      <c r="D77" s="185" t="n"/>
      <c r="E77" s="185" t="n"/>
      <c r="F77" s="185" t="n"/>
    </row>
    <row r="78" ht="14.25" customFormat="1" customHeight="1" s="12">
      <c r="A78" s="4" t="inlineStr">
        <is>
          <t>Проверил ______________________        А.В. Костянецкая</t>
        </is>
      </c>
      <c r="B78" s="184" t="n"/>
      <c r="C78" s="185" t="n"/>
      <c r="D78" s="185" t="n"/>
      <c r="E78" s="185" t="n"/>
      <c r="F78" s="185" t="n"/>
    </row>
    <row r="79" ht="14.25" customFormat="1" customHeight="1" s="12">
      <c r="A79" s="33" t="inlineStr">
        <is>
          <t xml:space="preserve">                        (подпись, инициалы, фамилия)</t>
        </is>
      </c>
      <c r="B79" s="184" t="n"/>
      <c r="C79" s="185" t="n"/>
      <c r="D79" s="185" t="n"/>
      <c r="E79" s="185" t="n"/>
      <c r="F79" s="185" t="n"/>
    </row>
  </sheetData>
  <mergeCells count="21">
    <mergeCell ref="F10:G10"/>
    <mergeCell ref="A4:J4"/>
    <mergeCell ref="C10:C11"/>
    <mergeCell ref="H2:J2"/>
    <mergeCell ref="E10:E11"/>
    <mergeCell ref="B36:H36"/>
    <mergeCell ref="A7:H7"/>
    <mergeCell ref="B35:H35"/>
    <mergeCell ref="B16:H16"/>
    <mergeCell ref="B10:B11"/>
    <mergeCell ref="B18:H18"/>
    <mergeCell ref="D6:J6"/>
    <mergeCell ref="A10:A11"/>
    <mergeCell ref="A8:H8"/>
    <mergeCell ref="D10:D11"/>
    <mergeCell ref="B13:H13"/>
    <mergeCell ref="I10:J10"/>
    <mergeCell ref="B29:H29"/>
    <mergeCell ref="B19:H19"/>
    <mergeCell ref="H10:H11"/>
    <mergeCell ref="B28:H28"/>
  </mergeCells>
  <pageMargins left="0.62992125984252" right="0.236220472440945" top="0.748031496062992" bottom="0.748031496062992" header="0.31496062992126" footer="0.31496062992126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/>
  </sheetPr>
  <dimension ref="A1:G20"/>
  <sheetViews>
    <sheetView view="pageBreakPreview" workbookViewId="0">
      <selection activeCell="D16" sqref="D16"/>
    </sheetView>
  </sheetViews>
  <sheetFormatPr baseColWidth="8" defaultRowHeight="15"/>
  <cols>
    <col width="5.7109375" customWidth="1" min="1" max="1"/>
    <col width="17.5703125" customWidth="1" min="2" max="2"/>
    <col width="39.140625" customWidth="1" min="3" max="3"/>
    <col width="10.7109375" customWidth="1" min="4" max="4"/>
    <col width="13.85546875" customWidth="1" min="5" max="5"/>
    <col width="13.28515625" customWidth="1" min="6" max="6"/>
    <col width="14.140625" customWidth="1" min="7" max="7"/>
  </cols>
  <sheetData>
    <row r="1">
      <c r="A1" s="281" t="inlineStr">
        <is>
          <t>Приложение №6</t>
        </is>
      </c>
    </row>
    <row r="2" ht="21.75" customHeight="1">
      <c r="A2" s="281" t="n"/>
      <c r="B2" s="281" t="n"/>
      <c r="C2" s="281" t="n"/>
      <c r="D2" s="281" t="n"/>
      <c r="E2" s="281" t="n"/>
      <c r="F2" s="281" t="n"/>
      <c r="G2" s="281" t="n"/>
    </row>
    <row r="3">
      <c r="A3" s="234" t="inlineStr">
        <is>
          <t>Расчет стоимости оборудования</t>
        </is>
      </c>
    </row>
    <row r="4" ht="25.5" customHeight="1">
      <c r="A4" s="237" t="inlineStr">
        <is>
          <t>Наименование разрабатываемого показателя УНЦ —Шкаф СМПР с кол-вом ИП: 16 шт</t>
        </is>
      </c>
    </row>
    <row r="5">
      <c r="A5" s="4" t="n"/>
      <c r="B5" s="4" t="n"/>
      <c r="C5" s="4" t="n"/>
      <c r="D5" s="4" t="n"/>
      <c r="E5" s="4" t="n"/>
      <c r="F5" s="4" t="n"/>
      <c r="G5" s="4" t="n"/>
    </row>
    <row r="6" ht="30" customHeight="1">
      <c r="A6" s="286" t="inlineStr">
        <is>
          <t>№ пп.</t>
        </is>
      </c>
      <c r="B6" s="286" t="inlineStr">
        <is>
          <t>Код ресурса</t>
        </is>
      </c>
      <c r="C6" s="286" t="inlineStr">
        <is>
          <t>Наименование</t>
        </is>
      </c>
      <c r="D6" s="286" t="inlineStr">
        <is>
          <t>Ед. изм.</t>
        </is>
      </c>
      <c r="E6" s="264" t="inlineStr">
        <is>
          <t>Кол-во единиц по проектным данным</t>
        </is>
      </c>
      <c r="F6" s="286" t="inlineStr">
        <is>
          <t>Сметная стоимость в ценах на 01.01.2000 (руб.)</t>
        </is>
      </c>
      <c r="G6" s="332" t="n"/>
    </row>
    <row r="7">
      <c r="A7" s="334" t="n"/>
      <c r="B7" s="334" t="n"/>
      <c r="C7" s="334" t="n"/>
      <c r="D7" s="334" t="n"/>
      <c r="E7" s="334" t="n"/>
      <c r="F7" s="264" t="inlineStr">
        <is>
          <t>на ед. изм.</t>
        </is>
      </c>
      <c r="G7" s="264" t="inlineStr">
        <is>
          <t>общая</t>
        </is>
      </c>
    </row>
    <row r="8">
      <c r="A8" s="264" t="n">
        <v>1</v>
      </c>
      <c r="B8" s="264" t="n">
        <v>2</v>
      </c>
      <c r="C8" s="264" t="n">
        <v>3</v>
      </c>
      <c r="D8" s="264" t="n">
        <v>4</v>
      </c>
      <c r="E8" s="264" t="n">
        <v>5</v>
      </c>
      <c r="F8" s="264" t="n">
        <v>6</v>
      </c>
      <c r="G8" s="264" t="n">
        <v>7</v>
      </c>
    </row>
    <row r="9" ht="15" customHeight="1">
      <c r="A9" s="25" t="n"/>
      <c r="B9" s="273" t="inlineStr">
        <is>
          <t>ИНЖЕНЕРНОЕ ОБОРУДОВАНИЕ</t>
        </is>
      </c>
      <c r="C9" s="331" t="n"/>
      <c r="D9" s="331" t="n"/>
      <c r="E9" s="331" t="n"/>
      <c r="F9" s="331" t="n"/>
      <c r="G9" s="332" t="n"/>
    </row>
    <row r="10" ht="27" customHeight="1">
      <c r="A10" s="264" t="n"/>
      <c r="B10" s="272" t="n"/>
      <c r="C10" s="273" t="inlineStr">
        <is>
          <t>ИТОГО ИНЖЕНЕРНОЕ ОБОРУДОВАНИЕ</t>
        </is>
      </c>
      <c r="D10" s="272" t="n"/>
      <c r="E10" s="105" t="n"/>
      <c r="F10" s="275" t="n"/>
      <c r="G10" s="275" t="n">
        <v>0</v>
      </c>
    </row>
    <row r="11">
      <c r="A11" s="264" t="n"/>
      <c r="B11" s="273" t="inlineStr">
        <is>
          <t>ТЕХНОЛОГИЧЕСКОЕ ОБОРУДОВАНИЕ</t>
        </is>
      </c>
      <c r="C11" s="331" t="n"/>
      <c r="D11" s="331" t="n"/>
      <c r="E11" s="331" t="n"/>
      <c r="F11" s="331" t="n"/>
      <c r="G11" s="332" t="n"/>
    </row>
    <row r="12" ht="25.15" customHeight="1">
      <c r="A12" s="264" t="n">
        <v>1</v>
      </c>
      <c r="B12" s="168">
        <f>'Прил.5 Расчет СМР и ОБ'!B30</f>
        <v/>
      </c>
      <c r="C12" s="273">
        <f>'Прил.5 Расчет СМР и ОБ'!C30</f>
        <v/>
      </c>
      <c r="D12" s="264">
        <f>'Прил.5 Расчет СМР и ОБ'!D30</f>
        <v/>
      </c>
      <c r="E12" s="342">
        <f>'Прил.5 Расчет СМР и ОБ'!E30</f>
        <v/>
      </c>
      <c r="F12" s="285">
        <f>'Прил.5 Расчет СМР и ОБ'!F30</f>
        <v/>
      </c>
      <c r="G12" s="32">
        <f>ROUND(E12*F12,2)</f>
        <v/>
      </c>
    </row>
    <row r="13" ht="25.5" customHeight="1">
      <c r="A13" s="264" t="n"/>
      <c r="B13" s="273" t="n"/>
      <c r="C13" s="273" t="inlineStr">
        <is>
          <t>ИТОГО ТЕХНОЛОГИЧЕСКОЕ ОБОРУДОВАНИЕ</t>
        </is>
      </c>
      <c r="D13" s="273" t="n"/>
      <c r="E13" s="285" t="n"/>
      <c r="F13" s="275" t="n"/>
      <c r="G13" s="32">
        <f>SUM(G12:G12)</f>
        <v/>
      </c>
    </row>
    <row r="14" ht="19.5" customHeight="1">
      <c r="A14" s="264" t="n"/>
      <c r="B14" s="273" t="n"/>
      <c r="C14" s="273" t="inlineStr">
        <is>
          <t>Всего по разделу «Оборудование»</t>
        </is>
      </c>
      <c r="D14" s="273" t="n"/>
      <c r="E14" s="285" t="n"/>
      <c r="F14" s="275" t="n"/>
      <c r="G14" s="32">
        <f>G10+G13</f>
        <v/>
      </c>
    </row>
    <row r="15">
      <c r="A15" s="30" t="n"/>
      <c r="B15" s="106" t="n"/>
      <c r="C15" s="30" t="n"/>
      <c r="D15" s="30" t="n"/>
      <c r="E15" s="30" t="n"/>
      <c r="F15" s="30" t="n"/>
      <c r="G15" s="30" t="n"/>
    </row>
    <row r="16">
      <c r="A16" s="4" t="inlineStr">
        <is>
          <t>Составил ______________________    А.Р. Маркова</t>
        </is>
      </c>
      <c r="B16" s="12" t="n"/>
      <c r="C16" s="12" t="n"/>
      <c r="D16" s="30" t="n"/>
      <c r="E16" s="30" t="n"/>
      <c r="F16" s="30" t="n"/>
      <c r="G16" s="30" t="n"/>
    </row>
    <row r="17">
      <c r="A17" s="33" t="inlineStr">
        <is>
          <t xml:space="preserve">                         (подпись, инициалы, фамилия)</t>
        </is>
      </c>
      <c r="B17" s="12" t="n"/>
      <c r="C17" s="12" t="n"/>
      <c r="D17" s="30" t="n"/>
      <c r="E17" s="30" t="n"/>
      <c r="F17" s="30" t="n"/>
      <c r="G17" s="30" t="n"/>
    </row>
    <row r="18">
      <c r="A18" s="4" t="n"/>
      <c r="B18" s="12" t="n"/>
      <c r="C18" s="12" t="n"/>
      <c r="D18" s="30" t="n"/>
      <c r="E18" s="30" t="n"/>
      <c r="F18" s="30" t="n"/>
      <c r="G18" s="30" t="n"/>
    </row>
    <row r="19">
      <c r="A19" s="4" t="inlineStr">
        <is>
          <t>Проверил ______________________        А.В. Костянецкая</t>
        </is>
      </c>
      <c r="B19" s="12" t="n"/>
      <c r="C19" s="12" t="n"/>
      <c r="D19" s="30" t="n"/>
      <c r="E19" s="30" t="n"/>
      <c r="F19" s="30" t="n"/>
      <c r="G19" s="30" t="n"/>
    </row>
    <row r="20">
      <c r="A20" s="33" t="inlineStr">
        <is>
          <t xml:space="preserve">                        (подпись, инициалы, фамилия)</t>
        </is>
      </c>
      <c r="B20" s="12" t="n"/>
      <c r="C20" s="12" t="n"/>
      <c r="D20" s="30" t="n"/>
      <c r="E20" s="30" t="n"/>
      <c r="F20" s="30" t="n"/>
      <c r="G20" s="3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/>
  </sheetPr>
  <dimension ref="A1:E17"/>
  <sheetViews>
    <sheetView view="pageBreakPreview" zoomScale="130" zoomScaleSheetLayoutView="130" workbookViewId="0">
      <selection activeCell="C13" sqref="C13"/>
    </sheetView>
  </sheetViews>
  <sheetFormatPr baseColWidth="8" defaultColWidth="8.85546875" defaultRowHeight="15"/>
  <cols>
    <col width="14.42578125" customWidth="1" min="1" max="1"/>
    <col width="29.7109375" customWidth="1" min="2" max="2"/>
    <col width="39.140625" customWidth="1" min="3" max="3"/>
    <col width="24.5703125" customWidth="1" min="4" max="4"/>
  </cols>
  <sheetData>
    <row r="1">
      <c r="B1" s="4" t="n"/>
      <c r="C1" s="4" t="n"/>
      <c r="D1" s="281" t="inlineStr">
        <is>
          <t>Приложение №7</t>
        </is>
      </c>
    </row>
    <row r="2">
      <c r="A2" s="281" t="n"/>
      <c r="B2" s="281" t="n"/>
      <c r="C2" s="281" t="n"/>
      <c r="D2" s="281" t="n"/>
    </row>
    <row r="3" ht="24.75" customHeight="1">
      <c r="A3" s="234" t="inlineStr">
        <is>
          <t>Расчет показателя УНЦ</t>
        </is>
      </c>
    </row>
    <row r="4" ht="24.75" customHeight="1">
      <c r="A4" s="234" t="n"/>
      <c r="B4" s="234" t="n"/>
      <c r="C4" s="234" t="n"/>
      <c r="D4" s="234" t="n"/>
    </row>
    <row r="5" ht="24.6" customHeight="1">
      <c r="A5" s="237" t="inlineStr">
        <is>
          <t xml:space="preserve">Наименование разрабатываемого показателя УНЦ - </t>
        </is>
      </c>
      <c r="D5" s="237">
        <f>'Прил.5 Расчет СМР и ОБ'!D6:J6</f>
        <v/>
      </c>
    </row>
    <row r="6" ht="19.9" customHeight="1">
      <c r="A6" s="237" t="inlineStr">
        <is>
          <t>Единица измерения  — 1 ед</t>
        </is>
      </c>
      <c r="D6" s="237" t="n"/>
    </row>
    <row r="7">
      <c r="A7" s="4" t="n"/>
      <c r="B7" s="4" t="n"/>
      <c r="C7" s="4" t="n"/>
      <c r="D7" s="4" t="n"/>
    </row>
    <row r="8" ht="14.45" customHeight="1">
      <c r="A8" s="253" t="inlineStr">
        <is>
          <t>Код показателя</t>
        </is>
      </c>
      <c r="B8" s="253" t="inlineStr">
        <is>
          <t>Наименование показателя</t>
        </is>
      </c>
      <c r="C8" s="253" t="inlineStr">
        <is>
          <t>Наименование РМ, входящих в состав показателя</t>
        </is>
      </c>
      <c r="D8" s="253" t="inlineStr">
        <is>
          <t>Норматив цены на 01.01.2023, тыс.руб.</t>
        </is>
      </c>
    </row>
    <row r="9" ht="15" customHeight="1">
      <c r="A9" s="334" t="n"/>
      <c r="B9" s="334" t="n"/>
      <c r="C9" s="334" t="n"/>
      <c r="D9" s="334" t="n"/>
    </row>
    <row r="10">
      <c r="A10" s="264" t="n">
        <v>1</v>
      </c>
      <c r="B10" s="264" t="n">
        <v>2</v>
      </c>
      <c r="C10" s="264" t="n">
        <v>3</v>
      </c>
      <c r="D10" s="264" t="n">
        <v>4</v>
      </c>
    </row>
    <row r="11" ht="41.45" customHeight="1">
      <c r="A11" s="264" t="inlineStr">
        <is>
          <t>А8-86</t>
        </is>
      </c>
      <c r="B11" s="264" t="inlineStr">
        <is>
          <t xml:space="preserve">УНЦ систем ПА, УПАСК </t>
        </is>
      </c>
      <c r="C11" s="155">
        <f>D5</f>
        <v/>
      </c>
      <c r="D11" s="3">
        <f>'Прил.4 РМ'!C41/1000</f>
        <v/>
      </c>
      <c r="E11" s="154" t="n"/>
    </row>
    <row r="12">
      <c r="A12" s="30" t="n"/>
      <c r="B12" s="106" t="n"/>
      <c r="C12" s="30" t="n"/>
      <c r="D12" s="30" t="n"/>
    </row>
    <row r="13">
      <c r="A13" s="4" t="inlineStr">
        <is>
          <t>Составил ______________________        А.Р. Маркова</t>
        </is>
      </c>
      <c r="B13" s="12" t="n"/>
      <c r="C13" s="12" t="n"/>
      <c r="D13" s="30" t="n"/>
    </row>
    <row r="14">
      <c r="A14" s="33" t="inlineStr">
        <is>
          <t xml:space="preserve">                         (подпись, инициалы, фамилия)</t>
        </is>
      </c>
      <c r="B14" s="12" t="n"/>
      <c r="C14" s="12" t="n"/>
      <c r="D14" s="30" t="n"/>
    </row>
    <row r="15">
      <c r="A15" s="4" t="n"/>
      <c r="B15" s="12" t="n"/>
      <c r="C15" s="12" t="n"/>
      <c r="D15" s="30" t="n"/>
    </row>
    <row r="16">
      <c r="A16" s="4" t="inlineStr">
        <is>
          <t>Проверил ______________________        А.В. Костянецкая</t>
        </is>
      </c>
      <c r="B16" s="12" t="n"/>
      <c r="C16" s="12" t="n"/>
      <c r="D16" s="30" t="n"/>
    </row>
    <row r="17">
      <c r="A17" s="33" t="inlineStr">
        <is>
          <t xml:space="preserve">                        (подпись, инициалы, фамилия)</t>
        </is>
      </c>
      <c r="B17" s="12" t="n"/>
      <c r="C17" s="12" t="n"/>
      <c r="D17" s="30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79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27"/>
  <sheetViews>
    <sheetView view="pageBreakPreview" topLeftCell="A10" zoomScaleNormal="85" zoomScaleSheetLayoutView="100" workbookViewId="0">
      <selection activeCell="C22" sqref="C22"/>
    </sheetView>
  </sheetViews>
  <sheetFormatPr baseColWidth="8" defaultColWidth="9.140625" defaultRowHeight="15"/>
  <cols>
    <col width="40.7109375" customWidth="1" min="2" max="2"/>
    <col width="37" customWidth="1" min="3" max="3"/>
    <col width="32" customWidth="1" min="4" max="4"/>
  </cols>
  <sheetData>
    <row r="4" ht="15.75" customHeight="1">
      <c r="B4" s="244" t="inlineStr">
        <is>
          <t>Приложение № 10</t>
        </is>
      </c>
    </row>
    <row r="5" ht="18.75" customHeight="1">
      <c r="B5" s="117" t="n"/>
    </row>
    <row r="6" ht="15.75" customHeight="1">
      <c r="B6" s="245" t="inlineStr">
        <is>
          <t>Используемые индексы изменений сметной стоимости и нормы сопутствующих затрат</t>
        </is>
      </c>
    </row>
    <row r="7">
      <c r="B7" s="287" t="n"/>
    </row>
    <row r="8">
      <c r="B8" s="287" t="n"/>
      <c r="C8" s="287" t="n"/>
      <c r="D8" s="287" t="n"/>
      <c r="E8" s="287" t="n"/>
    </row>
    <row r="9" ht="47.25" customHeight="1">
      <c r="B9" s="253" t="inlineStr">
        <is>
          <t>Наименование индекса / норм сопутствующих затрат</t>
        </is>
      </c>
      <c r="C9" s="253" t="inlineStr">
        <is>
          <t>Дата применения и обоснование индекса / норм сопутствующих затрат</t>
        </is>
      </c>
      <c r="D9" s="253" t="inlineStr">
        <is>
          <t>Размер индекса / норма сопутствующих затрат</t>
        </is>
      </c>
    </row>
    <row r="10" ht="15.75" customHeight="1">
      <c r="B10" s="253" t="n">
        <v>1</v>
      </c>
      <c r="C10" s="253" t="n">
        <v>2</v>
      </c>
      <c r="D10" s="253" t="n">
        <v>3</v>
      </c>
    </row>
    <row r="11" ht="31.5" customHeight="1">
      <c r="B11" s="253" t="inlineStr">
        <is>
          <t xml:space="preserve">Индекс изменения сметной стоимости на 1 квартал 2023 года. ОЗП </t>
        </is>
      </c>
      <c r="C11" s="253" t="inlineStr">
        <is>
          <t>Письмо Минстроя России от 30.03.2023г. №17106-ИФ/09  прил.1</t>
        </is>
      </c>
      <c r="D11" s="253" t="n">
        <v>44.29</v>
      </c>
    </row>
    <row r="12" ht="31.5" customHeight="1">
      <c r="B12" s="253" t="inlineStr">
        <is>
          <t>Индекс изменения сметной стоимости на 1 квартал 2023 года. ЭМ</t>
        </is>
      </c>
      <c r="C12" s="253" t="inlineStr">
        <is>
          <t>Письмо Минстроя России от 30.03.2023г. №17106-ИФ/09  прил.1</t>
        </is>
      </c>
      <c r="D12" s="253" t="n">
        <v>13.47</v>
      </c>
    </row>
    <row r="13" ht="31.5" customHeight="1">
      <c r="B13" s="253" t="inlineStr">
        <is>
          <t>Индекс изменения сметной стоимости на 1 квартал 2023 года. МАТ</t>
        </is>
      </c>
      <c r="C13" s="253" t="inlineStr">
        <is>
          <t>Письмо Минстроя России от 30.03.2023г. №17106-ИФ/09  прил.1</t>
        </is>
      </c>
      <c r="D13" s="253" t="n">
        <v>8.039999999999999</v>
      </c>
    </row>
    <row r="14" ht="31.5" customHeight="1">
      <c r="B14" s="253" t="inlineStr">
        <is>
          <t>Индекс изменения сметной стоимости на 1 квартал 2023 года. ОБ</t>
        </is>
      </c>
      <c r="C14" s="116" t="inlineStr">
        <is>
          <t>Письмо Минстроя России от 23.02.2023г. №9791-ИФ/09 прил.6</t>
        </is>
      </c>
      <c r="D14" s="253" t="n">
        <v>6.26</v>
      </c>
    </row>
    <row r="15" ht="78.75" customHeight="1">
      <c r="B15" s="253" t="inlineStr">
        <is>
          <t>Временные здания и сооружения</t>
        </is>
      </c>
      <c r="C15" s="253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0" t="n">
        <v>0.039</v>
      </c>
    </row>
    <row r="16" ht="78.75" customHeight="1">
      <c r="B16" s="253" t="inlineStr">
        <is>
          <t>Дополнительные затраты при производстве строительно-монтажных работ в зимнее время</t>
        </is>
      </c>
      <c r="C16" s="253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0" t="n">
        <v>0.021</v>
      </c>
    </row>
    <row r="17" ht="15.75" customHeight="1">
      <c r="B17" s="253" t="n"/>
      <c r="C17" s="253" t="n"/>
      <c r="D17" s="120" t="n"/>
    </row>
    <row r="18" ht="31.5" customHeight="1">
      <c r="B18" s="253" t="inlineStr">
        <is>
          <t>Строительный контроль</t>
        </is>
      </c>
      <c r="C18" s="253" t="inlineStr">
        <is>
          <t>Постановление Правительства РФ от 21.06.10 г. № 468</t>
        </is>
      </c>
      <c r="D18" s="120" t="n">
        <v>0.0214</v>
      </c>
    </row>
    <row r="19" ht="15.75" customHeight="1">
      <c r="B19" s="253" t="inlineStr">
        <is>
          <t>Авторский надзор - 0,2%</t>
        </is>
      </c>
      <c r="C19" s="253" t="inlineStr">
        <is>
          <t>Приказ от 4.08.2020 № 421/пр п.173</t>
        </is>
      </c>
      <c r="D19" s="120" t="n">
        <v>0.002</v>
      </c>
    </row>
    <row r="20" ht="15.75" customHeight="1">
      <c r="B20" s="253" t="inlineStr">
        <is>
          <t>Непредвиденные расходы</t>
        </is>
      </c>
      <c r="C20" s="253" t="inlineStr">
        <is>
          <t>Приказ от 4.08.2020 № 421/пр п.179</t>
        </is>
      </c>
      <c r="D20" s="120" t="n">
        <v>0.03</v>
      </c>
    </row>
    <row r="21" ht="18.75" customHeight="1">
      <c r="B21" s="118" t="n"/>
    </row>
    <row r="23">
      <c r="B23" s="224" t="inlineStr">
        <is>
          <t>Составил ______________________        А.Р. Маркова</t>
        </is>
      </c>
      <c r="C23" s="12" t="n"/>
    </row>
    <row r="24">
      <c r="B24" s="33" t="inlineStr">
        <is>
          <t xml:space="preserve">                         (подпись, инициалы, фамилия)</t>
        </is>
      </c>
      <c r="C24" s="12" t="n"/>
    </row>
    <row r="25">
      <c r="B25" s="4" t="n"/>
      <c r="C25" s="12" t="n"/>
    </row>
    <row r="26">
      <c r="B26" s="4" t="inlineStr">
        <is>
          <t>Проверил ______________________        А.В. Костянецкая</t>
        </is>
      </c>
      <c r="C26" s="12" t="n"/>
    </row>
    <row r="27">
      <c r="B27" s="33" t="inlineStr">
        <is>
          <t xml:space="preserve">                        (подпись, инициалы, фамилия)</t>
        </is>
      </c>
      <c r="C27" s="12" t="n"/>
    </row>
  </sheetData>
  <mergeCells count="3">
    <mergeCell ref="B7:E7"/>
    <mergeCell ref="B6:D6"/>
    <mergeCell ref="B4:D4"/>
  </mergeCells>
  <pageMargins left="0.7086614173228351" right="0.7086614173228351" top="0.748031496062992" bottom="0.748031496062992" header="0.31496062992126" footer="0.31496062992126"/>
  <pageSetup orientation="portrait" scale="71" cellComments="atEnd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view="pageBreakPreview" zoomScale="60" zoomScaleNormal="100" workbookViewId="0">
      <selection activeCell="E12" sqref="E12"/>
    </sheetView>
  </sheetViews>
  <sheetFormatPr baseColWidth="8" defaultColWidth="9.140625" defaultRowHeight="15"/>
  <cols>
    <col width="44.85546875" customWidth="1" min="2" max="2"/>
    <col width="13" customWidth="1" min="3" max="3"/>
    <col width="22.85546875" customWidth="1" min="4" max="4"/>
    <col width="21.5703125" customWidth="1" min="5" max="5"/>
    <col width="53.7109375" bestFit="1" customWidth="1" min="6" max="6"/>
  </cols>
  <sheetData>
    <row r="2" ht="17.25" customHeight="1">
      <c r="A2" s="245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196" t="inlineStr">
        <is>
          <t>Составлен в уровне цен на 01.01.2023 г.</t>
        </is>
      </c>
      <c r="B4" s="140" t="n"/>
      <c r="C4" s="140" t="n"/>
      <c r="D4" s="140" t="n"/>
      <c r="E4" s="140" t="n"/>
      <c r="F4" s="140" t="n"/>
      <c r="G4" s="140" t="n"/>
    </row>
    <row r="5" ht="15.75" customHeight="1">
      <c r="A5" s="197" t="inlineStr">
        <is>
          <t>№ пп.</t>
        </is>
      </c>
      <c r="B5" s="197" t="inlineStr">
        <is>
          <t>Наименование элемента</t>
        </is>
      </c>
      <c r="C5" s="197" t="inlineStr">
        <is>
          <t>Обозначение</t>
        </is>
      </c>
      <c r="D5" s="197" t="inlineStr">
        <is>
          <t>Формула</t>
        </is>
      </c>
      <c r="E5" s="197" t="inlineStr">
        <is>
          <t>Величина элемента</t>
        </is>
      </c>
      <c r="F5" s="197" t="inlineStr">
        <is>
          <t>Наименования обосновывающих документов</t>
        </is>
      </c>
      <c r="G5" s="140" t="n"/>
    </row>
    <row r="6" ht="15.75" customHeight="1">
      <c r="A6" s="197" t="n">
        <v>1</v>
      </c>
      <c r="B6" s="197" t="n">
        <v>2</v>
      </c>
      <c r="C6" s="197" t="n">
        <v>3</v>
      </c>
      <c r="D6" s="197" t="n">
        <v>4</v>
      </c>
      <c r="E6" s="197" t="n">
        <v>5</v>
      </c>
      <c r="F6" s="197" t="n">
        <v>6</v>
      </c>
      <c r="G6" s="140" t="n"/>
    </row>
    <row r="7" ht="110.25" customHeight="1">
      <c r="A7" s="198" t="inlineStr">
        <is>
          <t>1.1</t>
        </is>
      </c>
      <c r="B7" s="199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53" t="inlineStr">
        <is>
          <t>С1ср</t>
        </is>
      </c>
      <c r="D7" s="253" t="inlineStr">
        <is>
          <t>-</t>
        </is>
      </c>
      <c r="E7" s="61" t="n">
        <v>47872.94</v>
      </c>
      <c r="F7" s="199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40" t="n"/>
    </row>
    <row r="8" ht="31.5" customHeight="1">
      <c r="A8" s="198" t="inlineStr">
        <is>
          <t>1.2</t>
        </is>
      </c>
      <c r="B8" s="199" t="inlineStr">
        <is>
          <t>Среднегодовое нормативное число часов работы одного рабочего в месяц, часы (ч.)</t>
        </is>
      </c>
      <c r="C8" s="253" t="inlineStr">
        <is>
          <t>tср</t>
        </is>
      </c>
      <c r="D8" s="253" t="inlineStr">
        <is>
          <t>1973ч/12мес.</t>
        </is>
      </c>
      <c r="E8" s="200">
        <f>1973/12</f>
        <v/>
      </c>
      <c r="F8" s="199" t="inlineStr">
        <is>
          <t>Производственный календарь 2023 год
(40-часов.неделя)</t>
        </is>
      </c>
      <c r="G8" s="201" t="n"/>
    </row>
    <row r="9" ht="15.75" customHeight="1">
      <c r="A9" s="198" t="inlineStr">
        <is>
          <t>1.3</t>
        </is>
      </c>
      <c r="B9" s="199" t="inlineStr">
        <is>
          <t>Коэффициент увеличения</t>
        </is>
      </c>
      <c r="C9" s="253" t="inlineStr">
        <is>
          <t>Кув</t>
        </is>
      </c>
      <c r="D9" s="253" t="inlineStr">
        <is>
          <t>-</t>
        </is>
      </c>
      <c r="E9" s="200" t="n">
        <v>1</v>
      </c>
      <c r="F9" s="199" t="n"/>
      <c r="G9" s="201" t="n"/>
    </row>
    <row r="10" ht="15.75" customHeight="1">
      <c r="A10" s="198" t="inlineStr">
        <is>
          <t>1.4</t>
        </is>
      </c>
      <c r="B10" s="199" t="inlineStr">
        <is>
          <t>Средний разряд работ</t>
        </is>
      </c>
      <c r="C10" s="253" t="n"/>
      <c r="D10" s="253" t="n"/>
      <c r="E10" s="349" t="n">
        <v>3.8</v>
      </c>
      <c r="F10" s="199" t="inlineStr">
        <is>
          <t>РТМ</t>
        </is>
      </c>
      <c r="G10" s="201" t="n"/>
    </row>
    <row r="11" ht="78.75" customHeight="1">
      <c r="A11" s="198" t="inlineStr">
        <is>
          <t>1.5</t>
        </is>
      </c>
      <c r="B11" s="199" t="inlineStr">
        <is>
          <t>Тарифный коэффициент среднего разряда работ</t>
        </is>
      </c>
      <c r="C11" s="253" t="inlineStr">
        <is>
          <t>КТ</t>
        </is>
      </c>
      <c r="D11" s="253" t="inlineStr">
        <is>
          <t>-</t>
        </is>
      </c>
      <c r="E11" s="350" t="n">
        <v>1.308</v>
      </c>
      <c r="F11" s="199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40" t="n"/>
    </row>
    <row r="12" ht="78.75" customHeight="1">
      <c r="A12" s="225" t="inlineStr">
        <is>
          <t>1.6</t>
        </is>
      </c>
      <c r="B12" s="226" t="inlineStr">
        <is>
          <t>Коэффициент инфляции, определяемый поквартально</t>
        </is>
      </c>
      <c r="C12" s="153" t="inlineStr">
        <is>
          <t>Кинф</t>
        </is>
      </c>
      <c r="D12" s="153" t="inlineStr">
        <is>
          <t>-</t>
        </is>
      </c>
      <c r="E12" s="351" t="n">
        <v>1.139</v>
      </c>
      <c r="F12" s="228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01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>
      <c r="A13" s="229" t="inlineStr">
        <is>
          <t>1.7</t>
        </is>
      </c>
      <c r="B13" s="230" t="inlineStr">
        <is>
          <t>Размер средств на оплату труда рабочих-строителей в текущем уровне цен (ФОТр.тек.), руб/чел.-ч</t>
        </is>
      </c>
      <c r="C13" s="231" t="inlineStr">
        <is>
          <t>ФОТр.тек.</t>
        </is>
      </c>
      <c r="D13" s="231" t="inlineStr">
        <is>
          <t>(С1ср/tср*КТ*Т*Кув)*Кинф</t>
        </is>
      </c>
      <c r="E13" s="232">
        <f>((E7*E9/E8)*E11)*E12</f>
        <v/>
      </c>
      <c r="F13" s="233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40" t="n"/>
    </row>
  </sheetData>
  <mergeCells count="1">
    <mergeCell ref="A2:F2"/>
  </mergeCells>
  <hyperlinks>
    <hyperlink xmlns:r="http://schemas.openxmlformats.org/officeDocument/2006/relationships" ref="G12" r:id="rId1"/>
  </hyperlinks>
  <pageMargins left="0.7086614173228351" right="0.7086614173228351" top="0.748031496062992" bottom="0.748031496062992" header="0.31496062992126" footer="0.31496062992126"/>
  <pageSetup orientation="portrait" scale="55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2025-01-24T11:53:21Z</dcterms:modified>
  <cp:lastModifiedBy>112</cp:lastModifiedBy>
</cp:coreProperties>
</file>