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ОБ'!$A$1:$J$154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49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2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vertical="center"/>
    </xf>
    <xf numFmtId="3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0" fontId="16" fillId="0" borderId="5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7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0" fillId="0" borderId="1" applyAlignment="1" pivotButton="0" quotePrefix="0" xfId="0">
      <alignment horizontal="righ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7" applyAlignment="1" pivotButton="0" quotePrefix="0" xfId="0">
      <alignment horizontal="right" vertical="center"/>
    </xf>
    <xf numFmtId="0" fontId="2" fillId="0" borderId="2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8" applyAlignment="1" pivotButton="0" quotePrefix="0" xfId="0">
      <alignment vertical="top"/>
    </xf>
    <xf numFmtId="0" fontId="20" fillId="0" borderId="7" applyAlignment="1" pivotButton="0" quotePrefix="0" xfId="0">
      <alignment vertical="top"/>
    </xf>
    <xf numFmtId="0" fontId="2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0" fillId="0" borderId="0" pivotButton="0" quotePrefix="0" xfId="0"/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11" min="1" max="2"/>
    <col width="51.7109375" customWidth="1" style="211" min="3" max="3"/>
    <col width="47" customWidth="1" style="211" min="4" max="4"/>
    <col width="37.42578125" customWidth="1" style="211" min="5" max="5"/>
    <col width="9.140625" customWidth="1" style="211" min="6" max="6"/>
  </cols>
  <sheetData>
    <row r="3">
      <c r="B3" s="236" t="inlineStr">
        <is>
          <t>Приложение № 1</t>
        </is>
      </c>
    </row>
    <row r="4">
      <c r="B4" s="237" t="inlineStr">
        <is>
          <t>Сравнительная таблица отбора объекта-представителя</t>
        </is>
      </c>
    </row>
    <row r="5" ht="84" customHeight="1" s="213">
      <c r="B5" s="24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3">
      <c r="B6" s="155" t="n"/>
      <c r="C6" s="155" t="n"/>
      <c r="D6" s="155" t="n"/>
    </row>
    <row r="7" ht="64.5" customHeight="1" s="213">
      <c r="B7" s="238" t="inlineStr">
        <is>
          <t>Наименование разрабатываемого показателя УНЦ - Подготовка и устройство территории ПС (ЗПС) г. Москва</t>
        </is>
      </c>
    </row>
    <row r="8" ht="31.5" customHeight="1" s="213">
      <c r="B8" s="130" t="inlineStr">
        <is>
          <t xml:space="preserve">Сопоставимый уровень цен: </t>
        </is>
      </c>
      <c r="C8" s="130" t="n"/>
      <c r="D8" s="220">
        <f>D22</f>
        <v/>
      </c>
    </row>
    <row r="9" ht="15.75" customHeight="1" s="213">
      <c r="B9" s="239" t="inlineStr">
        <is>
          <t>Единица измерения  — 1 м2</t>
        </is>
      </c>
    </row>
    <row r="10">
      <c r="B10" s="239" t="n"/>
    </row>
    <row r="11">
      <c r="B11" s="243" t="inlineStr">
        <is>
          <t>№ п/п</t>
        </is>
      </c>
      <c r="C11" s="243" t="inlineStr">
        <is>
          <t>Параметр</t>
        </is>
      </c>
      <c r="D11" s="243" t="inlineStr">
        <is>
          <t xml:space="preserve">Объект-представитель </t>
        </is>
      </c>
      <c r="E11" s="138" t="n"/>
    </row>
    <row r="12" ht="96.75" customHeight="1" s="213">
      <c r="B12" s="243" t="n">
        <v>1</v>
      </c>
      <c r="C12" s="227" t="inlineStr">
        <is>
          <t>Наименование объекта-представителя</t>
        </is>
      </c>
      <c r="D12" s="243" t="inlineStr">
        <is>
          <t xml:space="preserve">Комплексное техническое перевооружение и реконструкция ПС 500/220/110 кВ Очаково. Корректировка </t>
        </is>
      </c>
    </row>
    <row r="13">
      <c r="B13" s="243" t="n">
        <v>2</v>
      </c>
      <c r="C13" s="227" t="inlineStr">
        <is>
          <t>Наименование субъекта Российской Федерации</t>
        </is>
      </c>
      <c r="D13" s="243" t="inlineStr">
        <is>
          <t>г. Москва</t>
        </is>
      </c>
    </row>
    <row r="14">
      <c r="B14" s="243" t="n">
        <v>3</v>
      </c>
      <c r="C14" s="227" t="inlineStr">
        <is>
          <t>Климатический район и подрайон</t>
        </is>
      </c>
      <c r="D14" s="243" t="inlineStr">
        <is>
          <t>IIВ</t>
        </is>
      </c>
    </row>
    <row r="15">
      <c r="B15" s="243" t="n">
        <v>4</v>
      </c>
      <c r="C15" s="227" t="inlineStr">
        <is>
          <t>Мощность объекта</t>
        </is>
      </c>
      <c r="D15" s="243" t="n">
        <v>5760</v>
      </c>
    </row>
    <row r="16" ht="63" customHeight="1" s="213">
      <c r="B16" s="243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3" t="inlineStr">
        <is>
          <t xml:space="preserve">Песок, почвогрунт, земля растительная, щебень, ограждение </t>
        </is>
      </c>
    </row>
    <row r="17" ht="63" customHeight="1" s="213">
      <c r="B17" s="243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4">
        <f>D18+D19+D20+D21</f>
        <v/>
      </c>
      <c r="E17" s="154" t="n"/>
    </row>
    <row r="18">
      <c r="B18" s="137" t="inlineStr">
        <is>
          <t>6.1</t>
        </is>
      </c>
      <c r="C18" s="227" t="inlineStr">
        <is>
          <t>строительно-монтажные работы</t>
        </is>
      </c>
      <c r="D18" s="224">
        <f>'Прил.2 Расч стоим'!F14</f>
        <v/>
      </c>
    </row>
    <row r="19">
      <c r="B19" s="137" t="inlineStr">
        <is>
          <t>6.2</t>
        </is>
      </c>
      <c r="C19" s="227" t="inlineStr">
        <is>
          <t>оборудование и инвентарь</t>
        </is>
      </c>
      <c r="D19" s="224">
        <f>'Прил.2 Расч стоим'!H14</f>
        <v/>
      </c>
    </row>
    <row r="20">
      <c r="B20" s="137" t="inlineStr">
        <is>
          <t>6.3</t>
        </is>
      </c>
      <c r="C20" s="227" t="inlineStr">
        <is>
          <t>пусконаладочные работы</t>
        </is>
      </c>
      <c r="D20" s="243" t="n">
        <v>0</v>
      </c>
    </row>
    <row r="21">
      <c r="B21" s="137" t="inlineStr">
        <is>
          <t>6.4</t>
        </is>
      </c>
      <c r="C21" s="136" t="inlineStr">
        <is>
          <t>прочие и лимитированные затраты</t>
        </is>
      </c>
      <c r="D21" s="224">
        <f>D18*0.039+(D18*0.039+D18)*0.021</f>
        <v/>
      </c>
    </row>
    <row r="22">
      <c r="B22" s="243" t="n">
        <v>7</v>
      </c>
      <c r="C22" s="136" t="inlineStr">
        <is>
          <t>Сопоставимый уровень цен</t>
        </is>
      </c>
      <c r="D22" s="222" t="inlineStr">
        <is>
          <t>4 кв. 2016 г.</t>
        </is>
      </c>
      <c r="E22" s="134" t="n"/>
    </row>
    <row r="23" ht="78.75" customHeight="1" s="213">
      <c r="B23" s="243" t="n">
        <v>8</v>
      </c>
      <c r="C23" s="13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4">
        <f>D17</f>
        <v/>
      </c>
      <c r="E23" s="154" t="n"/>
    </row>
    <row r="24" ht="31.5" customHeight="1" s="213">
      <c r="B24" s="243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224">
        <f>D23/D15</f>
        <v/>
      </c>
      <c r="E24" s="134" t="n"/>
    </row>
    <row r="25">
      <c r="B25" s="243" t="n">
        <v>10</v>
      </c>
      <c r="C25" s="227" t="inlineStr">
        <is>
          <t>Примечание</t>
        </is>
      </c>
      <c r="D25" s="243" t="n"/>
    </row>
    <row r="26">
      <c r="B26" s="132" t="n"/>
      <c r="C26" s="131" t="n"/>
      <c r="D26" s="131" t="n"/>
    </row>
    <row r="27">
      <c r="B27" s="130" t="n"/>
    </row>
    <row r="28">
      <c r="B28" s="211" t="inlineStr">
        <is>
          <t>Составил ______________________    Р.Р. Шагеева</t>
        </is>
      </c>
    </row>
    <row r="29">
      <c r="B29" s="130" t="inlineStr">
        <is>
          <t xml:space="preserve">                         (подпись, инициалы, фамилия)</t>
        </is>
      </c>
    </row>
    <row r="31">
      <c r="B31" s="211" t="inlineStr">
        <is>
          <t>Проверил ______________________        А.В. Костянецкая</t>
        </is>
      </c>
    </row>
    <row r="32">
      <c r="B32" s="13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11" min="1" max="1"/>
    <col width="9.140625" customWidth="1" style="211" min="2" max="2"/>
    <col width="35.28515625" customWidth="1" style="211" min="3" max="3"/>
    <col width="13.85546875" customWidth="1" style="211" min="4" max="4"/>
    <col width="24.85546875" customWidth="1" style="211" min="5" max="5"/>
    <col width="15.5703125" customWidth="1" style="211" min="6" max="6"/>
    <col width="14.85546875" customWidth="1" style="211" min="7" max="7"/>
    <col width="16.7109375" customWidth="1" style="211" min="8" max="8"/>
    <col width="13" customWidth="1" style="211" min="9" max="10"/>
    <col width="18" customWidth="1" style="211" min="11" max="11"/>
    <col width="9.140625" customWidth="1" style="211" min="12" max="12"/>
  </cols>
  <sheetData>
    <row r="3">
      <c r="B3" s="236" t="inlineStr">
        <is>
          <t>Приложение № 2</t>
        </is>
      </c>
      <c r="K3" s="130" t="n"/>
    </row>
    <row r="4">
      <c r="B4" s="237" t="inlineStr">
        <is>
          <t>Расчет стоимости основных видов работ для выбора объекта-представителя</t>
        </is>
      </c>
    </row>
    <row r="5">
      <c r="B5" s="139" t="n"/>
      <c r="C5" s="139" t="n"/>
      <c r="D5" s="139" t="n"/>
      <c r="E5" s="139" t="n"/>
      <c r="F5" s="139" t="n"/>
      <c r="G5" s="139" t="n"/>
      <c r="H5" s="139" t="n"/>
      <c r="I5" s="139" t="n"/>
      <c r="J5" s="139" t="n"/>
      <c r="K5" s="139" t="n"/>
    </row>
    <row r="6" ht="50.25" customHeight="1" s="213">
      <c r="B6" s="244">
        <f>'Прил.1 Сравнит табл'!B7:D7</f>
        <v/>
      </c>
      <c r="K6" s="130" t="n"/>
    </row>
    <row r="7">
      <c r="B7" s="239">
        <f>'Прил.1 Сравнит табл'!B9:D9</f>
        <v/>
      </c>
    </row>
    <row r="8" ht="18.75" customHeight="1" s="213">
      <c r="B8" s="110" t="n"/>
    </row>
    <row r="9" ht="15.75" customHeight="1" s="213">
      <c r="A9" s="211" t="n"/>
      <c r="B9" s="243" t="inlineStr">
        <is>
          <t>№ п/п</t>
        </is>
      </c>
      <c r="C9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3" t="inlineStr">
        <is>
          <t>Объект-представитель 1</t>
        </is>
      </c>
      <c r="E9" s="349" t="n"/>
      <c r="F9" s="349" t="n"/>
      <c r="G9" s="349" t="n"/>
      <c r="H9" s="349" t="n"/>
      <c r="I9" s="349" t="n"/>
      <c r="J9" s="350" t="n"/>
      <c r="K9" s="211" t="n"/>
      <c r="L9" s="211" t="n"/>
    </row>
    <row r="10" ht="15.75" customHeight="1" s="213">
      <c r="A10" s="211" t="n"/>
      <c r="B10" s="351" t="n"/>
      <c r="C10" s="351" t="n"/>
      <c r="D10" s="243" t="inlineStr">
        <is>
          <t>Номер сметы</t>
        </is>
      </c>
      <c r="E10" s="243" t="inlineStr">
        <is>
          <t>Наименование сметы</t>
        </is>
      </c>
      <c r="F10" s="243" t="inlineStr">
        <is>
          <t>Сметная стоимость в уровне цен 4 кв. 2016 г., тыс. руб.</t>
        </is>
      </c>
      <c r="G10" s="349" t="n"/>
      <c r="H10" s="349" t="n"/>
      <c r="I10" s="349" t="n"/>
      <c r="J10" s="350" t="n"/>
      <c r="K10" s="211" t="n"/>
      <c r="L10" s="211" t="n"/>
    </row>
    <row r="11" ht="31.5" customHeight="1" s="213">
      <c r="A11" s="211" t="n"/>
      <c r="B11" s="352" t="n"/>
      <c r="C11" s="352" t="n"/>
      <c r="D11" s="352" t="n"/>
      <c r="E11" s="352" t="n"/>
      <c r="F11" s="243" t="inlineStr">
        <is>
          <t>Строительные работы</t>
        </is>
      </c>
      <c r="G11" s="243" t="inlineStr">
        <is>
          <t>Монтажные работы</t>
        </is>
      </c>
      <c r="H11" s="243" t="inlineStr">
        <is>
          <t>Оборудование</t>
        </is>
      </c>
      <c r="I11" s="243" t="inlineStr">
        <is>
          <t>Прочее</t>
        </is>
      </c>
      <c r="J11" s="243" t="inlineStr">
        <is>
          <t>Всего</t>
        </is>
      </c>
      <c r="L11" s="211" t="n"/>
    </row>
    <row r="12" ht="47.25" customHeight="1" s="213">
      <c r="A12" s="211" t="n"/>
      <c r="B12" s="214" t="n">
        <v>1</v>
      </c>
      <c r="C12" s="287" t="inlineStr">
        <is>
          <t xml:space="preserve">Песок, почвогрунт, земля растительная, щебень, ограждение </t>
        </is>
      </c>
      <c r="D12" s="226" t="n"/>
      <c r="E12" s="227" t="n"/>
      <c r="F12" s="215" t="n">
        <v>21988.3526673</v>
      </c>
      <c r="G12" s="350" t="n"/>
      <c r="H12" s="215" t="n"/>
      <c r="I12" s="215" t="n"/>
      <c r="J12" s="216">
        <f>SUM(F12:I12)</f>
        <v/>
      </c>
      <c r="L12" s="211" t="n"/>
    </row>
    <row r="13" ht="15" customHeight="1" s="213">
      <c r="A13" s="211" t="n"/>
      <c r="B13" s="245" t="inlineStr">
        <is>
          <t>Всего по объекту:</t>
        </is>
      </c>
      <c r="C13" s="349" t="n"/>
      <c r="D13" s="349" t="n"/>
      <c r="E13" s="350" t="n"/>
      <c r="F13" s="218" t="n"/>
      <c r="G13" s="218" t="n"/>
      <c r="H13" s="218" t="n"/>
      <c r="I13" s="218" t="n"/>
      <c r="J13" s="218" t="n"/>
      <c r="K13" s="219" t="n"/>
      <c r="L13" s="211" t="n"/>
    </row>
    <row r="14" ht="15.75" customHeight="1" s="213">
      <c r="A14" s="211" t="n"/>
      <c r="B14" s="245" t="inlineStr">
        <is>
          <t>Всего по объекту в сопоставимом уровне цен 4 кв. 2016 г. :</t>
        </is>
      </c>
      <c r="C14" s="349" t="n"/>
      <c r="D14" s="349" t="n"/>
      <c r="E14" s="350" t="n"/>
      <c r="F14" s="353">
        <f>F12</f>
        <v/>
      </c>
      <c r="G14" s="350" t="n"/>
      <c r="H14" s="218">
        <f>H13</f>
        <v/>
      </c>
      <c r="I14" s="218">
        <f>'Прил.1 Сравнит табл'!D21</f>
        <v/>
      </c>
      <c r="J14" s="218">
        <f>SUM(F14:I14)</f>
        <v/>
      </c>
      <c r="L14" s="211" t="n"/>
    </row>
    <row r="15" ht="15" customHeight="1" s="213"/>
    <row r="16" ht="15" customHeight="1" s="213"/>
    <row r="17" ht="15" customHeight="1" s="213"/>
    <row r="18" ht="15" customHeight="1" s="213">
      <c r="C18" s="194" t="inlineStr">
        <is>
          <t>Составил ______________________     Р.Р. Шагеева</t>
        </is>
      </c>
      <c r="D18" s="205" t="n"/>
      <c r="E18" s="205" t="n"/>
    </row>
    <row r="19" ht="15" customHeight="1" s="213">
      <c r="C19" s="204" t="inlineStr">
        <is>
          <t xml:space="preserve">                         (подпись, инициалы, фамилия)</t>
        </is>
      </c>
      <c r="D19" s="205" t="n"/>
      <c r="E19" s="205" t="n"/>
    </row>
    <row r="20" ht="15" customHeight="1" s="213">
      <c r="C20" s="194" t="n"/>
      <c r="D20" s="205" t="n"/>
      <c r="E20" s="205" t="n"/>
    </row>
    <row r="21" ht="15" customHeight="1" s="213">
      <c r="C21" s="194" t="inlineStr">
        <is>
          <t>Проверил ______________________        А.В. Костянецкая</t>
        </is>
      </c>
      <c r="D21" s="205" t="n"/>
      <c r="E21" s="205" t="n"/>
    </row>
    <row r="22" ht="15" customHeight="1" s="213">
      <c r="C22" s="204" t="inlineStr">
        <is>
          <t xml:space="preserve">                        (подпись, инициалы, фамилия)</t>
        </is>
      </c>
      <c r="D22" s="205" t="n"/>
      <c r="E22" s="205" t="n"/>
    </row>
    <row r="23" ht="15" customHeight="1" s="213"/>
    <row r="24" ht="15" customHeight="1" s="213"/>
    <row r="25" ht="15" customHeight="1" s="213"/>
    <row r="26" ht="15" customHeight="1" s="213"/>
    <row r="27" ht="15" customHeight="1" s="213"/>
    <row r="28" ht="15" customHeight="1" s="213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134"/>
  <sheetViews>
    <sheetView view="pageBreakPreview" topLeftCell="A115" zoomScale="85" workbookViewId="0">
      <selection activeCell="C129" sqref="C129"/>
    </sheetView>
  </sheetViews>
  <sheetFormatPr baseColWidth="8" defaultColWidth="9.140625" defaultRowHeight="15.75"/>
  <cols>
    <col width="9.140625" customWidth="1" style="211" min="1" max="1"/>
    <col width="12.5703125" customWidth="1" style="211" min="2" max="2"/>
    <col width="22.42578125" customWidth="1" style="211" min="3" max="3"/>
    <col width="49.7109375" customWidth="1" style="211" min="4" max="4"/>
    <col width="10.140625" customWidth="1" style="211" min="5" max="5"/>
    <col width="20.7109375" customWidth="1" style="211" min="6" max="6"/>
    <col width="20" customWidth="1" style="211" min="7" max="7"/>
    <col width="16.7109375" customWidth="1" style="211" min="8" max="8"/>
    <col width="9.140625" customWidth="1" style="211" min="9" max="9"/>
    <col width="11.28515625" customWidth="1" style="211" min="10" max="10"/>
    <col width="15" customWidth="1" style="211" min="11" max="11"/>
    <col width="9.140625" customWidth="1" style="211" min="12" max="12"/>
    <col width="13.5703125" customWidth="1" style="211" min="13" max="13"/>
    <col width="9.140625" customWidth="1" style="211" min="14" max="14"/>
  </cols>
  <sheetData>
    <row r="2">
      <c r="A2" s="236" t="inlineStr">
        <is>
          <t xml:space="preserve">Приложение № 3 </t>
        </is>
      </c>
    </row>
    <row r="3">
      <c r="A3" s="237" t="inlineStr">
        <is>
          <t>Объектная ресурсная ведомость</t>
        </is>
      </c>
    </row>
    <row r="4" ht="18.75" customHeight="1" s="213">
      <c r="A4" s="157" t="n"/>
      <c r="B4" s="157" t="n"/>
      <c r="C4" s="25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9" t="n"/>
    </row>
    <row r="6" ht="24" customHeight="1" s="213">
      <c r="A6" s="244" t="inlineStr">
        <is>
          <t>Наименование разрабатываемого показателя УНЦ -  Подготовка и устройство территории ПС (ЗПС) г. Москва</t>
        </is>
      </c>
    </row>
    <row r="7" ht="24" customHeight="1" s="213">
      <c r="A7" s="244" t="n"/>
      <c r="B7" s="244" t="n"/>
      <c r="C7" s="244" t="n"/>
      <c r="D7" s="244" t="n"/>
      <c r="E7" s="244" t="n"/>
      <c r="F7" s="244" t="n"/>
      <c r="G7" s="244" t="n"/>
      <c r="H7" s="244" t="n"/>
      <c r="I7" s="211" t="n"/>
      <c r="J7" s="211" t="n"/>
      <c r="K7" s="211" t="n"/>
      <c r="L7" s="211" t="n"/>
      <c r="M7" s="211" t="n"/>
      <c r="N7" s="211" t="n"/>
    </row>
    <row r="8" hidden="1" s="213">
      <c r="A8" s="140" t="n"/>
      <c r="B8" s="140" t="n"/>
      <c r="C8" s="140" t="n"/>
      <c r="D8" s="140" t="n"/>
      <c r="E8" s="140" t="n"/>
      <c r="F8" s="140" t="n"/>
      <c r="G8" s="140" t="n"/>
      <c r="H8" s="140" t="n"/>
    </row>
    <row r="9" ht="38.25" customHeight="1" s="213">
      <c r="A9" s="243" t="inlineStr">
        <is>
          <t>п/п</t>
        </is>
      </c>
      <c r="B9" s="243" t="inlineStr">
        <is>
          <t>№ЛСР</t>
        </is>
      </c>
      <c r="C9" s="243" t="inlineStr">
        <is>
          <t>Код ресурса</t>
        </is>
      </c>
      <c r="D9" s="243" t="inlineStr">
        <is>
          <t>Наименование ресурса</t>
        </is>
      </c>
      <c r="E9" s="243" t="inlineStr">
        <is>
          <t>Ед. изм.</t>
        </is>
      </c>
      <c r="F9" s="243" t="inlineStr">
        <is>
          <t>Кол-во единиц по данным объекта-представителя</t>
        </is>
      </c>
      <c r="G9" s="243" t="inlineStr">
        <is>
          <t>Сметная стоимость в ценах на 01.01.2000 (руб.)</t>
        </is>
      </c>
      <c r="H9" s="350" t="n"/>
    </row>
    <row r="10" ht="40.5" customHeight="1" s="213">
      <c r="A10" s="352" t="n"/>
      <c r="B10" s="352" t="n"/>
      <c r="C10" s="352" t="n"/>
      <c r="D10" s="352" t="n"/>
      <c r="E10" s="352" t="n"/>
      <c r="F10" s="352" t="n"/>
      <c r="G10" s="243" t="inlineStr">
        <is>
          <t>на ед.изм.</t>
        </is>
      </c>
      <c r="H10" s="243" t="inlineStr">
        <is>
          <t>общая</t>
        </is>
      </c>
    </row>
    <row r="11">
      <c r="A11" s="287" t="n">
        <v>1</v>
      </c>
      <c r="B11" s="287" t="n"/>
      <c r="C11" s="287" t="n">
        <v>2</v>
      </c>
      <c r="D11" s="287" t="inlineStr">
        <is>
          <t>З</t>
        </is>
      </c>
      <c r="E11" s="287" t="n">
        <v>4</v>
      </c>
      <c r="F11" s="287" t="n">
        <v>5</v>
      </c>
      <c r="G11" s="287" t="n">
        <v>6</v>
      </c>
      <c r="H11" s="287" t="n">
        <v>7</v>
      </c>
    </row>
    <row r="12" customFormat="1" s="141">
      <c r="A12" s="251" t="inlineStr">
        <is>
          <t>Затраты труда рабочих</t>
        </is>
      </c>
      <c r="B12" s="349" t="n"/>
      <c r="C12" s="349" t="n"/>
      <c r="D12" s="349" t="n"/>
      <c r="E12" s="350" t="n"/>
      <c r="F12" s="354" t="n">
        <v>6570.29</v>
      </c>
      <c r="G12" s="10" t="n"/>
      <c r="H12" s="354">
        <f>SUM(H13:H13)</f>
        <v/>
      </c>
      <c r="K12" s="169" t="n"/>
      <c r="M12" s="189" t="n"/>
      <c r="N12" s="169" t="n"/>
    </row>
    <row r="13">
      <c r="A13" s="160" t="inlineStr">
        <is>
          <t>1</t>
        </is>
      </c>
      <c r="B13" s="161" t="n"/>
      <c r="C13" s="160" t="inlineStr">
        <is>
          <t>1-2-9</t>
        </is>
      </c>
      <c r="D13" s="267" t="inlineStr">
        <is>
          <t>Затраты труда рабочих (средний разряд работы 2,9)</t>
        </is>
      </c>
      <c r="E13" s="264" t="inlineStr">
        <is>
          <t>чел.-ч</t>
        </is>
      </c>
      <c r="F13" s="268" t="n">
        <v>6570.29</v>
      </c>
      <c r="G13" s="285" t="n">
        <v>8.460000000000001</v>
      </c>
      <c r="H13" s="26">
        <f>ROUND(F13*G13,2)</f>
        <v/>
      </c>
      <c r="J13" s="139" t="n"/>
      <c r="K13" s="207" t="n"/>
    </row>
    <row r="14" ht="15.75" customHeight="1" s="213">
      <c r="A14" s="257" t="inlineStr">
        <is>
          <t>Затраты труда машинистов</t>
        </is>
      </c>
      <c r="B14" s="349" t="n"/>
      <c r="C14" s="349" t="n"/>
      <c r="D14" s="349" t="n"/>
      <c r="E14" s="350" t="n"/>
      <c r="F14" s="251" t="n"/>
      <c r="G14" s="142" t="n"/>
      <c r="H14" s="354">
        <f>H15</f>
        <v/>
      </c>
    </row>
    <row r="15">
      <c r="A15" s="264" t="n">
        <v>2</v>
      </c>
      <c r="B15" s="175" t="n"/>
      <c r="C15" s="160" t="n">
        <v>2</v>
      </c>
      <c r="D15" s="267" t="inlineStr">
        <is>
          <t>Затраты труда машинистов</t>
        </is>
      </c>
      <c r="E15" s="264" t="inlineStr">
        <is>
          <t>чел.-ч</t>
        </is>
      </c>
      <c r="F15" s="264" t="n">
        <v>8089.57</v>
      </c>
      <c r="G15" s="26" t="n"/>
      <c r="H15" s="269" t="n">
        <v>108972.6</v>
      </c>
    </row>
    <row r="16" customFormat="1" s="141">
      <c r="A16" s="251" t="inlineStr">
        <is>
          <t>Машины и механизмы</t>
        </is>
      </c>
      <c r="B16" s="349" t="n"/>
      <c r="C16" s="349" t="n"/>
      <c r="D16" s="349" t="n"/>
      <c r="E16" s="350" t="n"/>
      <c r="F16" s="251" t="n"/>
      <c r="G16" s="142" t="n"/>
      <c r="H16" s="354">
        <f>SUM(H17:H71)</f>
        <v/>
      </c>
    </row>
    <row r="17">
      <c r="A17" s="264" t="n">
        <v>3</v>
      </c>
      <c r="B17" s="175" t="n"/>
      <c r="C17" s="264" t="inlineStr">
        <is>
          <t>91.14.03-003</t>
        </is>
      </c>
      <c r="D17" s="180" t="inlineStr">
        <is>
          <t>Автомобили-самосвалы, грузоподъемность до 15 т</t>
        </is>
      </c>
      <c r="E17" s="264" t="inlineStr">
        <is>
          <t>маш.-ч.</t>
        </is>
      </c>
      <c r="F17" s="174" t="n">
        <v>5331.1</v>
      </c>
      <c r="G17" s="180" t="n">
        <v>113.44</v>
      </c>
      <c r="H17" s="269">
        <f>ROUND(F17*G17,2)</f>
        <v/>
      </c>
      <c r="I17" s="158" t="n"/>
      <c r="J17" s="158" t="n"/>
      <c r="K17" s="158" t="n"/>
      <c r="L17" s="158" t="n"/>
    </row>
    <row r="18" ht="15.75" customHeight="1" s="213">
      <c r="A18" s="264" t="n">
        <v>4</v>
      </c>
      <c r="B18" s="175" t="n"/>
      <c r="C18" s="264" t="inlineStr">
        <is>
          <t>91.01.05-085</t>
        </is>
      </c>
      <c r="D18" s="180" t="inlineStr">
        <is>
          <t>Экскаваторы одноковшовые дизельные на гусеничном ходу, емкость ковша 0,5 м3</t>
        </is>
      </c>
      <c r="E18" s="264" t="inlineStr">
        <is>
          <t>маш.-ч.</t>
        </is>
      </c>
      <c r="F18" s="264" t="n">
        <v>932.99</v>
      </c>
      <c r="G18" s="180" t="n">
        <v>100</v>
      </c>
      <c r="H18" s="269">
        <f>ROUND(F18*G18,2)</f>
        <v/>
      </c>
      <c r="I18" s="158" t="n"/>
      <c r="J18" s="158" t="n"/>
      <c r="L18" s="158" t="n"/>
    </row>
    <row r="19">
      <c r="A19" s="264" t="n">
        <v>5</v>
      </c>
      <c r="B19" s="175" t="n"/>
      <c r="C19" s="264" t="inlineStr">
        <is>
          <t>91.01.01-036</t>
        </is>
      </c>
      <c r="D19" s="180" t="inlineStr">
        <is>
          <t>Бульдозеры, мощность 96 кВт (130 л.с.)</t>
        </is>
      </c>
      <c r="E19" s="264" t="inlineStr">
        <is>
          <t>маш.-ч.</t>
        </is>
      </c>
      <c r="F19" s="264" t="n">
        <v>807.09</v>
      </c>
      <c r="G19" s="180" t="n">
        <v>94.05</v>
      </c>
      <c r="H19" s="269">
        <f>ROUND(F19*G19,2)</f>
        <v/>
      </c>
      <c r="I19" s="158" t="n"/>
      <c r="J19" s="158" t="n"/>
      <c r="L19" s="158" t="n"/>
    </row>
    <row r="20">
      <c r="A20" s="264" t="n">
        <v>6</v>
      </c>
      <c r="B20" s="175" t="n"/>
      <c r="C20" s="264" t="inlineStr">
        <is>
          <t>91.01.01-035</t>
        </is>
      </c>
      <c r="D20" s="180" t="inlineStr">
        <is>
          <t>Бульдозеры, мощность 79 кВт (108 л.с.)</t>
        </is>
      </c>
      <c r="E20" s="264" t="inlineStr">
        <is>
          <t>маш.-ч.</t>
        </is>
      </c>
      <c r="F20" s="264" t="n">
        <v>578.15</v>
      </c>
      <c r="G20" s="180" t="n">
        <v>79.06999999999999</v>
      </c>
      <c r="H20" s="269">
        <f>ROUND(F20*G20,2)</f>
        <v/>
      </c>
      <c r="I20" s="158" t="n"/>
      <c r="J20" s="158" t="n"/>
      <c r="L20" s="158" t="n"/>
    </row>
    <row r="21">
      <c r="A21" s="264" t="n">
        <v>7</v>
      </c>
      <c r="B21" s="175" t="n"/>
      <c r="C21" s="264" t="inlineStr">
        <is>
          <t>91.08.03-017</t>
        </is>
      </c>
      <c r="D21" s="180" t="inlineStr">
        <is>
          <t>Катки самоходные гладкие вибрационные, масса 10 т</t>
        </is>
      </c>
      <c r="E21" s="264" t="inlineStr">
        <is>
          <t>маш.-ч.</t>
        </is>
      </c>
      <c r="F21" s="264" t="n">
        <v>48.95</v>
      </c>
      <c r="G21" s="180" t="n">
        <v>247.24</v>
      </c>
      <c r="H21" s="269">
        <f>ROUND(F21*G21,2)</f>
        <v/>
      </c>
      <c r="I21" s="158" t="n"/>
      <c r="J21" s="158" t="n"/>
      <c r="L21" s="158" t="n"/>
    </row>
    <row r="22" ht="15.75" customHeight="1" s="213">
      <c r="A22" s="264" t="n">
        <v>8</v>
      </c>
      <c r="B22" s="175" t="n"/>
      <c r="C22" s="264" t="inlineStr">
        <is>
          <t>91.08.03-029</t>
        </is>
      </c>
      <c r="D22" s="180" t="inlineStr">
        <is>
          <t>Катки самоходные пневмоколесные статические, масса 16 т</t>
        </is>
      </c>
      <c r="E22" s="264" t="inlineStr">
        <is>
          <t>маш.-ч.</t>
        </is>
      </c>
      <c r="F22" s="264" t="n">
        <v>29.57</v>
      </c>
      <c r="G22" s="180" t="n">
        <v>331.98</v>
      </c>
      <c r="H22" s="269">
        <f>ROUND(F22*G22,2)</f>
        <v/>
      </c>
      <c r="I22" s="158" t="n"/>
      <c r="J22" s="158" t="n"/>
      <c r="L22" s="158" t="n"/>
    </row>
    <row r="23" ht="39" customHeight="1" s="213">
      <c r="A23" s="264" t="n">
        <v>9</v>
      </c>
      <c r="B23" s="175" t="n"/>
      <c r="C23" s="264" t="inlineStr">
        <is>
          <t>91.08.01-003</t>
        </is>
      </c>
      <c r="D23" s="180" t="inlineStr">
        <is>
          <t>Асфальтоукладчики, ширина укладки до 9,5 м, производительность 25 м/мин, мощность 142 кВт (193 л.с.)</t>
        </is>
      </c>
      <c r="E23" s="264" t="inlineStr">
        <is>
          <t>маш.-ч.</t>
        </is>
      </c>
      <c r="F23" s="264" t="n">
        <v>7.38</v>
      </c>
      <c r="G23" s="147" t="n">
        <v>1168.09</v>
      </c>
      <c r="H23" s="269">
        <f>ROUND(F23*G23,2)</f>
        <v/>
      </c>
      <c r="I23" s="158" t="n"/>
      <c r="J23" s="158" t="n"/>
      <c r="L23" s="158" t="n"/>
    </row>
    <row r="24">
      <c r="A24" s="264" t="n">
        <v>10</v>
      </c>
      <c r="B24" s="175" t="n"/>
      <c r="C24" s="264" t="inlineStr">
        <is>
          <t>91.08.03-016</t>
        </is>
      </c>
      <c r="D24" s="180" t="inlineStr">
        <is>
          <t>Катки самоходные гладкие вибрационные, масса 8 т</t>
        </is>
      </c>
      <c r="E24" s="264" t="inlineStr">
        <is>
          <t>маш.-ч.</t>
        </is>
      </c>
      <c r="F24" s="264" t="n">
        <v>31.42</v>
      </c>
      <c r="G24" s="180" t="n">
        <v>226.54</v>
      </c>
      <c r="H24" s="269">
        <f>ROUND(F24*G24,2)</f>
        <v/>
      </c>
      <c r="I24" s="158" t="n"/>
      <c r="J24" s="158" t="n"/>
      <c r="L24" s="158" t="n"/>
    </row>
    <row r="25">
      <c r="A25" s="264" t="n">
        <v>11</v>
      </c>
      <c r="B25" s="175" t="n"/>
      <c r="C25" s="264" t="inlineStr">
        <is>
          <t>91.13.01-038</t>
        </is>
      </c>
      <c r="D25" s="180" t="inlineStr">
        <is>
          <t>Машины поливомоечные 6000 л</t>
        </is>
      </c>
      <c r="E25" s="264" t="inlineStr">
        <is>
          <t>маш.-ч.</t>
        </is>
      </c>
      <c r="F25" s="264" t="inlineStr">
        <is>
          <t>58</t>
        </is>
      </c>
      <c r="G25" s="180" t="n">
        <v>110</v>
      </c>
      <c r="H25" s="269">
        <f>ROUND(F25*G25,2)</f>
        <v/>
      </c>
      <c r="I25" s="158" t="n"/>
      <c r="J25" s="158" t="n"/>
      <c r="L25" s="158" t="n"/>
    </row>
    <row r="26" ht="26.25" customHeight="1" s="213">
      <c r="A26" s="264" t="n">
        <v>12</v>
      </c>
      <c r="B26" s="175" t="n"/>
      <c r="C26" s="264" t="inlineStr">
        <is>
          <t>91.15.02-024</t>
        </is>
      </c>
      <c r="D26" s="180" t="inlineStr">
        <is>
          <t>Тракторы на гусеничном ходу, мощность 79 кВт (108 л.с.)</t>
        </is>
      </c>
      <c r="E26" s="264" t="inlineStr">
        <is>
          <t>маш.-ч.</t>
        </is>
      </c>
      <c r="F26" s="264" t="n">
        <v>64.12</v>
      </c>
      <c r="G26" s="180" t="n">
        <v>83.09999999999999</v>
      </c>
      <c r="H26" s="269">
        <f>ROUND(F26*G26,2)</f>
        <v/>
      </c>
      <c r="I26" s="158" t="n"/>
      <c r="J26" s="158" t="n"/>
      <c r="L26" s="158" t="n"/>
    </row>
    <row r="27" ht="15.75" customHeight="1" s="213">
      <c r="A27" s="264" t="n">
        <v>13</v>
      </c>
      <c r="B27" s="175" t="n"/>
      <c r="C27" s="264" t="inlineStr">
        <is>
          <t>91.18.01-007</t>
        </is>
      </c>
      <c r="D27" s="18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7" s="264" t="inlineStr">
        <is>
          <t>маш.-ч.</t>
        </is>
      </c>
      <c r="F27" s="264" t="n">
        <v>42.01</v>
      </c>
      <c r="G27" s="180" t="n">
        <v>90</v>
      </c>
      <c r="H27" s="269">
        <f>ROUND(F27*G27,2)</f>
        <v/>
      </c>
      <c r="I27" s="158" t="n"/>
      <c r="J27" s="158" t="n"/>
      <c r="L27" s="158" t="n"/>
    </row>
    <row r="28" ht="26.25" customHeight="1" s="213">
      <c r="A28" s="264" t="n">
        <v>14</v>
      </c>
      <c r="B28" s="175" t="n"/>
      <c r="C28" s="264" t="inlineStr">
        <is>
          <t>91.01.02-004</t>
        </is>
      </c>
      <c r="D28" s="180" t="inlineStr">
        <is>
          <t>Автогрейдеры среднего типа, мощность 99 кВт (135 л.с.)</t>
        </is>
      </c>
      <c r="E28" s="264" t="inlineStr">
        <is>
          <t>маш.-ч.</t>
        </is>
      </c>
      <c r="F28" s="264" t="n">
        <v>28.52</v>
      </c>
      <c r="G28" s="180" t="n">
        <v>123</v>
      </c>
      <c r="H28" s="269">
        <f>ROUND(F28*G28,2)</f>
        <v/>
      </c>
      <c r="I28" s="158" t="n"/>
      <c r="J28" s="158" t="n"/>
      <c r="L28" s="158" t="n"/>
    </row>
    <row r="29" ht="26.25" customHeight="1" s="213">
      <c r="A29" s="264" t="n">
        <v>15</v>
      </c>
      <c r="B29" s="175" t="n"/>
      <c r="C29" s="264" t="inlineStr">
        <is>
          <t>91.08.03-007</t>
        </is>
      </c>
      <c r="D29" s="180" t="inlineStr">
        <is>
          <t>Катки прицепные пневмоколесные статические, масса 25 т</t>
        </is>
      </c>
      <c r="E29" s="264" t="inlineStr">
        <is>
          <t>маш.-ч.</t>
        </is>
      </c>
      <c r="F29" s="264" t="n">
        <v>64.12</v>
      </c>
      <c r="G29" s="180" t="n">
        <v>39.8</v>
      </c>
      <c r="H29" s="269">
        <f>ROUND(F29*G29,2)</f>
        <v/>
      </c>
      <c r="I29" s="158" t="n"/>
      <c r="J29" s="158" t="n"/>
      <c r="L29" s="158" t="n"/>
    </row>
    <row r="30">
      <c r="A30" s="264" t="n">
        <v>16</v>
      </c>
      <c r="B30" s="175" t="n"/>
      <c r="C30" s="264" t="inlineStr">
        <is>
          <t>91.08.03-018</t>
        </is>
      </c>
      <c r="D30" s="180" t="inlineStr">
        <is>
          <t>Катки самоходные гладкие вибрационные, масса 13 т</t>
        </is>
      </c>
      <c r="E30" s="264" t="inlineStr">
        <is>
          <t>маш.-ч.</t>
        </is>
      </c>
      <c r="F30" s="264" t="n">
        <v>7.38</v>
      </c>
      <c r="G30" s="180" t="n">
        <v>286.56</v>
      </c>
      <c r="H30" s="269">
        <f>ROUND(F30*G30,2)</f>
        <v/>
      </c>
      <c r="I30" s="158" t="n"/>
      <c r="J30" s="158" t="n"/>
      <c r="L30" s="158" t="n"/>
    </row>
    <row r="31" ht="15.75" customHeight="1" s="213">
      <c r="A31" s="264" t="n">
        <v>17</v>
      </c>
      <c r="B31" s="175" t="n"/>
      <c r="C31" s="264" t="inlineStr">
        <is>
          <t>91.01.05-088</t>
        </is>
      </c>
      <c r="D31" s="180" t="inlineStr">
        <is>
          <t>Экскаваторы одноковшовые дизельные на гусеничном ходу, емкость ковша 1,6 м3</t>
        </is>
      </c>
      <c r="E31" s="264" t="inlineStr">
        <is>
          <t>маш.-ч.</t>
        </is>
      </c>
      <c r="F31" s="264" t="n">
        <v>9.789999999999999</v>
      </c>
      <c r="G31" s="180" t="n">
        <v>198.4</v>
      </c>
      <c r="H31" s="269">
        <f>ROUND(F31*G31,2)</f>
        <v/>
      </c>
      <c r="I31" s="158" t="n"/>
      <c r="J31" s="158" t="n"/>
      <c r="L31" s="158" t="n"/>
    </row>
    <row r="32">
      <c r="A32" s="264" t="n">
        <v>18</v>
      </c>
      <c r="B32" s="175" t="n"/>
      <c r="C32" s="264" t="inlineStr">
        <is>
          <t>91.06.09-001</t>
        </is>
      </c>
      <c r="D32" s="180" t="inlineStr">
        <is>
          <t>Вышки телескопические 25 м</t>
        </is>
      </c>
      <c r="E32" s="264" t="inlineStr">
        <is>
          <t>маш.-ч.</t>
        </is>
      </c>
      <c r="F32" s="264" t="n">
        <v>10.5</v>
      </c>
      <c r="G32" s="180" t="n">
        <v>142.7</v>
      </c>
      <c r="H32" s="269">
        <f>ROUND(F32*G32,2)</f>
        <v/>
      </c>
      <c r="I32" s="158" t="n"/>
      <c r="J32" s="158" t="n"/>
      <c r="L32" s="158" t="n"/>
    </row>
    <row r="33" ht="26.25" customHeight="1" s="213">
      <c r="A33" s="264" t="n">
        <v>19</v>
      </c>
      <c r="B33" s="175" t="n"/>
      <c r="C33" s="264" t="inlineStr">
        <is>
          <t>91.15.02-023</t>
        </is>
      </c>
      <c r="D33" s="180" t="inlineStr">
        <is>
          <t>Тракторы на гусеничном ходу, мощность 59 кВт (80 л.с.)</t>
        </is>
      </c>
      <c r="E33" s="264" t="inlineStr">
        <is>
          <t>маш.-ч.</t>
        </is>
      </c>
      <c r="F33" s="264" t="n">
        <v>18.18</v>
      </c>
      <c r="G33" s="180" t="n">
        <v>77.2</v>
      </c>
      <c r="H33" s="269">
        <f>ROUND(F33*G33,2)</f>
        <v/>
      </c>
      <c r="I33" s="158" t="n"/>
      <c r="J33" s="158" t="n"/>
      <c r="L33" s="158" t="n"/>
    </row>
    <row r="34" ht="26.25" customHeight="1" s="213">
      <c r="A34" s="264" t="n">
        <v>20</v>
      </c>
      <c r="B34" s="175" t="n"/>
      <c r="C34" s="264" t="inlineStr">
        <is>
          <t>91.08.03-008</t>
        </is>
      </c>
      <c r="D34" s="180" t="inlineStr">
        <is>
          <t>Катки прицепные пневмоколесные статические, масса 50 т</t>
        </is>
      </c>
      <c r="E34" s="264" t="inlineStr">
        <is>
          <t>маш.-ч.</t>
        </is>
      </c>
      <c r="F34" s="264" t="n">
        <v>18.18</v>
      </c>
      <c r="G34" s="180" t="n">
        <v>68.98</v>
      </c>
      <c r="H34" s="269">
        <f>ROUND(F34*G34,2)</f>
        <v/>
      </c>
      <c r="I34" s="158" t="n"/>
      <c r="J34" s="158" t="n"/>
      <c r="L34" s="158" t="n"/>
    </row>
    <row r="35" ht="26.25" customHeight="1" s="213">
      <c r="A35" s="264" t="n">
        <v>21</v>
      </c>
      <c r="B35" s="175" t="n"/>
      <c r="C35" s="264" t="inlineStr">
        <is>
          <t>91.05.05-014</t>
        </is>
      </c>
      <c r="D35" s="180" t="inlineStr">
        <is>
          <t>Краны на автомобильном ходу, грузоподъемность 10 т</t>
        </is>
      </c>
      <c r="E35" s="264" t="inlineStr">
        <is>
          <t>маш.-ч.</t>
        </is>
      </c>
      <c r="F35" s="264" t="inlineStr">
        <is>
          <t>11</t>
        </is>
      </c>
      <c r="G35" s="180" t="n">
        <v>111.99</v>
      </c>
      <c r="H35" s="269">
        <f>ROUND(F35*G35,2)</f>
        <v/>
      </c>
      <c r="I35" s="158" t="n"/>
      <c r="J35" s="158" t="n"/>
      <c r="L35" s="158" t="n"/>
    </row>
    <row r="36">
      <c r="A36" s="264" t="n">
        <v>22</v>
      </c>
      <c r="B36" s="175" t="n"/>
      <c r="C36" s="264" t="inlineStr">
        <is>
          <t>91.08.04-022</t>
        </is>
      </c>
      <c r="D36" s="180" t="inlineStr">
        <is>
          <t>Котлы битумные передвижные 1000 л</t>
        </is>
      </c>
      <c r="E36" s="264" t="inlineStr">
        <is>
          <t>маш.-ч.</t>
        </is>
      </c>
      <c r="F36" s="264" t="n">
        <v>24.14</v>
      </c>
      <c r="G36" s="180" t="n">
        <v>50</v>
      </c>
      <c r="H36" s="269">
        <f>ROUND(F36*G36,2)</f>
        <v/>
      </c>
      <c r="I36" s="158" t="n"/>
      <c r="J36" s="158" t="n"/>
      <c r="L36" s="158" t="n"/>
    </row>
    <row r="37" ht="15.75" customHeight="1" s="213">
      <c r="A37" s="264" t="n">
        <v>23</v>
      </c>
      <c r="B37" s="175" t="n"/>
      <c r="C37" s="264" t="inlineStr">
        <is>
          <t>91.04.01-100</t>
        </is>
      </c>
      <c r="D37" s="180" t="inlineStr">
        <is>
          <t>Машины бурильно-крановые на автомобильном ходу, диаметр бурения 360-800 мм, глубина бурения до 10 м</t>
        </is>
      </c>
      <c r="E37" s="264" t="inlineStr">
        <is>
          <t>маш.-ч.</t>
        </is>
      </c>
      <c r="F37" s="264" t="n">
        <v>2.78</v>
      </c>
      <c r="G37" s="180" t="n">
        <v>399.03</v>
      </c>
      <c r="H37" s="269">
        <f>ROUND(F37*G37,2)</f>
        <v/>
      </c>
      <c r="I37" s="158" t="n"/>
      <c r="J37" s="158" t="n"/>
      <c r="L37" s="158" t="n"/>
    </row>
    <row r="38" ht="26.25" customHeight="1" s="213">
      <c r="A38" s="264" t="n">
        <v>24</v>
      </c>
      <c r="B38" s="175" t="n"/>
      <c r="C38" s="264" t="inlineStr">
        <is>
          <t>91.06.03-055</t>
        </is>
      </c>
      <c r="D38" s="180" t="inlineStr">
        <is>
          <t>Лебедки электрические тяговым усилием 19,62 кН (2 т)</t>
        </is>
      </c>
      <c r="E38" s="264" t="inlineStr">
        <is>
          <t>маш.-ч.</t>
        </is>
      </c>
      <c r="F38" s="264" t="n">
        <v>165.1</v>
      </c>
      <c r="G38" s="180" t="n">
        <v>6.66</v>
      </c>
      <c r="H38" s="269">
        <f>ROUND(F38*G38,2)</f>
        <v/>
      </c>
      <c r="I38" s="158" t="n"/>
      <c r="J38" s="158" t="n"/>
      <c r="L38" s="158" t="n"/>
    </row>
    <row r="39">
      <c r="A39" s="264" t="n">
        <v>25</v>
      </c>
      <c r="B39" s="175" t="n"/>
      <c r="C39" s="264" t="inlineStr">
        <is>
          <t>91.08.02-001</t>
        </is>
      </c>
      <c r="D39" s="180" t="inlineStr">
        <is>
          <t>Автогудронаторы, емкость цистерны 3500 л</t>
        </is>
      </c>
      <c r="E39" s="264" t="inlineStr">
        <is>
          <t>маш.-ч.</t>
        </is>
      </c>
      <c r="F39" s="264" t="n">
        <v>9.23</v>
      </c>
      <c r="G39" s="180" t="n">
        <v>118.47</v>
      </c>
      <c r="H39" s="269">
        <f>ROUND(F39*G39,2)</f>
        <v/>
      </c>
      <c r="I39" s="158" t="n"/>
      <c r="J39" s="158" t="n"/>
      <c r="L39" s="158" t="n"/>
    </row>
    <row r="40">
      <c r="A40" s="264" t="n">
        <v>26</v>
      </c>
      <c r="B40" s="175" t="n"/>
      <c r="C40" s="264" t="inlineStr">
        <is>
          <t>91.08.03-015</t>
        </is>
      </c>
      <c r="D40" s="180" t="inlineStr">
        <is>
          <t>Катки самоходные гладкие вибрационные, масса 5 т</t>
        </is>
      </c>
      <c r="E40" s="264" t="inlineStr">
        <is>
          <t>маш.-ч.</t>
        </is>
      </c>
      <c r="F40" s="264" t="n">
        <v>5.95</v>
      </c>
      <c r="G40" s="180" t="n">
        <v>176.03</v>
      </c>
      <c r="H40" s="269">
        <f>ROUND(F40*G40,2)</f>
        <v/>
      </c>
      <c r="I40" s="158" t="n"/>
      <c r="J40" s="158" t="n"/>
      <c r="L40" s="158" t="n"/>
    </row>
    <row r="41" ht="15.75" customHeight="1" s="213">
      <c r="A41" s="264" t="n">
        <v>27</v>
      </c>
      <c r="B41" s="175" t="n"/>
      <c r="C41" s="264" t="inlineStr">
        <is>
          <t>91.06.05-057</t>
        </is>
      </c>
      <c r="D41" s="180" t="inlineStr">
        <is>
          <t>Погрузчики одноковшовые универсальные фронтальные пневмоколесные, грузоподъемность 3 т</t>
        </is>
      </c>
      <c r="E41" s="264" t="inlineStr">
        <is>
          <t>маш.-ч.</t>
        </is>
      </c>
      <c r="F41" s="264" t="n">
        <v>9.27</v>
      </c>
      <c r="G41" s="180" t="n">
        <v>90.40000000000001</v>
      </c>
      <c r="H41" s="269">
        <f>ROUND(F41*G41,2)</f>
        <v/>
      </c>
      <c r="I41" s="158" t="n"/>
      <c r="J41" s="158" t="n"/>
      <c r="L41" s="158" t="n"/>
    </row>
    <row r="42" ht="15.75" customHeight="1" s="213">
      <c r="A42" s="264" t="n">
        <v>28</v>
      </c>
      <c r="B42" s="175" t="n"/>
      <c r="C42" s="264" t="inlineStr">
        <is>
          <t>91.06.05-060</t>
        </is>
      </c>
      <c r="D42" s="180" t="inlineStr">
        <is>
          <t>Погрузчики одноковшовые универсальные фронтальные пневмоколесные, грузоподъемность до 1 т</t>
        </is>
      </c>
      <c r="E42" s="264" t="inlineStr">
        <is>
          <t>маш.-ч.</t>
        </is>
      </c>
      <c r="F42" s="264" t="n">
        <v>6.97</v>
      </c>
      <c r="G42" s="180" t="n">
        <v>93.95999999999999</v>
      </c>
      <c r="H42" s="269">
        <f>ROUND(F42*G42,2)</f>
        <v/>
      </c>
      <c r="I42" s="158" t="n"/>
      <c r="J42" s="158" t="n"/>
      <c r="L42" s="158" t="n"/>
    </row>
    <row r="43">
      <c r="A43" s="264" t="n">
        <v>29</v>
      </c>
      <c r="B43" s="175" t="n"/>
      <c r="C43" s="264" t="inlineStr">
        <is>
          <t>91.01.01-034</t>
        </is>
      </c>
      <c r="D43" s="180" t="inlineStr">
        <is>
          <t>Бульдозеры, мощность 59 кВт (80 л.с.)</t>
        </is>
      </c>
      <c r="E43" s="264" t="inlineStr">
        <is>
          <t>маш.-ч.</t>
        </is>
      </c>
      <c r="F43" s="264" t="n">
        <v>7.88</v>
      </c>
      <c r="G43" s="180" t="n">
        <v>59.47</v>
      </c>
      <c r="H43" s="269">
        <f>ROUND(F43*G43,2)</f>
        <v/>
      </c>
      <c r="I43" s="158" t="n"/>
      <c r="J43" s="158" t="n"/>
      <c r="L43" s="158" t="n"/>
    </row>
    <row r="44">
      <c r="A44" s="264" t="n">
        <v>30</v>
      </c>
      <c r="B44" s="175" t="n"/>
      <c r="C44" s="264" t="inlineStr">
        <is>
          <t>91.14.02-001</t>
        </is>
      </c>
      <c r="D44" s="180" t="inlineStr">
        <is>
          <t>Автомобили бортовые, грузоподъемность до 5 т</t>
        </is>
      </c>
      <c r="E44" s="264" t="inlineStr">
        <is>
          <t>маш.-ч.</t>
        </is>
      </c>
      <c r="F44" s="264" t="n">
        <v>5.27</v>
      </c>
      <c r="G44" s="180" t="n">
        <v>65.70999999999999</v>
      </c>
      <c r="H44" s="269">
        <f>ROUND(F44*G44,2)</f>
        <v/>
      </c>
      <c r="I44" s="158" t="n"/>
      <c r="J44" s="158" t="n"/>
      <c r="L44" s="158" t="n"/>
    </row>
    <row r="45">
      <c r="A45" s="264" t="n">
        <v>31</v>
      </c>
      <c r="B45" s="175" t="n"/>
      <c r="C45" s="264" t="inlineStr">
        <is>
          <t>91.08.09-002</t>
        </is>
      </c>
      <c r="D45" s="180" t="inlineStr">
        <is>
          <t>Виброплиты электрические</t>
        </is>
      </c>
      <c r="E45" s="264" t="inlineStr">
        <is>
          <t>маш.-ч.</t>
        </is>
      </c>
      <c r="F45" s="264" t="n">
        <v>31.54</v>
      </c>
      <c r="G45" s="180" t="n">
        <v>9.16</v>
      </c>
      <c r="H45" s="269">
        <f>ROUND(F45*G45,2)</f>
        <v/>
      </c>
      <c r="I45" s="158" t="n"/>
      <c r="J45" s="158" t="n"/>
      <c r="L45" s="158" t="n"/>
    </row>
    <row r="46" ht="26.25" customHeight="1" s="213">
      <c r="A46" s="264" t="n">
        <v>32</v>
      </c>
      <c r="B46" s="175" t="n"/>
      <c r="C46" s="264" t="inlineStr">
        <is>
          <t>91.05.05-013</t>
        </is>
      </c>
      <c r="D46" s="180" t="inlineStr">
        <is>
          <t>Краны на автомобильном ходу, грузоподъемность 6,3 т</t>
        </is>
      </c>
      <c r="E46" s="264" t="inlineStr">
        <is>
          <t>маш.-ч.</t>
        </is>
      </c>
      <c r="F46" s="264" t="n">
        <v>3.21</v>
      </c>
      <c r="G46" s="180" t="n">
        <v>88.01000000000001</v>
      </c>
      <c r="H46" s="269">
        <f>ROUND(F46*G46,2)</f>
        <v/>
      </c>
      <c r="I46" s="158" t="n"/>
      <c r="J46" s="158" t="n"/>
      <c r="L46" s="158" t="n"/>
    </row>
    <row r="47" ht="15.75" customHeight="1" s="213">
      <c r="A47" s="264" t="n">
        <v>33</v>
      </c>
      <c r="B47" s="175" t="n"/>
      <c r="C47" s="264" t="inlineStr">
        <is>
          <t>91.18.01-516</t>
        </is>
      </c>
      <c r="D47" s="180" t="inlineStr">
        <is>
          <t>Компрессоры с двигателем внутреннего сгорания прицепные, давление до 7 атм, производительность до 6 м3/мин</t>
        </is>
      </c>
      <c r="E47" s="264" t="inlineStr">
        <is>
          <t>маш.-ч.</t>
        </is>
      </c>
      <c r="F47" s="264" t="n">
        <v>7.5</v>
      </c>
      <c r="G47" s="180" t="n">
        <v>36.9</v>
      </c>
      <c r="H47" s="269">
        <f>ROUND(F47*G47,2)</f>
        <v/>
      </c>
      <c r="I47" s="158" t="n"/>
      <c r="J47" s="158" t="n"/>
      <c r="L47" s="158" t="n"/>
    </row>
    <row r="48">
      <c r="A48" s="264" t="n">
        <v>34</v>
      </c>
      <c r="B48" s="175" t="n"/>
      <c r="C48" s="264" t="inlineStr">
        <is>
          <t>91.05.14-025</t>
        </is>
      </c>
      <c r="D48" s="180" t="inlineStr">
        <is>
          <t>Краны переносные 1 т</t>
        </is>
      </c>
      <c r="E48" s="264" t="inlineStr">
        <is>
          <t>маш.-ч.</t>
        </is>
      </c>
      <c r="F48" s="264" t="n">
        <v>8.6</v>
      </c>
      <c r="G48" s="180" t="n">
        <v>27.2</v>
      </c>
      <c r="H48" s="269">
        <f>ROUND(F48*G48,2)</f>
        <v/>
      </c>
      <c r="I48" s="158" t="n"/>
      <c r="J48" s="158" t="n"/>
      <c r="L48" s="158" t="n"/>
    </row>
    <row r="49" ht="15.75" customHeight="1" s="213">
      <c r="A49" s="264" t="n">
        <v>35</v>
      </c>
      <c r="B49" s="175" t="n"/>
      <c r="C49" s="264" t="inlineStr">
        <is>
          <t>91.08.09-024</t>
        </is>
      </c>
      <c r="D49" s="180" t="inlineStr">
        <is>
          <t>Трамбовки пневматические при работе от стационарного компрессора</t>
        </is>
      </c>
      <c r="E49" s="264" t="inlineStr">
        <is>
          <t>маш.-ч.</t>
        </is>
      </c>
      <c r="F49" s="264" t="n">
        <v>43.07</v>
      </c>
      <c r="G49" s="180" t="n">
        <v>4.91</v>
      </c>
      <c r="H49" s="269">
        <f>ROUND(F49*G49,2)</f>
        <v/>
      </c>
      <c r="I49" s="158" t="n"/>
      <c r="J49" s="158" t="n"/>
      <c r="L49" s="158" t="n"/>
    </row>
    <row r="50" ht="15.75" customHeight="1" s="213">
      <c r="A50" s="264" t="n">
        <v>36</v>
      </c>
      <c r="B50" s="175" t="n"/>
      <c r="C50" s="264" t="inlineStr">
        <is>
          <t>91.15.03-014</t>
        </is>
      </c>
      <c r="D50" s="180" t="inlineStr">
        <is>
          <t>Тракторы на пневмоколесном ходу, мощность 59 кВт (80 л.с.)</t>
        </is>
      </c>
      <c r="E50" s="264" t="inlineStr">
        <is>
          <t>маш.-ч.</t>
        </is>
      </c>
      <c r="F50" s="264" t="n">
        <v>2.32</v>
      </c>
      <c r="G50" s="180" t="n">
        <v>74.61</v>
      </c>
      <c r="H50" s="269">
        <f>ROUND(F50*G50,2)</f>
        <v/>
      </c>
      <c r="I50" s="158" t="n"/>
      <c r="J50" s="158" t="n"/>
      <c r="L50" s="158" t="n"/>
    </row>
    <row r="51" ht="15.75" customHeight="1" s="213">
      <c r="A51" s="264" t="n">
        <v>37</v>
      </c>
      <c r="B51" s="175" t="n"/>
      <c r="C51" s="264" t="inlineStr">
        <is>
          <t>91.01.05-110</t>
        </is>
      </c>
      <c r="D51" s="180" t="inlineStr">
        <is>
          <t>Экскаваторы одноковшовые на гусеничном ходу, емкость ковша 0,65 м3</t>
        </is>
      </c>
      <c r="E51" s="264" t="inlineStr">
        <is>
          <t>маш.-ч.</t>
        </is>
      </c>
      <c r="F51" s="264" t="n">
        <v>0.68</v>
      </c>
      <c r="G51" s="180" t="n">
        <v>175.56</v>
      </c>
      <c r="H51" s="269">
        <f>ROUND(F51*G51,2)</f>
        <v/>
      </c>
      <c r="I51" s="158" t="n"/>
      <c r="J51" s="158" t="n"/>
      <c r="L51" s="158" t="n"/>
    </row>
    <row r="52">
      <c r="A52" s="264" t="n">
        <v>38</v>
      </c>
      <c r="B52" s="175" t="n"/>
      <c r="C52" s="264" t="inlineStr">
        <is>
          <t>91.01.01-039</t>
        </is>
      </c>
      <c r="D52" s="180" t="inlineStr">
        <is>
          <t>Бульдозеры, мощность 132 кВт (180 л.с.)</t>
        </is>
      </c>
      <c r="E52" s="264" t="inlineStr">
        <is>
          <t>маш.-ч.</t>
        </is>
      </c>
      <c r="F52" s="264" t="n">
        <v>0.77</v>
      </c>
      <c r="G52" s="180" t="n">
        <v>132.79</v>
      </c>
      <c r="H52" s="269">
        <f>ROUND(F52*G52,2)</f>
        <v/>
      </c>
      <c r="I52" s="158" t="n"/>
      <c r="J52" s="158" t="n"/>
      <c r="L52" s="158" t="n"/>
    </row>
    <row r="53" ht="15.75" customHeight="1" s="213">
      <c r="A53" s="264" t="n">
        <v>39</v>
      </c>
      <c r="B53" s="175" t="n"/>
      <c r="C53" s="264" t="inlineStr">
        <is>
          <t>91.01.05-106</t>
        </is>
      </c>
      <c r="D53" s="180" t="inlineStr">
        <is>
          <t>Экскаваторы одноковшовые дизельные на пневмоколесном ходу, емкость ковша 0,25 м3</t>
        </is>
      </c>
      <c r="E53" s="264" t="inlineStr">
        <is>
          <t>маш.-ч.</t>
        </is>
      </c>
      <c r="F53" s="264" t="n">
        <v>1.19</v>
      </c>
      <c r="G53" s="180" t="n">
        <v>70.01000000000001</v>
      </c>
      <c r="H53" s="269">
        <f>ROUND(F53*G53,2)</f>
        <v/>
      </c>
      <c r="I53" s="158" t="n"/>
      <c r="J53" s="158" t="n"/>
      <c r="L53" s="158" t="n"/>
    </row>
    <row r="54" ht="15.75" customHeight="1" s="213">
      <c r="A54" s="264" t="n">
        <v>40</v>
      </c>
      <c r="B54" s="175" t="n"/>
      <c r="C54" s="264" t="inlineStr">
        <is>
          <t>91.12.02-002</t>
        </is>
      </c>
      <c r="D54" s="180" t="inlineStr">
        <is>
          <t>Корчеватели-собиратели с трактором, мощность 79 кВт (108 л.с.)</t>
        </is>
      </c>
      <c r="E54" s="264" t="inlineStr">
        <is>
          <t>маш.-ч.</t>
        </is>
      </c>
      <c r="F54" s="264" t="n">
        <v>0.87</v>
      </c>
      <c r="G54" s="180" t="n">
        <v>88.91</v>
      </c>
      <c r="H54" s="269">
        <f>ROUND(F54*G54,2)</f>
        <v/>
      </c>
      <c r="I54" s="158" t="n"/>
      <c r="J54" s="158" t="n"/>
      <c r="L54" s="158" t="n"/>
    </row>
    <row r="55">
      <c r="A55" s="264" t="n">
        <v>41</v>
      </c>
      <c r="B55" s="175" t="n"/>
      <c r="C55" s="264" t="inlineStr">
        <is>
          <t>91.14.04-001</t>
        </is>
      </c>
      <c r="D55" s="180" t="inlineStr">
        <is>
          <t>Тягачи седельные, грузоподъемность 12 т</t>
        </is>
      </c>
      <c r="E55" s="264" t="inlineStr">
        <is>
          <t>маш.-ч.</t>
        </is>
      </c>
      <c r="F55" s="264" t="n">
        <v>0.6</v>
      </c>
      <c r="G55" s="180" t="n">
        <v>102.83</v>
      </c>
      <c r="H55" s="269">
        <f>ROUND(F55*G55,2)</f>
        <v/>
      </c>
      <c r="I55" s="158" t="n"/>
      <c r="J55" s="158" t="n"/>
      <c r="L55" s="158" t="n"/>
    </row>
    <row r="56" ht="15.75" customHeight="1" s="213">
      <c r="A56" s="264" t="n">
        <v>42</v>
      </c>
      <c r="B56" s="175" t="n"/>
      <c r="C56" s="264" t="inlineStr">
        <is>
          <t>91.17.04-171</t>
        </is>
      </c>
      <c r="D56" s="180" t="inlineStr">
        <is>
          <t>Преобразователи сварочные номинальным сварочным током 315-500 А</t>
        </is>
      </c>
      <c r="E56" s="264" t="inlineStr">
        <is>
          <t>маш.-ч.</t>
        </is>
      </c>
      <c r="F56" s="264" t="n">
        <v>2.81</v>
      </c>
      <c r="G56" s="180" t="n">
        <v>12.31</v>
      </c>
      <c r="H56" s="269">
        <f>ROUND(F56*G56,2)</f>
        <v/>
      </c>
      <c r="I56" s="158" t="n"/>
      <c r="J56" s="158" t="n"/>
      <c r="L56" s="158" t="n"/>
    </row>
    <row r="57">
      <c r="A57" s="264" t="n">
        <v>43</v>
      </c>
      <c r="B57" s="175" t="n"/>
      <c r="C57" s="264" t="inlineStr">
        <is>
          <t>91.21.12-002</t>
        </is>
      </c>
      <c r="D57" s="180" t="inlineStr">
        <is>
          <t>Ножницы листовые кривошипные гильотинные</t>
        </is>
      </c>
      <c r="E57" s="264" t="inlineStr">
        <is>
          <t>маш.-ч.</t>
        </is>
      </c>
      <c r="F57" s="264" t="n">
        <v>0.45</v>
      </c>
      <c r="G57" s="180" t="n">
        <v>70</v>
      </c>
      <c r="H57" s="269">
        <f>ROUND(F57*G57,2)</f>
        <v/>
      </c>
      <c r="I57" s="158" t="n"/>
      <c r="J57" s="158" t="n"/>
      <c r="L57" s="158" t="n"/>
    </row>
    <row r="58">
      <c r="A58" s="264" t="n">
        <v>44</v>
      </c>
      <c r="B58" s="175" t="n"/>
      <c r="C58" s="264" t="inlineStr">
        <is>
          <t>91.07.04-002</t>
        </is>
      </c>
      <c r="D58" s="180" t="inlineStr">
        <is>
          <t>Вибраторы поверхностные</t>
        </is>
      </c>
      <c r="E58" s="264" t="inlineStr">
        <is>
          <t>маш.-ч.</t>
        </is>
      </c>
      <c r="F58" s="264" t="n">
        <v>61.89</v>
      </c>
      <c r="G58" s="180" t="n">
        <v>0.5</v>
      </c>
      <c r="H58" s="269">
        <f>ROUND(F58*G58,2)</f>
        <v/>
      </c>
      <c r="I58" s="158" t="n"/>
      <c r="J58" s="158" t="n"/>
      <c r="L58" s="158" t="n"/>
    </row>
    <row r="59">
      <c r="A59" s="264" t="n">
        <v>45</v>
      </c>
      <c r="B59" s="175" t="n"/>
      <c r="C59" s="264" t="inlineStr">
        <is>
          <t>91.06.05-011</t>
        </is>
      </c>
      <c r="D59" s="180" t="inlineStr">
        <is>
          <t>Погрузчики, грузоподъемность 5 т</t>
        </is>
      </c>
      <c r="E59" s="264" t="inlineStr">
        <is>
          <t>маш.-ч.</t>
        </is>
      </c>
      <c r="F59" s="264" t="n">
        <v>0.25</v>
      </c>
      <c r="G59" s="180" t="n">
        <v>90</v>
      </c>
      <c r="H59" s="269">
        <f>ROUND(F59*G59,2)</f>
        <v/>
      </c>
      <c r="I59" s="158" t="n"/>
      <c r="J59" s="158" t="n"/>
      <c r="L59" s="158" t="n"/>
    </row>
    <row r="60" ht="15.75" customHeight="1" s="213">
      <c r="A60" s="264" t="n">
        <v>46</v>
      </c>
      <c r="B60" s="175" t="n"/>
      <c r="C60" s="264" t="inlineStr">
        <is>
          <t>91.01.01-018</t>
        </is>
      </c>
      <c r="D60" s="180" t="inlineStr">
        <is>
          <t>Бульдозеры-рыхлители на тракторе, мощность 243 кВт (330 л.с.)</t>
        </is>
      </c>
      <c r="E60" s="264" t="inlineStr">
        <is>
          <t>маш.-ч.</t>
        </is>
      </c>
      <c r="F60" s="264" t="n">
        <v>0.06</v>
      </c>
      <c r="G60" s="180" t="n">
        <v>348</v>
      </c>
      <c r="H60" s="269">
        <f>ROUND(F60*G60,2)</f>
        <v/>
      </c>
      <c r="I60" s="158" t="n"/>
      <c r="J60" s="158" t="n"/>
      <c r="L60" s="158" t="n"/>
    </row>
    <row r="61">
      <c r="A61" s="264" t="n">
        <v>47</v>
      </c>
      <c r="B61" s="175" t="n"/>
      <c r="C61" s="264" t="inlineStr">
        <is>
          <t>91.07.04-001</t>
        </is>
      </c>
      <c r="D61" s="180" t="inlineStr">
        <is>
          <t>Вибраторы глубинные</t>
        </is>
      </c>
      <c r="E61" s="264" t="inlineStr">
        <is>
          <t>маш.-ч.</t>
        </is>
      </c>
      <c r="F61" s="264" t="n">
        <v>10.08</v>
      </c>
      <c r="G61" s="180" t="n">
        <v>1.9</v>
      </c>
      <c r="H61" s="269">
        <f>ROUND(F61*G61,2)</f>
        <v/>
      </c>
      <c r="I61" s="158" t="n"/>
      <c r="J61" s="158" t="n"/>
      <c r="L61" s="158" t="n"/>
    </row>
    <row r="62">
      <c r="A62" s="264" t="n">
        <v>48</v>
      </c>
      <c r="B62" s="175" t="n"/>
      <c r="C62" s="264" t="inlineStr">
        <is>
          <t>91.17.03-021</t>
        </is>
      </c>
      <c r="D62" s="180" t="inlineStr">
        <is>
          <t>Печи нагревательные</t>
        </is>
      </c>
      <c r="E62" s="264" t="inlineStr">
        <is>
          <t>маш.-ч.</t>
        </is>
      </c>
      <c r="F62" s="264" t="n">
        <v>0.42</v>
      </c>
      <c r="G62" s="180" t="n">
        <v>25.31</v>
      </c>
      <c r="H62" s="269">
        <f>ROUND(F62*G62,2)</f>
        <v/>
      </c>
      <c r="I62" s="158" t="n"/>
      <c r="J62" s="158" t="n"/>
      <c r="L62" s="158" t="n"/>
    </row>
    <row r="63" ht="23.25" customHeight="1" s="213">
      <c r="A63" s="264" t="n">
        <v>49</v>
      </c>
      <c r="B63" s="175" t="n"/>
      <c r="C63" s="264" t="inlineStr">
        <is>
          <t>91.14.05-011</t>
        </is>
      </c>
      <c r="D63" s="180" t="inlineStr">
        <is>
          <t>Полуприцепы общего назначения, грузоподъемность 12 т</t>
        </is>
      </c>
      <c r="E63" s="264" t="inlineStr">
        <is>
          <t>маш.-ч.</t>
        </is>
      </c>
      <c r="F63" s="264" t="n">
        <v>0.75</v>
      </c>
      <c r="G63" s="180" t="n">
        <v>12</v>
      </c>
      <c r="H63" s="269">
        <f>ROUND(F63*G63,2)</f>
        <v/>
      </c>
      <c r="I63" s="158" t="n"/>
      <c r="J63" s="158" t="n"/>
      <c r="L63" s="158" t="n"/>
    </row>
    <row r="64">
      <c r="A64" s="264" t="n">
        <v>50</v>
      </c>
      <c r="B64" s="175" t="n"/>
      <c r="C64" s="264" t="inlineStr">
        <is>
          <t>91.12.08-161</t>
        </is>
      </c>
      <c r="D64" s="180" t="inlineStr">
        <is>
          <t>Ямокопатели</t>
        </is>
      </c>
      <c r="E64" s="264" t="inlineStr">
        <is>
          <t>маш.-ч.</t>
        </is>
      </c>
      <c r="F64" s="264" t="n">
        <v>0.86</v>
      </c>
      <c r="G64" s="180" t="n">
        <v>6.51</v>
      </c>
      <c r="H64" s="269">
        <f>ROUND(F64*G64,2)</f>
        <v/>
      </c>
      <c r="I64" s="158" t="n"/>
      <c r="J64" s="158" t="n"/>
      <c r="L64" s="158" t="n"/>
    </row>
    <row r="65">
      <c r="A65" s="264" t="n">
        <v>51</v>
      </c>
      <c r="B65" s="175" t="n"/>
      <c r="C65" s="264" t="inlineStr">
        <is>
          <t>91.21.15-022</t>
        </is>
      </c>
      <c r="D65" s="180" t="inlineStr">
        <is>
          <t>Пилы ленточные с поворотной пилорамой</t>
        </is>
      </c>
      <c r="E65" s="264" t="inlineStr">
        <is>
          <t>маш.-ч.</t>
        </is>
      </c>
      <c r="F65" s="264" t="n">
        <v>0.53</v>
      </c>
      <c r="G65" s="180" t="n">
        <v>3.3</v>
      </c>
      <c r="H65" s="269">
        <f>ROUND(F65*G65,2)</f>
        <v/>
      </c>
      <c r="I65" s="158" t="n"/>
      <c r="J65" s="158" t="n"/>
      <c r="L65" s="158" t="n"/>
    </row>
    <row r="66">
      <c r="A66" s="264" t="n">
        <v>52</v>
      </c>
      <c r="B66" s="175" t="n"/>
      <c r="C66" s="264" t="inlineStr">
        <is>
          <t>91.14.02-002</t>
        </is>
      </c>
      <c r="D66" s="180" t="inlineStr">
        <is>
          <t>Автомобили бортовые, грузоподъемность до 8 т</t>
        </is>
      </c>
      <c r="E66" s="264" t="inlineStr">
        <is>
          <t>маш.-ч.</t>
        </is>
      </c>
      <c r="F66" s="264" t="n">
        <v>0.02</v>
      </c>
      <c r="G66" s="180" t="n">
        <v>86</v>
      </c>
      <c r="H66" s="269">
        <f>ROUND(F66*G66,2)</f>
        <v/>
      </c>
      <c r="I66" s="158" t="n"/>
      <c r="J66" s="158" t="n"/>
      <c r="L66" s="158" t="n"/>
    </row>
    <row r="67" ht="24" customHeight="1" s="213">
      <c r="A67" s="264" t="n">
        <v>53</v>
      </c>
      <c r="B67" s="175" t="n"/>
      <c r="C67" s="264" t="inlineStr">
        <is>
          <t>91.06.03-063</t>
        </is>
      </c>
      <c r="D67" s="180" t="inlineStr">
        <is>
          <t>Лебедки электрические тяговым усилием до 49,05 кН (5 т)</t>
        </is>
      </c>
      <c r="E67" s="264" t="inlineStr">
        <is>
          <t>маш.-ч.</t>
        </is>
      </c>
      <c r="F67" s="264" t="n">
        <v>0.02</v>
      </c>
      <c r="G67" s="180" t="n">
        <v>8</v>
      </c>
      <c r="H67" s="269">
        <f>ROUND(F67*G67,2)</f>
        <v/>
      </c>
      <c r="I67" s="158" t="n"/>
      <c r="J67" s="158" t="n"/>
      <c r="L67" s="158" t="n"/>
    </row>
    <row r="68" ht="26.25" customHeight="1" s="213">
      <c r="A68" s="264" t="n">
        <v>54</v>
      </c>
      <c r="B68" s="175" t="n"/>
      <c r="C68" s="264" t="inlineStr">
        <is>
          <t>91.06.03-060</t>
        </is>
      </c>
      <c r="D68" s="180" t="inlineStr">
        <is>
          <t>Лебедки электрические тяговым усилием до 5,79 кН (0,59 т)</t>
        </is>
      </c>
      <c r="E68" s="264" t="inlineStr">
        <is>
          <t>маш.-ч.</t>
        </is>
      </c>
      <c r="F68" s="264" t="n">
        <v>0.06</v>
      </c>
      <c r="G68" s="180" t="n">
        <v>1.67</v>
      </c>
      <c r="H68" s="269">
        <f>ROUND(F68*G68,2)</f>
        <v/>
      </c>
      <c r="I68" s="158" t="n"/>
      <c r="J68" s="158" t="n"/>
      <c r="L68" s="158" t="n"/>
    </row>
    <row r="69">
      <c r="A69" s="264" t="n">
        <v>55</v>
      </c>
      <c r="B69" s="175" t="n"/>
      <c r="C69" s="264" t="inlineStr">
        <is>
          <t>91.21.19-031</t>
        </is>
      </c>
      <c r="D69" s="180" t="inlineStr">
        <is>
          <t>Станки сверлильные</t>
        </is>
      </c>
      <c r="E69" s="264" t="inlineStr">
        <is>
          <t>маш.-ч.</t>
        </is>
      </c>
      <c r="F69" s="264" t="n">
        <v>0.04</v>
      </c>
      <c r="G69" s="180" t="n">
        <v>2.25</v>
      </c>
      <c r="H69" s="269">
        <f>ROUND(F69*G69,2)</f>
        <v/>
      </c>
      <c r="I69" s="158" t="n"/>
      <c r="J69" s="158" t="n"/>
      <c r="L69" s="158" t="n"/>
    </row>
    <row r="70">
      <c r="A70" s="264" t="n">
        <v>56</v>
      </c>
      <c r="B70" s="175" t="n"/>
      <c r="C70" s="264" t="inlineStr">
        <is>
          <t>91.21.07-011</t>
        </is>
      </c>
      <c r="D70" s="180" t="inlineStr">
        <is>
          <t>Машины мозаично-шлифовальные</t>
        </is>
      </c>
      <c r="E70" s="264" t="inlineStr">
        <is>
          <t>маш.-ч.</t>
        </is>
      </c>
      <c r="F70" s="264" t="n">
        <v>0.04</v>
      </c>
      <c r="G70" s="180" t="n">
        <v>1.5</v>
      </c>
      <c r="H70" s="269">
        <f>ROUND(F70*G70,2)</f>
        <v/>
      </c>
      <c r="I70" s="158" t="n"/>
      <c r="J70" s="158" t="n"/>
      <c r="L70" s="158" t="n"/>
    </row>
    <row r="71">
      <c r="A71" s="264" t="n">
        <v>57</v>
      </c>
      <c r="B71" s="175" t="n"/>
      <c r="C71" s="264" t="inlineStr">
        <is>
          <t>91.06.01-003</t>
        </is>
      </c>
      <c r="D71" s="180" t="inlineStr">
        <is>
          <t>Домкраты гидравлические, грузоподъемность 63-100 т</t>
        </is>
      </c>
      <c r="E71" s="264" t="inlineStr">
        <is>
          <t>маш.-ч.</t>
        </is>
      </c>
      <c r="F71" s="264" t="n">
        <v>0.02</v>
      </c>
      <c r="G71" s="180" t="n">
        <v>1</v>
      </c>
      <c r="H71" s="269">
        <f>ROUND(F71*G71,2)</f>
        <v/>
      </c>
      <c r="I71" s="158" t="n"/>
      <c r="J71" s="158" t="n"/>
      <c r="L71" s="158" t="n"/>
    </row>
    <row r="72" ht="15" customHeight="1" s="213">
      <c r="A72" s="257" t="inlineStr">
        <is>
          <t>Оборудование</t>
        </is>
      </c>
      <c r="B72" s="349" t="n"/>
      <c r="C72" s="349" t="n"/>
      <c r="D72" s="349" t="n"/>
      <c r="E72" s="350" t="n"/>
      <c r="F72" s="10" t="n"/>
      <c r="G72" s="10" t="n"/>
      <c r="H72" s="354" t="n">
        <v>0</v>
      </c>
    </row>
    <row r="73">
      <c r="A73" s="251" t="inlineStr">
        <is>
          <t>Материалы</t>
        </is>
      </c>
      <c r="B73" s="349" t="n"/>
      <c r="C73" s="349" t="n"/>
      <c r="D73" s="349" t="n"/>
      <c r="E73" s="350" t="n"/>
      <c r="F73" s="251" t="n"/>
      <c r="G73" s="142" t="n"/>
      <c r="H73" s="354">
        <f>SUM(H74:H128)</f>
        <v/>
      </c>
    </row>
    <row r="74" ht="38.25" customHeight="1" s="213">
      <c r="A74" s="176" t="n">
        <v>58</v>
      </c>
      <c r="B74" s="214" t="n"/>
      <c r="C74" s="264" t="inlineStr">
        <is>
          <t>04.3.02.04-0132</t>
        </is>
      </c>
      <c r="D74" s="267" t="inlineStr">
        <is>
          <t>Смеси бетонные, БСГ, тяжелого бетона на гранитном щебне для инженерных коммуникаций и дорог, фракция: 20-40 мм, класс В15 (М200), П1, F100, W2</t>
        </is>
      </c>
      <c r="E74" s="264" t="inlineStr">
        <is>
          <t>м3</t>
        </is>
      </c>
      <c r="F74" s="268" t="n">
        <v>453.258</v>
      </c>
      <c r="G74" s="269" t="n">
        <v>674.95</v>
      </c>
      <c r="H74" s="269">
        <f>ROUND(F74*G74,2)</f>
        <v/>
      </c>
      <c r="J74" s="158" t="n"/>
      <c r="K74" s="158" t="n"/>
      <c r="L74" s="158" t="n"/>
    </row>
    <row r="75" ht="22.5" customHeight="1" s="213">
      <c r="A75" s="176" t="n">
        <v>59</v>
      </c>
      <c r="B75" s="214" t="n"/>
      <c r="C75" s="264" t="inlineStr">
        <is>
          <t>05.2.04.04-1002</t>
        </is>
      </c>
      <c r="D75" s="267" t="inlineStr">
        <is>
          <t>Плиты бетонные тротуарные тактильные, толщина 80 мм</t>
        </is>
      </c>
      <c r="E75" s="264" t="inlineStr">
        <is>
          <t>м2</t>
        </is>
      </c>
      <c r="F75" s="268" t="inlineStr">
        <is>
          <t>671</t>
        </is>
      </c>
      <c r="G75" s="269" t="n">
        <v>357.64</v>
      </c>
      <c r="H75" s="269">
        <f>ROUND(F75*G75,2)</f>
        <v/>
      </c>
      <c r="J75" s="158" t="n"/>
    </row>
    <row r="76" ht="28.5" customHeight="1" s="213">
      <c r="A76" s="176" t="n">
        <v>60</v>
      </c>
      <c r="B76" s="214" t="n"/>
      <c r="C76" s="264" t="inlineStr">
        <is>
          <t>16.2.01.01-0031</t>
        </is>
      </c>
      <c r="D76" s="267" t="inlineStr">
        <is>
          <t>Почво-грунт садовый</t>
        </is>
      </c>
      <c r="E76" s="264" t="inlineStr">
        <is>
          <t>м3</t>
        </is>
      </c>
      <c r="F76" s="268" t="inlineStr">
        <is>
          <t>778</t>
        </is>
      </c>
      <c r="G76" s="269" t="n">
        <v>241.11</v>
      </c>
      <c r="H76" s="269">
        <f>ROUND(F76*G76,2)</f>
        <v/>
      </c>
      <c r="J76" s="158" t="n"/>
    </row>
    <row r="77" ht="25.5" customHeight="1" s="213">
      <c r="A77" s="176" t="n">
        <v>61</v>
      </c>
      <c r="B77" s="214" t="n"/>
      <c r="C77" s="264" t="inlineStr">
        <is>
          <t>15.2.02.06-0005</t>
        </is>
      </c>
      <c r="D77" s="267" t="inlineStr">
        <is>
          <t>Элемент ограждения (самостоящий) ЗП-4, размеры 1700x620x1700 мм</t>
        </is>
      </c>
      <c r="E77" s="264" t="inlineStr">
        <is>
          <t>шт</t>
        </is>
      </c>
      <c r="F77" s="268" t="inlineStr">
        <is>
          <t>110</t>
        </is>
      </c>
      <c r="G77" s="269" t="n">
        <v>1571.2</v>
      </c>
      <c r="H77" s="269">
        <f>ROUND(F77*G77,2)</f>
        <v/>
      </c>
      <c r="J77" s="158" t="n"/>
    </row>
    <row r="78" ht="25.5" customHeight="1" s="213">
      <c r="A78" s="176" t="n">
        <v>62</v>
      </c>
      <c r="B78" s="214" t="n"/>
      <c r="C78" s="264" t="inlineStr">
        <is>
          <t>04.2.01.02-0005</t>
        </is>
      </c>
      <c r="D78" s="267" t="inlineStr">
        <is>
          <t>Смеси асфальтобетонные пористые крупнозернистые марка I</t>
        </is>
      </c>
      <c r="E78" s="264" t="inlineStr">
        <is>
          <t>т</t>
        </is>
      </c>
      <c r="F78" s="268" t="n">
        <v>375.033</v>
      </c>
      <c r="G78" s="269" t="n">
        <v>451.06</v>
      </c>
      <c r="H78" s="269">
        <f>ROUND(F78*G78,2)</f>
        <v/>
      </c>
      <c r="J78" s="158" t="n"/>
    </row>
    <row r="79">
      <c r="A79" s="176" t="n">
        <v>63</v>
      </c>
      <c r="B79" s="214" t="n"/>
      <c r="C79" s="264" t="inlineStr">
        <is>
          <t>16.2.01.02-0001</t>
        </is>
      </c>
      <c r="D79" s="267" t="inlineStr">
        <is>
          <t>Земля растительная</t>
        </is>
      </c>
      <c r="E79" s="264" t="inlineStr">
        <is>
          <t>м3</t>
        </is>
      </c>
      <c r="F79" s="268" t="n">
        <v>789.38</v>
      </c>
      <c r="G79" s="269" t="n">
        <v>135.6</v>
      </c>
      <c r="H79" s="269">
        <f>ROUND(F79*G79,2)</f>
        <v/>
      </c>
      <c r="J79" s="158" t="n"/>
    </row>
    <row r="80" ht="25.5" customHeight="1" s="213">
      <c r="A80" s="176" t="n">
        <v>64</v>
      </c>
      <c r="B80" s="214" t="n"/>
      <c r="C80" s="264" t="inlineStr">
        <is>
          <t>02.3.01.02-0033</t>
        </is>
      </c>
      <c r="D80" s="267" t="inlineStr">
        <is>
          <t>Песок природный обогащенный для строительных работ средний</t>
        </is>
      </c>
      <c r="E80" s="264" t="inlineStr">
        <is>
          <t>м3</t>
        </is>
      </c>
      <c r="F80" s="268" t="n">
        <v>1323.6855</v>
      </c>
      <c r="G80" s="269" t="n">
        <v>70.59999999999999</v>
      </c>
      <c r="H80" s="269">
        <f>ROUND(F80*G80,2)</f>
        <v/>
      </c>
      <c r="J80" s="158" t="n"/>
    </row>
    <row r="81" ht="25.5" customHeight="1" s="213">
      <c r="A81" s="176" t="n">
        <v>65</v>
      </c>
      <c r="B81" s="214" t="n"/>
      <c r="C81" s="264" t="inlineStr">
        <is>
          <t>20.3.03.07-0111</t>
        </is>
      </c>
      <c r="D81" s="267" t="inlineStr">
        <is>
          <t>Светильник промышленный GM: C100-42-96-CG-65-L00-T (1 модуль)</t>
        </is>
      </c>
      <c r="E81" s="264" t="inlineStr">
        <is>
          <t>шт</t>
        </is>
      </c>
      <c r="F81" s="268" t="inlineStr">
        <is>
          <t>30</t>
        </is>
      </c>
      <c r="G81" s="269" t="n">
        <v>2347.02</v>
      </c>
      <c r="H81" s="269">
        <f>ROUND(F81*G81,2)</f>
        <v/>
      </c>
      <c r="J81" s="158" t="n"/>
    </row>
    <row r="82" ht="25.5" customHeight="1" s="213">
      <c r="A82" s="176" t="n">
        <v>66</v>
      </c>
      <c r="B82" s="214" t="n"/>
      <c r="C82" s="264" t="inlineStr">
        <is>
          <t>07.4.03.06-0026</t>
        </is>
      </c>
      <c r="D82" s="267" t="inlineStr">
        <is>
          <t>Опора несиловая фланцевая граненая, марка: НФГ-8,0-02-ц (ТАНС.12.036.000)</t>
        </is>
      </c>
      <c r="E82" s="264" t="inlineStr">
        <is>
          <t>шт</t>
        </is>
      </c>
      <c r="F82" s="268" t="inlineStr">
        <is>
          <t>15</t>
        </is>
      </c>
      <c r="G82" s="269" t="n">
        <v>4029.68</v>
      </c>
      <c r="H82" s="269">
        <f>ROUND(F82*G82,2)</f>
        <v/>
      </c>
      <c r="J82" s="158" t="n"/>
    </row>
    <row r="83">
      <c r="A83" s="176" t="n">
        <v>67</v>
      </c>
      <c r="B83" s="214" t="n"/>
      <c r="C83" s="264" t="inlineStr">
        <is>
          <t>02.2.05.04-1773</t>
        </is>
      </c>
      <c r="D83" s="267" t="inlineStr">
        <is>
          <t>Щебень М 600, фракция 20-40 мм, группа 3</t>
        </is>
      </c>
      <c r="E83" s="264" t="inlineStr">
        <is>
          <t>м3</t>
        </is>
      </c>
      <c r="F83" s="268" t="n">
        <v>435.825</v>
      </c>
      <c r="G83" s="269" t="n">
        <v>129.1</v>
      </c>
      <c r="H83" s="269">
        <f>ROUND(F83*G83,2)</f>
        <v/>
      </c>
      <c r="J83" s="158" t="n"/>
    </row>
    <row r="84" ht="38.25" customHeight="1" s="213">
      <c r="A84" s="176" t="n">
        <v>68</v>
      </c>
      <c r="B84" s="214" t="n"/>
      <c r="C84" s="264" t="inlineStr">
        <is>
          <t>04.3.02.04-0155</t>
        </is>
      </c>
      <c r="D84" s="267" t="inlineStr">
        <is>
          <t>Смеси бетонные, БСГ, тяжелого бетона на гранитном щебне, фракция 5-20 мм, класс: В30 (М400), П3, F200, W8</t>
        </is>
      </c>
      <c r="E84" s="264" t="inlineStr">
        <is>
          <t>м3</t>
        </is>
      </c>
      <c r="F84" s="268" t="n">
        <v>70.41200000000001</v>
      </c>
      <c r="G84" s="269" t="n">
        <v>787.34</v>
      </c>
      <c r="H84" s="269">
        <f>ROUND(F84*G84,2)</f>
        <v/>
      </c>
      <c r="J84" s="158" t="n"/>
    </row>
    <row r="85" ht="25.5" customHeight="1" s="213">
      <c r="A85" s="176" t="n">
        <v>69</v>
      </c>
      <c r="B85" s="214" t="n"/>
      <c r="C85" s="264" t="inlineStr">
        <is>
          <t>01.7.12.10-1026</t>
        </is>
      </c>
      <c r="D85" s="267" t="inlineStr">
        <is>
          <t>Геосетка полиэфирная с битумной пропиткой, прочность при растяжении 50/50 кН/м</t>
        </is>
      </c>
      <c r="E85" s="264" t="inlineStr">
        <is>
          <t>м2</t>
        </is>
      </c>
      <c r="F85" s="268" t="inlineStr">
        <is>
          <t>1 950</t>
        </is>
      </c>
      <c r="G85" s="269" t="n">
        <v>26.73</v>
      </c>
      <c r="H85" s="269">
        <f>ROUND(F85*G85,2)</f>
        <v/>
      </c>
      <c r="J85" s="158" t="n"/>
    </row>
    <row r="86" ht="25.5" customHeight="1" s="213">
      <c r="A86" s="176" t="n">
        <v>70</v>
      </c>
      <c r="B86" s="214" t="n"/>
      <c r="C86" s="264" t="inlineStr">
        <is>
          <t>05.2.03.03-0032</t>
        </is>
      </c>
      <c r="D86" s="267" t="inlineStr">
        <is>
          <t>Камни бортовые БР 100.30.15, бетон В30 (М400), объем 0,043 м3</t>
        </is>
      </c>
      <c r="E86" s="264" t="inlineStr">
        <is>
          <t>шт</t>
        </is>
      </c>
      <c r="F86" s="268" t="n">
        <v>815.441861</v>
      </c>
      <c r="G86" s="269" t="n">
        <v>63.12</v>
      </c>
      <c r="H86" s="269">
        <f>ROUND(F86*G86,2)</f>
        <v/>
      </c>
      <c r="J86" s="158" t="n"/>
    </row>
    <row r="87">
      <c r="A87" s="176" t="n">
        <v>71</v>
      </c>
      <c r="B87" s="214" t="n"/>
      <c r="C87" s="264" t="inlineStr">
        <is>
          <t>01.7.12.01-0001</t>
        </is>
      </c>
      <c r="D87" s="267" t="inlineStr">
        <is>
          <t>Армогеокомпозит АРМДОР К-50</t>
        </is>
      </c>
      <c r="E87" s="264" t="inlineStr">
        <is>
          <t>м2</t>
        </is>
      </c>
      <c r="F87" s="268" t="inlineStr">
        <is>
          <t>2 235</t>
        </is>
      </c>
      <c r="G87" s="269" t="n">
        <v>20.96</v>
      </c>
      <c r="H87" s="269">
        <f>ROUND(F87*G87,2)</f>
        <v/>
      </c>
      <c r="J87" s="158" t="n"/>
    </row>
    <row r="88" ht="38.25" customHeight="1" s="213">
      <c r="A88" s="176" t="n">
        <v>72</v>
      </c>
      <c r="B88" s="214" t="n"/>
      <c r="C88" s="264" t="inlineStr">
        <is>
          <t>04.3.02.04-0148</t>
        </is>
      </c>
      <c r="D88" s="267" t="inlineStr">
        <is>
          <t>Смеси бетонные, БСГ, тяжелого бетона на гранитном щебне, фракция 5-20 мм, класс: В15 (М200), П3, F50-100, W0-2</t>
        </is>
      </c>
      <c r="E88" s="264" t="inlineStr">
        <is>
          <t>м3</t>
        </is>
      </c>
      <c r="F88" s="268" t="n">
        <v>63.14</v>
      </c>
      <c r="G88" s="269" t="n">
        <v>704.89</v>
      </c>
      <c r="H88" s="269">
        <f>ROUND(F88*G88,2)</f>
        <v/>
      </c>
      <c r="J88" s="158" t="n"/>
    </row>
    <row r="89" ht="51" customHeight="1" s="213">
      <c r="A89" s="176" t="n">
        <v>73</v>
      </c>
      <c r="B89" s="214" t="n"/>
      <c r="C89" s="264" t="inlineStr">
        <is>
          <t>01.7.12.07-0162</t>
        </is>
      </c>
      <c r="D89" s="267" t="inlineStr">
        <is>
          <t>Георешетка плоская двуосноорентированная (полипропилен) марки Апролат СД-30, ширина полотна до 4 м, предел прочности вдоль и поперек не менее 30 кН/м</t>
        </is>
      </c>
      <c r="E89" s="264" t="inlineStr">
        <is>
          <t>м2</t>
        </is>
      </c>
      <c r="F89" s="268" t="inlineStr">
        <is>
          <t>2 235</t>
        </is>
      </c>
      <c r="G89" s="269" t="n">
        <v>14.47</v>
      </c>
      <c r="H89" s="269">
        <f>ROUND(F89*G89,2)</f>
        <v/>
      </c>
      <c r="J89" s="158" t="n"/>
    </row>
    <row r="90">
      <c r="A90" s="176" t="n">
        <v>74</v>
      </c>
      <c r="B90" s="214" t="n"/>
      <c r="C90" s="264" t="inlineStr">
        <is>
          <t>02.2.05.04-1802</t>
        </is>
      </c>
      <c r="D90" s="267" t="inlineStr">
        <is>
          <t>Щебень М 300, фракция 40-80(70) мм, группа 2</t>
        </is>
      </c>
      <c r="E90" s="264" t="inlineStr">
        <is>
          <t>м3</t>
        </is>
      </c>
      <c r="F90" s="268" t="n">
        <v>237.8</v>
      </c>
      <c r="G90" s="269" t="n">
        <v>128.51</v>
      </c>
      <c r="H90" s="269">
        <f>ROUND(F90*G90,2)</f>
        <v/>
      </c>
      <c r="J90" s="158" t="n"/>
    </row>
    <row r="91" ht="25.5" customHeight="1" s="213">
      <c r="A91" s="176" t="n">
        <v>75</v>
      </c>
      <c r="B91" s="214" t="n"/>
      <c r="C91" s="264" t="inlineStr">
        <is>
          <t>03.2.02.06-0001</t>
        </is>
      </c>
      <c r="D91" s="267" t="inlineStr">
        <is>
          <t>Цемент общестроительный, портландцемент напрягающий, марка 400</t>
        </is>
      </c>
      <c r="E91" s="264" t="inlineStr">
        <is>
          <t>т</t>
        </is>
      </c>
      <c r="F91" s="268" t="n">
        <v>47.9094</v>
      </c>
      <c r="G91" s="269" t="n">
        <v>600</v>
      </c>
      <c r="H91" s="269">
        <f>ROUND(F91*G91,2)</f>
        <v/>
      </c>
      <c r="J91" s="158" t="n"/>
    </row>
    <row r="92" ht="38.25" customHeight="1" s="213">
      <c r="A92" s="176" t="n">
        <v>76</v>
      </c>
      <c r="B92" s="214" t="n"/>
      <c r="C92" s="264" t="inlineStr">
        <is>
          <t>04.3.02.13-0108</t>
        </is>
      </c>
      <c r="D92" s="267" t="inlineStr">
        <is>
          <t>Смеси сухие монтажно-кладочные цементно-песчаные, В7,5 (М100), F50, крупность заполнителя не более 3,5 мм</t>
        </is>
      </c>
      <c r="E92" s="264" t="inlineStr">
        <is>
          <t>т</t>
        </is>
      </c>
      <c r="F92" s="268" t="n">
        <v>47.9094</v>
      </c>
      <c r="G92" s="269" t="n">
        <v>597.33</v>
      </c>
      <c r="H92" s="269">
        <f>ROUND(F92*G92,2)</f>
        <v/>
      </c>
      <c r="J92" s="158" t="n"/>
    </row>
    <row r="93" ht="38.25" customHeight="1" s="213">
      <c r="A93" s="176" t="n">
        <v>77</v>
      </c>
      <c r="B93" s="214" t="n"/>
      <c r="C93" s="264" t="inlineStr">
        <is>
          <t>23.3.08.01-0064</t>
        </is>
      </c>
      <c r="D93" s="267" t="inlineStr">
        <is>
          <t>Трубы стальные электросварные квадратного сечения, размер стороны 80 мм, толщина стенки 3-6 мм</t>
        </is>
      </c>
      <c r="E93" s="264" t="inlineStr">
        <is>
          <t>т</t>
        </is>
      </c>
      <c r="F93" s="268" t="n">
        <v>2.55</v>
      </c>
      <c r="G93" s="269" t="n">
        <v>7961.12</v>
      </c>
      <c r="H93" s="269">
        <f>ROUND(F93*G93,2)</f>
        <v/>
      </c>
      <c r="J93" s="158" t="n"/>
    </row>
    <row r="94" ht="38.25" customHeight="1" s="213">
      <c r="A94" s="176" t="n">
        <v>78</v>
      </c>
      <c r="B94" s="214" t="n"/>
      <c r="C94" s="264" t="inlineStr">
        <is>
          <t>04.2.03.01-0064</t>
        </is>
      </c>
      <c r="D94" s="267" t="inlineStr">
        <is>
          <t>Смеси асфальтобетонные дорожные горячие мелкозернистые, щебеночно-мастичные, вид ЩМА-15, с модифицирующей добавкой</t>
        </is>
      </c>
      <c r="E94" s="264" t="inlineStr">
        <is>
          <t>т</t>
        </is>
      </c>
      <c r="F94" s="268" t="n">
        <v>37.5033</v>
      </c>
      <c r="G94" s="269" t="n">
        <v>459.91</v>
      </c>
      <c r="H94" s="269">
        <f>ROUND(F94*G94,2)</f>
        <v/>
      </c>
      <c r="J94" s="158" t="n"/>
    </row>
    <row r="95">
      <c r="A95" s="176" t="n">
        <v>79</v>
      </c>
      <c r="B95" s="214" t="n"/>
      <c r="C95" s="264" t="inlineStr">
        <is>
          <t>16.2.02.03-0004</t>
        </is>
      </c>
      <c r="D95" s="267" t="inlineStr">
        <is>
          <t>Ель колючая, высота 1,0-1,5 м</t>
        </is>
      </c>
      <c r="E95" s="264" t="inlineStr">
        <is>
          <t>шт</t>
        </is>
      </c>
      <c r="F95" s="268" t="inlineStr">
        <is>
          <t>22</t>
        </is>
      </c>
      <c r="G95" s="269" t="n">
        <v>715.05</v>
      </c>
      <c r="H95" s="269">
        <f>ROUND(F95*G95,2)</f>
        <v/>
      </c>
      <c r="J95" s="158" t="n"/>
    </row>
    <row r="96" ht="25.5" customHeight="1" s="213">
      <c r="A96" s="176" t="n">
        <v>80</v>
      </c>
      <c r="B96" s="214" t="n"/>
      <c r="C96" s="264" t="inlineStr">
        <is>
          <t>08.4.03.03-0031</t>
        </is>
      </c>
      <c r="D96" s="267" t="inlineStr">
        <is>
          <t>Сталь арматурная, горячекатаная, периодического профиля, класс А-III, диаметр 10 мм</t>
        </is>
      </c>
      <c r="E96" s="264" t="inlineStr">
        <is>
          <t>т</t>
        </is>
      </c>
      <c r="F96" s="268" t="n">
        <v>1.77</v>
      </c>
      <c r="G96" s="269" t="n">
        <v>8014.15</v>
      </c>
      <c r="H96" s="269">
        <f>ROUND(F96*G96,2)</f>
        <v/>
      </c>
      <c r="J96" s="158" t="n"/>
    </row>
    <row r="97" ht="25.5" customHeight="1" s="213">
      <c r="A97" s="176" t="n">
        <v>81</v>
      </c>
      <c r="B97" s="214" t="n"/>
      <c r="C97" s="264" t="inlineStr">
        <is>
          <t>07.2.02.01-0022</t>
        </is>
      </c>
      <c r="D97" s="267" t="inlineStr">
        <is>
          <t>Деталь закладная: фундамента ЗФ-20/4/К180-1,5-б (ТАНС.31.068.000)</t>
        </is>
      </c>
      <c r="E97" s="264" t="inlineStr">
        <is>
          <t>шт</t>
        </is>
      </c>
      <c r="F97" s="268" t="inlineStr">
        <is>
          <t>15</t>
        </is>
      </c>
      <c r="G97" s="269" t="n">
        <v>891.6799999999999</v>
      </c>
      <c r="H97" s="269">
        <f>ROUND(F97*G97,2)</f>
        <v/>
      </c>
      <c r="J97" s="158" t="n"/>
    </row>
    <row r="98" ht="25.5" customHeight="1" s="213">
      <c r="A98" s="176" t="n">
        <v>82</v>
      </c>
      <c r="B98" s="214" t="n"/>
      <c r="C98" s="264" t="inlineStr">
        <is>
          <t>08.4.03.03-0033</t>
        </is>
      </c>
      <c r="D98" s="267" t="inlineStr">
        <is>
          <t>Сталь арматурная, горячекатаная, периодического профиля, класс А-III, диаметр 14 мм</t>
        </is>
      </c>
      <c r="E98" s="264" t="inlineStr">
        <is>
          <t>т</t>
        </is>
      </c>
      <c r="F98" s="268" t="n">
        <v>1.55</v>
      </c>
      <c r="G98" s="269" t="n">
        <v>7997.23</v>
      </c>
      <c r="H98" s="269">
        <f>ROUND(F98*G98,2)</f>
        <v/>
      </c>
      <c r="J98" s="158" t="n"/>
    </row>
    <row r="99" ht="14.25" customHeight="1" s="213">
      <c r="A99" s="176" t="n">
        <v>83</v>
      </c>
      <c r="B99" s="214" t="n"/>
      <c r="C99" s="264" t="inlineStr">
        <is>
          <t>01.7.15.07-0001</t>
        </is>
      </c>
      <c r="D99" s="267" t="inlineStr">
        <is>
          <t>Дюбели</t>
        </is>
      </c>
      <c r="E99" s="264" t="inlineStr">
        <is>
          <t>т</t>
        </is>
      </c>
      <c r="F99" s="268" t="n">
        <v>0.4356</v>
      </c>
      <c r="G99" s="269" t="n">
        <v>22557.99</v>
      </c>
      <c r="H99" s="269">
        <f>ROUND(F99*G99,2)</f>
        <v/>
      </c>
    </row>
    <row r="100">
      <c r="A100" s="176" t="n">
        <v>84</v>
      </c>
      <c r="B100" s="214" t="n"/>
      <c r="C100" s="264" t="inlineStr">
        <is>
          <t>08.1.06.01-0015</t>
        </is>
      </c>
      <c r="D100" s="267" t="inlineStr">
        <is>
          <t>Ворота распашные складчатые РСВ 4,8x5,4</t>
        </is>
      </c>
      <c r="E100" s="264" t="inlineStr">
        <is>
          <t>шт</t>
        </is>
      </c>
      <c r="F100" s="268" t="n">
        <v>0.42</v>
      </c>
      <c r="G100" s="269" t="n">
        <v>18513.9</v>
      </c>
      <c r="H100" s="269">
        <f>ROUND(F100*G100,2)</f>
        <v/>
      </c>
    </row>
    <row r="101" ht="38.25" customHeight="1" s="213">
      <c r="A101" s="176" t="n">
        <v>85</v>
      </c>
      <c r="B101" s="214" t="n"/>
      <c r="C101" s="264" t="inlineStr">
        <is>
          <t>07.2.02.02-0063</t>
        </is>
      </c>
      <c r="D101" s="267" t="inlineStr">
        <is>
          <t>Кронштейн для консольных и подвесных светильников, серия 1 (Стандарт), марка: 1.К1-1,0-1,0-Ф1-ц (ТАНС.41.383.000)</t>
        </is>
      </c>
      <c r="E101" s="264" t="inlineStr">
        <is>
          <t>шт</t>
        </is>
      </c>
      <c r="F101" s="268" t="inlineStr">
        <is>
          <t>15</t>
        </is>
      </c>
      <c r="G101" s="269" t="n">
        <v>447.31</v>
      </c>
      <c r="H101" s="269">
        <f>ROUND(F101*G101,2)</f>
        <v/>
      </c>
    </row>
    <row r="102" ht="14.25" customHeight="1" s="213">
      <c r="A102" s="176" t="n">
        <v>86</v>
      </c>
      <c r="B102" s="214" t="n"/>
      <c r="C102" s="264" t="inlineStr">
        <is>
          <t>16.2.02.07-0131</t>
        </is>
      </c>
      <c r="D102" s="267" t="inlineStr">
        <is>
          <t>Семена трав: овсяница</t>
        </is>
      </c>
      <c r="E102" s="264" t="inlineStr">
        <is>
          <t>кг</t>
        </is>
      </c>
      <c r="F102" s="268" t="n">
        <v>58.3</v>
      </c>
      <c r="G102" s="269" t="n">
        <v>77.59</v>
      </c>
      <c r="H102" s="269">
        <f>ROUND(F102*G102,2)</f>
        <v/>
      </c>
    </row>
    <row r="103" ht="12" customHeight="1" s="213">
      <c r="A103" s="176" t="n">
        <v>87</v>
      </c>
      <c r="B103" s="214" t="n"/>
      <c r="C103" s="264" t="inlineStr">
        <is>
          <t>16.2.02.07-0121</t>
        </is>
      </c>
      <c r="D103" s="267" t="inlineStr">
        <is>
          <t>Семена трав: мятлик</t>
        </is>
      </c>
      <c r="E103" s="264" t="inlineStr">
        <is>
          <t>кг</t>
        </is>
      </c>
      <c r="F103" s="268" t="n">
        <v>29.15</v>
      </c>
      <c r="G103" s="269" t="n">
        <v>152.84</v>
      </c>
      <c r="H103" s="269">
        <f>ROUND(F103*G103,2)</f>
        <v/>
      </c>
    </row>
    <row r="104" ht="25.5" customHeight="1" s="213">
      <c r="A104" s="176" t="n">
        <v>88</v>
      </c>
      <c r="B104" s="214" t="n"/>
      <c r="C104" s="264" t="inlineStr">
        <is>
          <t>08.4.03.03-0030</t>
        </is>
      </c>
      <c r="D104" s="267" t="inlineStr">
        <is>
          <t>Сталь арматурная, горячекатаная, периодического профиля, класс А-III, диаметр 8 мм</t>
        </is>
      </c>
      <c r="E104" s="264" t="inlineStr">
        <is>
          <t>т</t>
        </is>
      </c>
      <c r="F104" s="268" t="n">
        <v>0.35</v>
      </c>
      <c r="G104" s="269" t="n">
        <v>8102.63</v>
      </c>
      <c r="H104" s="269">
        <f>ROUND(F104*G104,2)</f>
        <v/>
      </c>
    </row>
    <row r="105" ht="14.25" customHeight="1" s="213">
      <c r="A105" s="176" t="n">
        <v>89</v>
      </c>
      <c r="B105" s="214" t="n"/>
      <c r="C105" s="264" t="inlineStr">
        <is>
          <t>01.7.03.01-0001</t>
        </is>
      </c>
      <c r="D105" s="267" t="inlineStr">
        <is>
          <t>Вода</t>
        </is>
      </c>
      <c r="E105" s="264" t="inlineStr">
        <is>
          <t>м3</t>
        </is>
      </c>
      <c r="F105" s="268" t="n">
        <v>974.5131</v>
      </c>
      <c r="G105" s="269" t="n">
        <v>2.44</v>
      </c>
      <c r="H105" s="269">
        <f>ROUND(F105*G105,2)</f>
        <v/>
      </c>
    </row>
    <row r="106" ht="38.25" customHeight="1" s="213">
      <c r="A106" s="176" t="n">
        <v>90</v>
      </c>
      <c r="B106" s="214" t="n"/>
      <c r="C106" s="264" t="inlineStr">
        <is>
          <t>11.2.13.04-0002</t>
        </is>
      </c>
      <c r="D106" s="267" t="inlineStr">
        <is>
          <t>Щиты деревянные для фундаментов, колонн, балок, перекрытий, стен, перегородок и других конструкций из досок, толщина 40 мм</t>
        </is>
      </c>
      <c r="E106" s="264" t="inlineStr">
        <is>
          <t>м2</t>
        </is>
      </c>
      <c r="F106" s="268" t="n">
        <v>24.253</v>
      </c>
      <c r="G106" s="269" t="n">
        <v>90.15000000000001</v>
      </c>
      <c r="H106" s="269">
        <f>ROUND(F106*G106,2)</f>
        <v/>
      </c>
    </row>
    <row r="107" ht="25.5" customHeight="1" s="213">
      <c r="A107" s="176" t="n">
        <v>91</v>
      </c>
      <c r="B107" s="214" t="n"/>
      <c r="C107" s="264" t="inlineStr">
        <is>
          <t>999-9950</t>
        </is>
      </c>
      <c r="D107" s="267" t="inlineStr">
        <is>
          <t>Вспомогательные ненормируемые материальные ресурсы</t>
        </is>
      </c>
      <c r="E107" s="264" t="inlineStr">
        <is>
          <t>руб</t>
        </is>
      </c>
      <c r="F107" s="268" t="n">
        <v>1928.5298</v>
      </c>
      <c r="G107" s="269" t="n">
        <v>1</v>
      </c>
      <c r="H107" s="269">
        <f>ROUND(F107*G107,2)</f>
        <v/>
      </c>
    </row>
    <row r="108" ht="38.25" customHeight="1" s="213">
      <c r="A108" s="176" t="n">
        <v>92</v>
      </c>
      <c r="B108" s="214" t="n"/>
      <c r="C108" s="264" t="inlineStr">
        <is>
          <t>11.2.13.04-0001</t>
        </is>
      </c>
      <c r="D108" s="267" t="inlineStr">
        <is>
          <t>Щиты деревянные для фундаментов, колонн, балок, перекрытий, стен, перегородок и других конструкций из досок толщиной 25 мм</t>
        </is>
      </c>
      <c r="E108" s="264" t="inlineStr">
        <is>
          <t>м2</t>
        </is>
      </c>
      <c r="F108" s="268" t="n">
        <v>31.273</v>
      </c>
      <c r="G108" s="269" t="n">
        <v>60.91</v>
      </c>
      <c r="H108" s="269">
        <f>ROUND(F108*G108,2)</f>
        <v/>
      </c>
    </row>
    <row r="109">
      <c r="A109" s="176" t="n">
        <v>93</v>
      </c>
      <c r="B109" s="214" t="n"/>
      <c r="C109" s="264" t="inlineStr">
        <is>
          <t>16.2.02.07-0181</t>
        </is>
      </c>
      <c r="D109" s="267" t="inlineStr">
        <is>
          <t>Семена трав: тимофеевка</t>
        </is>
      </c>
      <c r="E109" s="264" t="inlineStr">
        <is>
          <t>кг</t>
        </is>
      </c>
      <c r="F109" s="268" t="n">
        <v>29.733</v>
      </c>
      <c r="G109" s="269" t="n">
        <v>62.72</v>
      </c>
      <c r="H109" s="269">
        <f>ROUND(F109*G109,2)</f>
        <v/>
      </c>
    </row>
    <row r="110">
      <c r="A110" s="176" t="n">
        <v>94</v>
      </c>
      <c r="B110" s="214" t="n"/>
      <c r="C110" s="264" t="inlineStr">
        <is>
          <t>01.2.03.07-0023</t>
        </is>
      </c>
      <c r="D110" s="267" t="inlineStr">
        <is>
          <t>Эмульсия битумно-дорожная</t>
        </is>
      </c>
      <c r="E110" s="264" t="inlineStr">
        <is>
          <t>т</t>
        </is>
      </c>
      <c r="F110" s="268" t="n">
        <v>0.9834000000000001</v>
      </c>
      <c r="G110" s="269" t="n">
        <v>1554.2</v>
      </c>
      <c r="H110" s="269">
        <f>ROUND(F110*G110,2)</f>
        <v/>
      </c>
    </row>
    <row r="111" ht="38.25" customHeight="1" s="213">
      <c r="A111" s="176" t="n">
        <v>95</v>
      </c>
      <c r="B111" s="214" t="n"/>
      <c r="C111" s="264" t="inlineStr">
        <is>
          <t>08.1.02.17-0097</t>
        </is>
      </c>
      <c r="D111" s="267" t="inlineStr">
        <is>
          <t>Сетка сварная из арматурной проволоки без покрытия, диаметр проволоки 5,0 мм, размер ячейки 100x100 мм</t>
        </is>
      </c>
      <c r="E111" s="264" t="inlineStr">
        <is>
          <t>м2</t>
        </is>
      </c>
      <c r="F111" s="268" t="n">
        <v>54.33</v>
      </c>
      <c r="G111" s="269" t="n">
        <v>23.76</v>
      </c>
      <c r="H111" s="269">
        <f>ROUND(F111*G111,2)</f>
        <v/>
      </c>
    </row>
    <row r="112">
      <c r="A112" s="176" t="n">
        <v>96</v>
      </c>
      <c r="B112" s="214" t="n"/>
      <c r="C112" s="264" t="inlineStr">
        <is>
          <t>16.2.01.03-0011</t>
        </is>
      </c>
      <c r="D112" s="267" t="inlineStr">
        <is>
          <t>Торф</t>
        </is>
      </c>
      <c r="E112" s="264" t="inlineStr">
        <is>
          <t>м3</t>
        </is>
      </c>
      <c r="F112" s="268" t="n">
        <v>2.2</v>
      </c>
      <c r="G112" s="269" t="n">
        <v>366.1</v>
      </c>
      <c r="H112" s="269">
        <f>ROUND(F112*G112,2)</f>
        <v/>
      </c>
    </row>
    <row r="113">
      <c r="A113" s="176" t="n">
        <v>97</v>
      </c>
      <c r="B113" s="214" t="n"/>
      <c r="C113" s="264" t="inlineStr">
        <is>
          <t>16.2.02.04-0171</t>
        </is>
      </c>
      <c r="D113" s="267" t="inlineStr">
        <is>
          <t>Кизильник (разные виды), высота 1,25-1,5 м</t>
        </is>
      </c>
      <c r="E113" s="264" t="inlineStr">
        <is>
          <t>шт</t>
        </is>
      </c>
      <c r="F113" s="268" t="inlineStr">
        <is>
          <t>48</t>
        </is>
      </c>
      <c r="G113" s="269" t="n">
        <v>15.76</v>
      </c>
      <c r="H113" s="269">
        <f>ROUND(F113*G113,2)</f>
        <v/>
      </c>
    </row>
    <row r="114">
      <c r="A114" s="176" t="n">
        <v>98</v>
      </c>
      <c r="B114" s="214" t="n"/>
      <c r="C114" s="264" t="inlineStr">
        <is>
          <t>01.7.20.03-0011</t>
        </is>
      </c>
      <c r="D114" s="267" t="inlineStr">
        <is>
          <t>Мешковина</t>
        </is>
      </c>
      <c r="E114" s="264" t="inlineStr">
        <is>
          <t>м2</t>
        </is>
      </c>
      <c r="F114" s="268" t="n">
        <v>92.5736</v>
      </c>
      <c r="G114" s="269" t="n">
        <v>7.49</v>
      </c>
      <c r="H114" s="269">
        <f>ROUND(F114*G114,2)</f>
        <v/>
      </c>
    </row>
    <row r="115" ht="25.5" customHeight="1" s="213">
      <c r="A115" s="176" t="n">
        <v>99</v>
      </c>
      <c r="B115" s="214" t="n"/>
      <c r="C115" s="264" t="inlineStr">
        <is>
          <t>08.3.03.04-0023</t>
        </is>
      </c>
      <c r="D115" s="267" t="inlineStr">
        <is>
          <t>Проволока стальная низкоуглеродистая общего назначения диаметром: 1,1 мм</t>
        </is>
      </c>
      <c r="E115" s="264" t="inlineStr">
        <is>
          <t>т</t>
        </is>
      </c>
      <c r="F115" s="268" t="n">
        <v>0.1028</v>
      </c>
      <c r="G115" s="269" t="n">
        <v>6322.18</v>
      </c>
      <c r="H115" s="269">
        <f>ROUND(F115*G115,2)</f>
        <v/>
      </c>
    </row>
    <row r="116">
      <c r="A116" s="176" t="n">
        <v>100</v>
      </c>
      <c r="B116" s="214" t="n"/>
      <c r="C116" s="264" t="inlineStr">
        <is>
          <t>14.4.04.08-0002</t>
        </is>
      </c>
      <c r="D116" s="267" t="inlineStr">
        <is>
          <t>Эмаль ПФ-115 БИО, пентафталевая различных цветов</t>
        </is>
      </c>
      <c r="E116" s="264" t="inlineStr">
        <is>
          <t>т</t>
        </is>
      </c>
      <c r="F116" s="268" t="n">
        <v>0.01728</v>
      </c>
      <c r="G116" s="269" t="n">
        <v>34375</v>
      </c>
      <c r="H116" s="269">
        <f>ROUND(F116*G116,2)</f>
        <v/>
      </c>
    </row>
    <row r="117">
      <c r="A117" s="176" t="n">
        <v>101</v>
      </c>
      <c r="B117" s="214" t="n"/>
      <c r="C117" s="264" t="inlineStr">
        <is>
          <t>01.2.01.01-1018</t>
        </is>
      </c>
      <c r="D117" s="267" t="inlineStr">
        <is>
          <t>Битум нефтяной дорожный БНД 40/60</t>
        </is>
      </c>
      <c r="E117" s="264" t="inlineStr">
        <is>
          <t>т</t>
        </is>
      </c>
      <c r="F117" s="268" t="n">
        <v>0.2012</v>
      </c>
      <c r="G117" s="269" t="n">
        <v>1740.01</v>
      </c>
      <c r="H117" s="269">
        <f>ROUND(F117*G117,2)</f>
        <v/>
      </c>
    </row>
    <row r="118">
      <c r="A118" s="176" t="n">
        <v>102</v>
      </c>
      <c r="B118" s="214" t="n"/>
      <c r="C118" s="264" t="inlineStr">
        <is>
          <t>04.3.01.09-0014</t>
        </is>
      </c>
      <c r="D118" s="267" t="inlineStr">
        <is>
          <t>Раствор готовый кладочный, цементный, М100</t>
        </is>
      </c>
      <c r="E118" s="264" t="inlineStr">
        <is>
          <t>м3</t>
        </is>
      </c>
      <c r="F118" s="268" t="n">
        <v>0.4968</v>
      </c>
      <c r="G118" s="269" t="n">
        <v>519.8099999999999</v>
      </c>
      <c r="H118" s="269">
        <f>ROUND(F118*G118,2)</f>
        <v/>
      </c>
    </row>
    <row r="119">
      <c r="A119" s="176" t="n">
        <v>103</v>
      </c>
      <c r="B119" s="214" t="n"/>
      <c r="C119" s="264" t="inlineStr">
        <is>
          <t>01.7.11.07-0036</t>
        </is>
      </c>
      <c r="D119" s="267" t="inlineStr">
        <is>
          <t>Электроды сварочные Э46, диаметр 4 мм</t>
        </is>
      </c>
      <c r="E119" s="264" t="inlineStr">
        <is>
          <t>кг</t>
        </is>
      </c>
      <c r="F119" s="268" t="n">
        <v>23.4</v>
      </c>
      <c r="G119" s="269" t="n">
        <v>10.75</v>
      </c>
      <c r="H119" s="269">
        <f>ROUND(F119*G119,2)</f>
        <v/>
      </c>
    </row>
    <row r="120" ht="25.5" customHeight="1" s="213">
      <c r="A120" s="176" t="n">
        <v>104</v>
      </c>
      <c r="B120" s="214" t="n"/>
      <c r="C120" s="264" t="inlineStr">
        <is>
          <t>11.1.03.06-0075</t>
        </is>
      </c>
      <c r="D120" s="267" t="inlineStr">
        <is>
          <t>Доска обрезная, хвойных пород, длина 2-3,75 м, ширина 75-150 мм, толщина 32-40 мм, сорт III</t>
        </is>
      </c>
      <c r="E120" s="264" t="inlineStr">
        <is>
          <t>м3</t>
        </is>
      </c>
      <c r="F120" s="268" t="n">
        <v>0.173</v>
      </c>
      <c r="G120" s="269" t="n">
        <v>1100</v>
      </c>
      <c r="H120" s="269">
        <f>ROUND(F120*G120,2)</f>
        <v/>
      </c>
    </row>
    <row r="121">
      <c r="A121" s="176" t="n">
        <v>105</v>
      </c>
      <c r="B121" s="214" t="n"/>
      <c r="C121" s="264" t="inlineStr">
        <is>
          <t>01.7.15.06-0111</t>
        </is>
      </c>
      <c r="D121" s="267" t="inlineStr">
        <is>
          <t>Гвозди строительные</t>
        </is>
      </c>
      <c r="E121" s="264" t="inlineStr">
        <is>
          <t>т</t>
        </is>
      </c>
      <c r="F121" s="268" t="n">
        <v>0.0133</v>
      </c>
      <c r="G121" s="269" t="n">
        <v>11978.2</v>
      </c>
      <c r="H121" s="269">
        <f>ROUND(F121*G121,2)</f>
        <v/>
      </c>
    </row>
    <row r="122" ht="25.5" customHeight="1" s="213">
      <c r="A122" s="176" t="n">
        <v>106</v>
      </c>
      <c r="B122" s="214" t="n"/>
      <c r="C122" s="264" t="inlineStr">
        <is>
          <t>08.4.03.02-0003</t>
        </is>
      </c>
      <c r="D122" s="267" t="inlineStr">
        <is>
          <t>Сталь арматурная, горячекатаная, гладкая, класс А-I, диаметр 10 мм</t>
        </is>
      </c>
      <c r="E122" s="264" t="inlineStr">
        <is>
          <t>т</t>
        </is>
      </c>
      <c r="F122" s="268" t="n">
        <v>0.0234</v>
      </c>
      <c r="G122" s="269" t="n">
        <v>6726.07</v>
      </c>
      <c r="H122" s="269">
        <f>ROUND(F122*G122,2)</f>
        <v/>
      </c>
    </row>
    <row r="123" ht="25.5" customHeight="1" s="213">
      <c r="A123" s="176" t="n">
        <v>107</v>
      </c>
      <c r="B123" s="214" t="n"/>
      <c r="C123" s="264" t="inlineStr">
        <is>
          <t>08.3.04.01-0012</t>
        </is>
      </c>
      <c r="D123" s="267" t="inlineStr">
        <is>
          <t>Катанка стальная (углеродистая) спокойная, марка Бст1сп-3сп, диаметр: 5,5-6,5 мм</t>
        </is>
      </c>
      <c r="E123" s="264" t="inlineStr">
        <is>
          <t>т</t>
        </is>
      </c>
      <c r="F123" s="268" t="n">
        <v>0.0199</v>
      </c>
      <c r="G123" s="269" t="n">
        <v>5673.87</v>
      </c>
      <c r="H123" s="269">
        <f>ROUND(F123*G123,2)</f>
        <v/>
      </c>
    </row>
    <row r="124">
      <c r="A124" s="176" t="n">
        <v>108</v>
      </c>
      <c r="B124" s="214" t="n"/>
      <c r="C124" s="264" t="inlineStr">
        <is>
          <t>02.2.05.04-1792</t>
        </is>
      </c>
      <c r="D124" s="267" t="inlineStr">
        <is>
          <t>Щебень М 1400, фракция 20-40 мм, группа 2</t>
        </is>
      </c>
      <c r="E124" s="264" t="inlineStr">
        <is>
          <t>м3</t>
        </is>
      </c>
      <c r="F124" s="268" t="n">
        <v>0.6899999999999999</v>
      </c>
      <c r="G124" s="269" t="n">
        <v>140.9</v>
      </c>
      <c r="H124" s="269">
        <f>ROUND(F124*G124,2)</f>
        <v/>
      </c>
    </row>
    <row r="125" ht="38.25" customHeight="1" s="213">
      <c r="A125" s="176" t="n">
        <v>109</v>
      </c>
      <c r="B125" s="214" t="n"/>
      <c r="C125" s="264" t="inlineStr">
        <is>
          <t>07.2.07.12-0020</t>
        </is>
      </c>
      <c r="D125" s="267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25" s="264" t="inlineStr">
        <is>
          <t>т</t>
        </is>
      </c>
      <c r="F125" s="268" t="n">
        <v>0.0055</v>
      </c>
      <c r="G125" s="269" t="n">
        <v>7712.73</v>
      </c>
      <c r="H125" s="269">
        <f>ROUND(F125*G125,2)</f>
        <v/>
      </c>
    </row>
    <row r="126" ht="25.5" customHeight="1" s="213">
      <c r="A126" s="176" t="n">
        <v>110</v>
      </c>
      <c r="B126" s="214" t="n"/>
      <c r="C126" s="264" t="inlineStr">
        <is>
          <t>11.1.03.01-0076</t>
        </is>
      </c>
      <c r="D126" s="267" t="inlineStr">
        <is>
          <t>Бруски обрезные, хвойных пород, длина 2-6,5 м, толщина 40-60 мм, сорт III</t>
        </is>
      </c>
      <c r="E126" s="264" t="inlineStr">
        <is>
          <t>м3</t>
        </is>
      </c>
      <c r="F126" s="268" t="n">
        <v>0.0422</v>
      </c>
      <c r="G126" s="269" t="n">
        <v>976.54</v>
      </c>
      <c r="H126" s="269">
        <f>ROUND(F126*G126,2)</f>
        <v/>
      </c>
    </row>
    <row r="127">
      <c r="A127" s="176" t="n">
        <v>111</v>
      </c>
      <c r="B127" s="214" t="n"/>
      <c r="C127" s="264" t="inlineStr">
        <is>
          <t>03.1.02.04-0011</t>
        </is>
      </c>
      <c r="D127" s="267" t="inlineStr">
        <is>
          <t>Известь комовая технологическая негашеная А</t>
        </is>
      </c>
      <c r="E127" s="264" t="inlineStr">
        <is>
          <t>т</t>
        </is>
      </c>
      <c r="F127" s="268" t="n">
        <v>0.0185</v>
      </c>
      <c r="G127" s="269" t="n">
        <v>1349.73</v>
      </c>
      <c r="H127" s="269">
        <f>ROUND(F127*G127,2)</f>
        <v/>
      </c>
    </row>
    <row r="128">
      <c r="A128" s="176" t="n">
        <v>112</v>
      </c>
      <c r="B128" s="214" t="n"/>
      <c r="C128" s="264" t="inlineStr">
        <is>
          <t>14.5.09.11-0102</t>
        </is>
      </c>
      <c r="D128" s="267" t="inlineStr">
        <is>
          <t>Уайт-спирит</t>
        </is>
      </c>
      <c r="E128" s="264" t="inlineStr">
        <is>
          <t>кг</t>
        </is>
      </c>
      <c r="F128" s="268" t="n">
        <v>2.8</v>
      </c>
      <c r="G128" s="269" t="n">
        <v>6.67</v>
      </c>
      <c r="H128" s="269">
        <f>ROUND(F128*G128,2)</f>
        <v/>
      </c>
    </row>
    <row r="130">
      <c r="B130" s="211" t="inlineStr">
        <is>
          <t>Составил ______________________    Р.Р. Шагеева</t>
        </is>
      </c>
    </row>
    <row r="131">
      <c r="B131" s="130" t="inlineStr">
        <is>
          <t xml:space="preserve">                         (подпись, инициалы, фамилия)</t>
        </is>
      </c>
    </row>
    <row r="133">
      <c r="B133" s="211" t="inlineStr">
        <is>
          <t>Проверил ______________________        А.В. Костянецкая</t>
        </is>
      </c>
    </row>
    <row r="134">
      <c r="B134" s="13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A73:E73"/>
    <mergeCell ref="A16:E16"/>
    <mergeCell ref="A9:A10"/>
    <mergeCell ref="F9:F10"/>
    <mergeCell ref="A72:E72"/>
    <mergeCell ref="A2:H2"/>
    <mergeCell ref="C4:H4"/>
    <mergeCell ref="A14:E14"/>
    <mergeCell ref="G9:H9"/>
    <mergeCell ref="A6:H6"/>
  </mergeCells>
  <pageMargins left="0.7" right="0.7" top="0.75" bottom="0.75" header="0.3" footer="0.3"/>
  <pageSetup orientation="portrait" paperSize="9" scale="53"/>
  <rowBreaks count="1" manualBreakCount="1">
    <brk id="74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213" min="1" max="1"/>
    <col width="36.28515625" customWidth="1" style="213" min="2" max="2"/>
    <col width="18.85546875" customWidth="1" style="213" min="3" max="3"/>
    <col width="18.28515625" customWidth="1" style="213" min="4" max="4"/>
    <col width="18.85546875" customWidth="1" style="213" min="5" max="5"/>
    <col width="9.140625" customWidth="1" style="213" min="6" max="6"/>
    <col width="13.42578125" customWidth="1" style="213" min="7" max="7"/>
    <col width="9.140625" customWidth="1" style="213" min="8" max="11"/>
    <col width="13.5703125" customWidth="1" style="213" min="12" max="12"/>
    <col width="9.140625" customWidth="1" style="213" min="13" max="13"/>
  </cols>
  <sheetData>
    <row r="1">
      <c r="B1" s="194" t="n"/>
      <c r="C1" s="194" t="n"/>
      <c r="D1" s="194" t="n"/>
      <c r="E1" s="194" t="n"/>
    </row>
    <row r="2">
      <c r="B2" s="194" t="n"/>
      <c r="C2" s="194" t="n"/>
      <c r="D2" s="194" t="n"/>
      <c r="E2" s="281" t="inlineStr">
        <is>
          <t>Приложение № 4</t>
        </is>
      </c>
    </row>
    <row r="3">
      <c r="B3" s="194" t="n"/>
      <c r="C3" s="194" t="n"/>
      <c r="D3" s="194" t="n"/>
      <c r="E3" s="194" t="n"/>
    </row>
    <row r="4">
      <c r="B4" s="194" t="n"/>
      <c r="C4" s="194" t="n"/>
      <c r="D4" s="194" t="n"/>
      <c r="E4" s="194" t="n"/>
    </row>
    <row r="5">
      <c r="B5" s="229" t="inlineStr">
        <is>
          <t>Ресурсная модель</t>
        </is>
      </c>
    </row>
    <row r="6">
      <c r="B6" s="153" t="n"/>
      <c r="C6" s="194" t="n"/>
      <c r="D6" s="194" t="n"/>
      <c r="E6" s="194" t="n"/>
    </row>
    <row r="7" ht="26.25" customHeight="1" s="213">
      <c r="B7" s="259" t="inlineStr">
        <is>
          <t>Наименование разрабатываемого показателя УНЦ — Подготовка и устройство территории ПС (ЗПС) г. Москва</t>
        </is>
      </c>
    </row>
    <row r="8">
      <c r="B8" s="260" t="inlineStr">
        <is>
          <t>Единица измерения  — 1 м2</t>
        </is>
      </c>
    </row>
    <row r="9">
      <c r="B9" s="153" t="n"/>
      <c r="C9" s="194" t="n"/>
      <c r="D9" s="194" t="n"/>
      <c r="E9" s="194" t="n"/>
    </row>
    <row r="10" ht="51" customHeight="1" s="213">
      <c r="B10" s="264" t="inlineStr">
        <is>
          <t>Наименование</t>
        </is>
      </c>
      <c r="C10" s="264" t="inlineStr">
        <is>
          <t>Сметная стоимость в ценах на 01.01.2023
 (руб.)</t>
        </is>
      </c>
      <c r="D10" s="264" t="inlineStr">
        <is>
          <t>Удельный вес, 
(в СМР)</t>
        </is>
      </c>
      <c r="E10" s="264" t="inlineStr">
        <is>
          <t>Удельный вес, % 
(от всего по РМ)</t>
        </is>
      </c>
    </row>
    <row r="11">
      <c r="B11" s="146" t="inlineStr">
        <is>
          <t>Оплата труда рабочих</t>
        </is>
      </c>
      <c r="C11" s="147">
        <f>'Прил.5 Расчет СМР и ОБ'!J14</f>
        <v/>
      </c>
      <c r="D11" s="148">
        <f>C11/$C$24</f>
        <v/>
      </c>
      <c r="E11" s="148">
        <f>C11/$C$40</f>
        <v/>
      </c>
    </row>
    <row r="12">
      <c r="B12" s="146" t="inlineStr">
        <is>
          <t>Эксплуатация машин основных</t>
        </is>
      </c>
      <c r="C12" s="147">
        <f>'Прил.5 Расчет СМР и ОБ'!J22</f>
        <v/>
      </c>
      <c r="D12" s="148">
        <f>C12/$C$24</f>
        <v/>
      </c>
      <c r="E12" s="148">
        <f>C12/$C$40</f>
        <v/>
      </c>
    </row>
    <row r="13">
      <c r="B13" s="146" t="inlineStr">
        <is>
          <t>Эксплуатация машин прочих</t>
        </is>
      </c>
      <c r="C13" s="147">
        <f>'Прил.5 Расчет СМР и ОБ'!J75</f>
        <v/>
      </c>
      <c r="D13" s="148">
        <f>C13/$C$24</f>
        <v/>
      </c>
      <c r="E13" s="148">
        <f>C13/$C$40</f>
        <v/>
      </c>
    </row>
    <row r="14">
      <c r="B14" s="146" t="inlineStr">
        <is>
          <t>ЭКСПЛУАТАЦИЯ МАШИН, ВСЕГО:</t>
        </is>
      </c>
      <c r="C14" s="147">
        <f>C13+C12</f>
        <v/>
      </c>
      <c r="D14" s="148">
        <f>C14/$C$24</f>
        <v/>
      </c>
      <c r="E14" s="148">
        <f>C14/$C$40</f>
        <v/>
      </c>
    </row>
    <row r="15">
      <c r="B15" s="146" t="inlineStr">
        <is>
          <t>в том числе зарплата машинистов</t>
        </is>
      </c>
      <c r="C15" s="147">
        <f>'Прил.5 Расчет СМР и ОБ'!J16</f>
        <v/>
      </c>
      <c r="D15" s="148">
        <f>C15/$C$24</f>
        <v/>
      </c>
      <c r="E15" s="148">
        <f>C15/$C$40</f>
        <v/>
      </c>
    </row>
    <row r="16">
      <c r="B16" s="146" t="inlineStr">
        <is>
          <t>Материалы основные</t>
        </is>
      </c>
      <c r="C16" s="147">
        <f>'Прил.5 Расчет СМР и ОБ'!J100</f>
        <v/>
      </c>
      <c r="D16" s="148">
        <f>C16/$C$24</f>
        <v/>
      </c>
      <c r="E16" s="148">
        <f>C16/$C$40</f>
        <v/>
      </c>
    </row>
    <row r="17">
      <c r="B17" s="146" t="inlineStr">
        <is>
          <t>Материалы прочие</t>
        </is>
      </c>
      <c r="C17" s="147">
        <f>'Прил.5 Расчет СМР и ОБ'!J141</f>
        <v/>
      </c>
      <c r="D17" s="148">
        <f>C17/$C$24</f>
        <v/>
      </c>
      <c r="E17" s="148">
        <f>C17/$C$40</f>
        <v/>
      </c>
      <c r="G17" s="355" t="n"/>
    </row>
    <row r="18">
      <c r="B18" s="146" t="inlineStr">
        <is>
          <t>МАТЕРИАЛЫ, ВСЕГО:</t>
        </is>
      </c>
      <c r="C18" s="147">
        <f>C17+C16</f>
        <v/>
      </c>
      <c r="D18" s="148">
        <f>C18/$C$24</f>
        <v/>
      </c>
      <c r="E18" s="148">
        <f>C18/$C$40</f>
        <v/>
      </c>
    </row>
    <row r="19">
      <c r="B19" s="146" t="inlineStr">
        <is>
          <t>ИТОГО</t>
        </is>
      </c>
      <c r="C19" s="147">
        <f>C18+C14+C11</f>
        <v/>
      </c>
      <c r="D19" s="148" t="n"/>
      <c r="E19" s="146" t="n"/>
    </row>
    <row r="20">
      <c r="B20" s="146" t="inlineStr">
        <is>
          <t>Сметная прибыль, руб.</t>
        </is>
      </c>
      <c r="C20" s="147">
        <f>ROUND(C21*(C11+C15),2)</f>
        <v/>
      </c>
      <c r="D20" s="148">
        <f>C20/$C$24</f>
        <v/>
      </c>
      <c r="E20" s="148">
        <f>C20/$C$40</f>
        <v/>
      </c>
    </row>
    <row r="21">
      <c r="B21" s="146" t="inlineStr">
        <is>
          <t>Сметная прибыль, %</t>
        </is>
      </c>
      <c r="C21" s="151">
        <f>'Прил.5 Расчет СМР и ОБ'!D145</f>
        <v/>
      </c>
      <c r="D21" s="148" t="n"/>
      <c r="E21" s="146" t="n"/>
    </row>
    <row r="22">
      <c r="B22" s="146" t="inlineStr">
        <is>
          <t>Накладные расходы, руб.</t>
        </is>
      </c>
      <c r="C22" s="147">
        <f>ROUND(C23*(C11+C15),2)</f>
        <v/>
      </c>
      <c r="D22" s="148">
        <f>C22/$C$24</f>
        <v/>
      </c>
      <c r="E22" s="148">
        <f>C22/$C$40</f>
        <v/>
      </c>
    </row>
    <row r="23">
      <c r="B23" s="146" t="inlineStr">
        <is>
          <t>Накладные расходы, %</t>
        </is>
      </c>
      <c r="C23" s="151">
        <f>'Прил.5 Расчет СМР и ОБ'!D144</f>
        <v/>
      </c>
      <c r="D23" s="148" t="n"/>
      <c r="E23" s="146" t="n"/>
    </row>
    <row r="24">
      <c r="B24" s="146" t="inlineStr">
        <is>
          <t>ВСЕГО СМР с НР и СП</t>
        </is>
      </c>
      <c r="C24" s="147">
        <f>C19+C20+C22</f>
        <v/>
      </c>
      <c r="D24" s="148">
        <f>C24/$C$24</f>
        <v/>
      </c>
      <c r="E24" s="148">
        <f>C24/$C$40</f>
        <v/>
      </c>
    </row>
    <row r="25" ht="25.5" customHeight="1" s="213">
      <c r="B25" s="146" t="inlineStr">
        <is>
          <t>ВСЕГО стоимость оборудования, в том числе</t>
        </is>
      </c>
      <c r="C25" s="147">
        <f>'Прил.5 Расчет СМР и ОБ'!J81</f>
        <v/>
      </c>
      <c r="D25" s="148" t="n"/>
      <c r="E25" s="148">
        <f>C25/$C$40</f>
        <v/>
      </c>
    </row>
    <row r="26" ht="25.5" customHeight="1" s="213">
      <c r="B26" s="146" t="inlineStr">
        <is>
          <t>стоимость оборудования технологического</t>
        </is>
      </c>
      <c r="C26" s="147">
        <f>'Прил.5 Расчет СМР и ОБ'!J82</f>
        <v/>
      </c>
      <c r="D26" s="148" t="n"/>
      <c r="E26" s="148">
        <f>C26/$C$40</f>
        <v/>
      </c>
    </row>
    <row r="27">
      <c r="B27" s="146" t="inlineStr">
        <is>
          <t>ИТОГО (СМР + ОБОРУДОВАНИЕ)</t>
        </is>
      </c>
      <c r="C27" s="150">
        <f>C24+C25</f>
        <v/>
      </c>
      <c r="D27" s="148" t="n"/>
      <c r="E27" s="148">
        <f>C27/$C$40</f>
        <v/>
      </c>
      <c r="G27" s="149" t="n"/>
    </row>
    <row r="28" ht="33" customHeight="1" s="213">
      <c r="B28" s="146" t="inlineStr">
        <is>
          <t>ПРОЧ. ЗАТР., УЧТЕННЫЕ ПОКАЗАТЕЛЕМ,  в том числе</t>
        </is>
      </c>
      <c r="C28" s="146" t="n"/>
      <c r="D28" s="146" t="n"/>
      <c r="E28" s="146" t="n"/>
    </row>
    <row r="29" ht="25.5" customHeight="1" s="213">
      <c r="B29" s="146" t="inlineStr">
        <is>
          <t>Временные здания и сооружения - 3,9%</t>
        </is>
      </c>
      <c r="C29" s="150">
        <f>ROUND(C24*3.9%,2)</f>
        <v/>
      </c>
      <c r="D29" s="146" t="n"/>
      <c r="E29" s="148">
        <f>C29/$C$40</f>
        <v/>
      </c>
    </row>
    <row r="30" ht="38.25" customHeight="1" s="213">
      <c r="B30" s="146" t="inlineStr">
        <is>
          <t>Дополнительные затраты при производстве строительно-монтажных работ в зимнее время - 2,1%</t>
        </is>
      </c>
      <c r="C30" s="150">
        <f>ROUND((C24+C29)*2.1%,2)</f>
        <v/>
      </c>
      <c r="D30" s="146" t="n"/>
      <c r="E30" s="148">
        <f>C30/$C$40</f>
        <v/>
      </c>
    </row>
    <row r="31">
      <c r="B31" s="146" t="inlineStr">
        <is>
          <t>Пусконаладочные работы</t>
        </is>
      </c>
      <c r="C31" s="150" t="n">
        <v>0</v>
      </c>
      <c r="D31" s="146" t="n"/>
      <c r="E31" s="148">
        <f>C31/$C$40</f>
        <v/>
      </c>
    </row>
    <row r="32" ht="25.5" customHeight="1" s="213">
      <c r="B32" s="146" t="inlineStr">
        <is>
          <t>Затраты по перевозке работников к месту работы и обратно</t>
        </is>
      </c>
      <c r="C32" s="150" t="n">
        <v>0</v>
      </c>
      <c r="D32" s="146" t="n"/>
      <c r="E32" s="148">
        <f>C32/$C$40</f>
        <v/>
      </c>
    </row>
    <row r="33" ht="25.5" customHeight="1" s="213">
      <c r="B33" s="146" t="inlineStr">
        <is>
          <t>Затраты, связанные с осуществлением работ вахтовым методом</t>
        </is>
      </c>
      <c r="C33" s="150">
        <f>ROUND(C27*0%,2)</f>
        <v/>
      </c>
      <c r="D33" s="146" t="n"/>
      <c r="E33" s="148">
        <f>C33/$C$40</f>
        <v/>
      </c>
    </row>
    <row r="34" ht="51" customHeight="1" s="213">
      <c r="B34" s="1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0" t="n">
        <v>0</v>
      </c>
      <c r="D34" s="146" t="n"/>
      <c r="E34" s="148">
        <f>C34/$C$40</f>
        <v/>
      </c>
    </row>
    <row r="35" ht="76.5" customHeight="1" s="213">
      <c r="B35" s="1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0">
        <f>ROUND(C27*0%,2)</f>
        <v/>
      </c>
      <c r="D35" s="146" t="n"/>
      <c r="E35" s="177">
        <f>C35/$C$40</f>
        <v/>
      </c>
    </row>
    <row r="36" ht="25.5" customHeight="1" s="213">
      <c r="B36" s="146" t="inlineStr">
        <is>
          <t>Строительный контроль и содержание службы заказчика - 2,14%</t>
        </is>
      </c>
      <c r="C36" s="150">
        <f>ROUND((C27+C32+C33+C34+C35+C29+C31+C30)*2.14%,2)</f>
        <v/>
      </c>
      <c r="D36" s="146" t="n"/>
      <c r="E36" s="177">
        <f>C36/$C$40</f>
        <v/>
      </c>
      <c r="G36" s="178" t="n"/>
      <c r="L36" s="149" t="n"/>
    </row>
    <row r="37">
      <c r="B37" s="146" t="inlineStr">
        <is>
          <t>Авторский надзор - 0,2%</t>
        </is>
      </c>
      <c r="C37" s="150">
        <f>ROUND((C27+C32+C33+C34+C35+C29+C31+C30)*0.2%,2)</f>
        <v/>
      </c>
      <c r="D37" s="146" t="n"/>
      <c r="E37" s="177">
        <f>C37/$C$40</f>
        <v/>
      </c>
      <c r="G37" s="179" t="n"/>
      <c r="L37" s="149" t="n"/>
    </row>
    <row r="38" ht="38.25" customHeight="1" s="213">
      <c r="B38" s="146" t="inlineStr">
        <is>
          <t>ИТОГО (СМР+ОБОРУДОВАНИЕ+ПРОЧ. ЗАТР., УЧТЕННЫЕ ПОКАЗАТЕЛЕМ)</t>
        </is>
      </c>
      <c r="C38" s="147">
        <f>C27+C32+C33+C34+C35+C29+C31+C30+C36+C37</f>
        <v/>
      </c>
      <c r="D38" s="146" t="n"/>
      <c r="E38" s="177">
        <f>C38/$C$40</f>
        <v/>
      </c>
    </row>
    <row r="39" ht="13.5" customHeight="1" s="213">
      <c r="B39" s="146" t="inlineStr">
        <is>
          <t>Непредвиденные расходы</t>
        </is>
      </c>
      <c r="C39" s="147">
        <f>ROUND(C38*3%,2)</f>
        <v/>
      </c>
      <c r="D39" s="146" t="n"/>
      <c r="E39" s="148">
        <f>C39/$C$38</f>
        <v/>
      </c>
    </row>
    <row r="40">
      <c r="B40" s="146" t="inlineStr">
        <is>
          <t>ВСЕГО:</t>
        </is>
      </c>
      <c r="C40" s="147">
        <f>C39+C38</f>
        <v/>
      </c>
      <c r="D40" s="146" t="n"/>
      <c r="E40" s="148">
        <f>C40/$C$40</f>
        <v/>
      </c>
    </row>
    <row r="41">
      <c r="B41" s="146" t="inlineStr">
        <is>
          <t>ИТОГО ПОКАЗАТЕЛЬ НА ЕД. ИЗМ.</t>
        </is>
      </c>
      <c r="C41" s="147">
        <f>C40/'Прил.5 Расчет СМР и ОБ'!E148</f>
        <v/>
      </c>
      <c r="D41" s="146" t="n"/>
      <c r="E41" s="146" t="n"/>
    </row>
    <row r="42">
      <c r="B42" s="145" t="n"/>
      <c r="C42" s="194" t="n"/>
      <c r="D42" s="194" t="n"/>
      <c r="E42" s="194" t="n"/>
    </row>
    <row r="43">
      <c r="B43" s="145" t="inlineStr">
        <is>
          <t>Составил ____________________________  Р.Р. Шагеева</t>
        </is>
      </c>
      <c r="C43" s="194" t="n"/>
      <c r="D43" s="194" t="n"/>
      <c r="E43" s="194" t="n"/>
    </row>
    <row r="44">
      <c r="B44" s="145" t="inlineStr">
        <is>
          <t xml:space="preserve">(должность, подпись, инициалы, фамилия) </t>
        </is>
      </c>
      <c r="C44" s="194" t="n"/>
      <c r="D44" s="194" t="n"/>
      <c r="E44" s="194" t="n"/>
    </row>
    <row r="45">
      <c r="B45" s="145" t="n"/>
      <c r="C45" s="194" t="n"/>
      <c r="D45" s="194" t="n"/>
      <c r="E45" s="194" t="n"/>
    </row>
    <row r="46">
      <c r="B46" s="145" t="inlineStr">
        <is>
          <t>Проверил ____________________________ А.В. Костянецкая</t>
        </is>
      </c>
      <c r="C46" s="194" t="n"/>
      <c r="D46" s="194" t="n"/>
      <c r="E46" s="194" t="n"/>
    </row>
    <row r="47">
      <c r="B47" s="260" t="inlineStr">
        <is>
          <t>(должность, подпись, инициалы, фамилия)</t>
        </is>
      </c>
      <c r="D47" s="194" t="n"/>
      <c r="E47" s="194" t="n"/>
    </row>
    <row r="49">
      <c r="B49" s="194" t="n"/>
      <c r="C49" s="194" t="n"/>
      <c r="D49" s="194" t="n"/>
      <c r="E49" s="194" t="n"/>
    </row>
    <row r="50">
      <c r="B50" s="194" t="n"/>
      <c r="C50" s="194" t="n"/>
      <c r="D50" s="194" t="n"/>
      <c r="E50" s="19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54"/>
  <sheetViews>
    <sheetView view="pageBreakPreview" topLeftCell="A99" zoomScale="85" workbookViewId="0">
      <selection activeCell="B150" sqref="B150"/>
    </sheetView>
  </sheetViews>
  <sheetFormatPr baseColWidth="8" defaultColWidth="9.140625" defaultRowHeight="15" outlineLevelRow="1"/>
  <cols>
    <col width="5.7109375" customWidth="1" style="205" min="1" max="1"/>
    <col width="22.5703125" customWidth="1" style="205" min="2" max="2"/>
    <col width="39.140625" customWidth="1" style="192" min="3" max="3"/>
    <col width="13.5703125" customWidth="1" style="205" min="4" max="4"/>
    <col width="12.7109375" customWidth="1" style="205" min="5" max="5"/>
    <col width="14.5703125" customWidth="1" style="205" min="6" max="6"/>
    <col width="13.42578125" customWidth="1" style="205" min="7" max="7"/>
    <col width="12.7109375" customWidth="1" style="205" min="8" max="8"/>
    <col width="13.85546875" customWidth="1" style="205" min="9" max="9"/>
    <col width="17.5703125" customWidth="1" style="205" min="10" max="10"/>
    <col width="10.85546875" customWidth="1" style="205" min="11" max="11"/>
    <col width="13.85546875" customWidth="1" style="205" min="12" max="12"/>
  </cols>
  <sheetData>
    <row r="1">
      <c r="M1" s="205" t="n"/>
      <c r="N1" s="205" t="n"/>
    </row>
    <row r="2" ht="15.75" customHeight="1" s="213">
      <c r="H2" s="261" t="inlineStr">
        <is>
          <t>Приложение №5</t>
        </is>
      </c>
      <c r="M2" s="205" t="n"/>
      <c r="N2" s="205" t="n"/>
    </row>
    <row r="3">
      <c r="M3" s="205" t="n"/>
      <c r="N3" s="205" t="n"/>
    </row>
    <row r="4" ht="12.75" customFormat="1" customHeight="1" s="194">
      <c r="A4" s="229" t="inlineStr">
        <is>
          <t>Расчет стоимости СМР и оборудования</t>
        </is>
      </c>
    </row>
    <row r="5" ht="12.75" customFormat="1" customHeight="1" s="194">
      <c r="A5" s="229" t="n"/>
      <c r="B5" s="229" t="n"/>
      <c r="C5" s="290" t="n"/>
      <c r="D5" s="229" t="n"/>
      <c r="E5" s="229" t="n"/>
      <c r="F5" s="229" t="n"/>
      <c r="G5" s="229" t="n"/>
      <c r="H5" s="229" t="n"/>
      <c r="I5" s="229" t="n"/>
      <c r="J5" s="229" t="n"/>
    </row>
    <row r="6" ht="12.75" customFormat="1" customHeight="1" s="194">
      <c r="A6" s="126" t="inlineStr">
        <is>
          <t>Наименование разрабатываемого показателя УНЦ</t>
        </is>
      </c>
      <c r="B6" s="125" t="n"/>
      <c r="C6" s="125" t="n"/>
      <c r="D6" s="232" t="inlineStr">
        <is>
          <t>Подготовка и устройство территории ПС (ЗПС) г. Москва</t>
        </is>
      </c>
    </row>
    <row r="7" ht="12.75" customFormat="1" customHeight="1" s="194">
      <c r="A7" s="232" t="inlineStr">
        <is>
          <t>Единица измерения  — 1 м2</t>
        </is>
      </c>
      <c r="I7" s="259" t="n"/>
      <c r="J7" s="259" t="n"/>
    </row>
    <row r="8" ht="12.75" customFormat="1" customHeight="1" s="194">
      <c r="A8" s="232" t="n"/>
    </row>
    <row r="9" ht="23.25" customHeight="1" s="213">
      <c r="A9" s="264" t="inlineStr">
        <is>
          <t>№ пп.</t>
        </is>
      </c>
      <c r="B9" s="264" t="inlineStr">
        <is>
          <t>Код ресурса</t>
        </is>
      </c>
      <c r="C9" s="264" t="inlineStr">
        <is>
          <t>Наименование</t>
        </is>
      </c>
      <c r="D9" s="264" t="inlineStr">
        <is>
          <t>Ед. изм.</t>
        </is>
      </c>
      <c r="E9" s="264" t="inlineStr">
        <is>
          <t>Кол-во единиц по проектным данным</t>
        </is>
      </c>
      <c r="F9" s="264" t="inlineStr">
        <is>
          <t>Сметная стоимость в ценах на 01.01.2000 (руб.)</t>
        </is>
      </c>
      <c r="G9" s="350" t="n"/>
      <c r="H9" s="264" t="inlineStr">
        <is>
          <t>Удельный вес, %</t>
        </is>
      </c>
      <c r="I9" s="264" t="inlineStr">
        <is>
          <t>Сметная стоимость в ценах на 01.01.2023 (руб.)</t>
        </is>
      </c>
      <c r="J9" s="350" t="n"/>
      <c r="M9" s="205" t="n"/>
      <c r="N9" s="205" t="n"/>
    </row>
    <row r="10" ht="21" customHeight="1" s="213">
      <c r="A10" s="352" t="n"/>
      <c r="B10" s="352" t="n"/>
      <c r="C10" s="352" t="n"/>
      <c r="D10" s="352" t="n"/>
      <c r="E10" s="352" t="n"/>
      <c r="F10" s="264" t="inlineStr">
        <is>
          <t>на ед. изм.</t>
        </is>
      </c>
      <c r="G10" s="264" t="inlineStr">
        <is>
          <t>общая</t>
        </is>
      </c>
      <c r="H10" s="352" t="n"/>
      <c r="I10" s="264" t="inlineStr">
        <is>
          <t>на ед. изм.</t>
        </is>
      </c>
      <c r="J10" s="264" t="inlineStr">
        <is>
          <t>общая</t>
        </is>
      </c>
      <c r="M10" s="205" t="n"/>
      <c r="N10" s="205" t="n"/>
    </row>
    <row r="11">
      <c r="A11" s="264" t="n">
        <v>1</v>
      </c>
      <c r="B11" s="264" t="n">
        <v>2</v>
      </c>
      <c r="C11" s="264" t="n">
        <v>3</v>
      </c>
      <c r="D11" s="264" t="n">
        <v>4</v>
      </c>
      <c r="E11" s="264" t="n">
        <v>5</v>
      </c>
      <c r="F11" s="264" t="n">
        <v>6</v>
      </c>
      <c r="G11" s="264" t="n">
        <v>7</v>
      </c>
      <c r="H11" s="264" t="n">
        <v>8</v>
      </c>
      <c r="I11" s="265" t="n">
        <v>9</v>
      </c>
      <c r="J11" s="265" t="n">
        <v>10</v>
      </c>
      <c r="M11" s="205" t="n"/>
      <c r="N11" s="205" t="n"/>
    </row>
    <row r="12">
      <c r="A12" s="264" t="n"/>
      <c r="B12" s="257" t="inlineStr">
        <is>
          <t>Затраты труда рабочих-строителей</t>
        </is>
      </c>
      <c r="C12" s="349" t="n"/>
      <c r="D12" s="349" t="n"/>
      <c r="E12" s="349" t="n"/>
      <c r="F12" s="349" t="n"/>
      <c r="G12" s="349" t="n"/>
      <c r="H12" s="350" t="n"/>
      <c r="I12" s="117" t="n"/>
      <c r="J12" s="117" t="n"/>
    </row>
    <row r="13" ht="25.5" customHeight="1" s="213">
      <c r="A13" s="264" t="n">
        <v>1</v>
      </c>
      <c r="B13" s="160" t="inlineStr">
        <is>
          <t>1-2-9</t>
        </is>
      </c>
      <c r="C13" s="267" t="inlineStr">
        <is>
          <t>Затраты труда рабочих (средний разряд работы 2,9)</t>
        </is>
      </c>
      <c r="D13" s="264" t="inlineStr">
        <is>
          <t>чел.-ч</t>
        </is>
      </c>
      <c r="E13" s="268">
        <f>G13/F13</f>
        <v/>
      </c>
      <c r="F13" s="264" t="n">
        <v>8.460000000000001</v>
      </c>
      <c r="G13" s="356" t="n">
        <v>55584.65</v>
      </c>
      <c r="H13" s="270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05">
      <c r="A14" s="264" t="n"/>
      <c r="B14" s="264" t="n"/>
      <c r="C14" s="257" t="inlineStr">
        <is>
          <t>Итого по разделу "Затраты труда рабочих-строителей"</t>
        </is>
      </c>
      <c r="D14" s="264" t="inlineStr">
        <is>
          <t>чел.-ч.</t>
        </is>
      </c>
      <c r="E14" s="268">
        <f>SUM(E13)</f>
        <v/>
      </c>
      <c r="F14" s="269" t="n"/>
      <c r="G14" s="356">
        <f>SUM(G13)</f>
        <v/>
      </c>
      <c r="H14" s="271" t="n">
        <v>1</v>
      </c>
      <c r="I14" s="117" t="n"/>
      <c r="J14" s="26">
        <f>SUM(J13)</f>
        <v/>
      </c>
    </row>
    <row r="15" ht="14.25" customFormat="1" customHeight="1" s="205">
      <c r="A15" s="264" t="n"/>
      <c r="B15" s="267" t="inlineStr">
        <is>
          <t>Затраты труда машинистов</t>
        </is>
      </c>
      <c r="C15" s="349" t="n"/>
      <c r="D15" s="349" t="n"/>
      <c r="E15" s="349" t="n"/>
      <c r="F15" s="349" t="n"/>
      <c r="G15" s="349" t="n"/>
      <c r="H15" s="350" t="n"/>
      <c r="I15" s="117" t="n"/>
      <c r="J15" s="117" t="n"/>
    </row>
    <row r="16" ht="14.25" customFormat="1" customHeight="1" s="205">
      <c r="A16" s="264" t="n">
        <v>2</v>
      </c>
      <c r="B16" s="264" t="n">
        <v>2</v>
      </c>
      <c r="C16" s="267" t="inlineStr">
        <is>
          <t>Затраты труда машинистов</t>
        </is>
      </c>
      <c r="D16" s="264" t="inlineStr">
        <is>
          <t>чел.-ч.</t>
        </is>
      </c>
      <c r="E16" s="286" t="n">
        <v>8089.57</v>
      </c>
      <c r="F16" s="174">
        <f>G16/E16</f>
        <v/>
      </c>
      <c r="G16" s="357" t="n">
        <v>108972.6</v>
      </c>
      <c r="H16" s="271" t="n">
        <v>1</v>
      </c>
      <c r="I16" s="26">
        <f>ROUND(F16*'Прил. 10'!$D$11,2)</f>
        <v/>
      </c>
      <c r="J16" s="26">
        <f>ROUND(I16*E16,2)</f>
        <v/>
      </c>
    </row>
    <row r="17" ht="14.25" customFormat="1" customHeight="1" s="205">
      <c r="A17" s="264" t="n"/>
      <c r="B17" s="257" t="inlineStr">
        <is>
          <t>Машины и механизмы</t>
        </is>
      </c>
      <c r="C17" s="349" t="n"/>
      <c r="D17" s="349" t="n"/>
      <c r="E17" s="349" t="n"/>
      <c r="F17" s="349" t="n"/>
      <c r="G17" s="349" t="n"/>
      <c r="H17" s="350" t="n"/>
      <c r="I17" s="117" t="n"/>
      <c r="J17" s="117" t="n"/>
    </row>
    <row r="18" ht="14.25" customFormat="1" customHeight="1" s="205">
      <c r="A18" s="265" t="n"/>
      <c r="B18" s="272" t="inlineStr">
        <is>
          <t>Основные машины и механизмы</t>
        </is>
      </c>
      <c r="C18" s="358" t="n"/>
      <c r="D18" s="358" t="n"/>
      <c r="E18" s="358" t="n"/>
      <c r="F18" s="358" t="n"/>
      <c r="G18" s="358" t="n"/>
      <c r="H18" s="359" t="n"/>
      <c r="I18" s="170" t="n"/>
      <c r="J18" s="170" t="n"/>
    </row>
    <row r="19" ht="25.5" customFormat="1" customHeight="1" s="205">
      <c r="A19" s="264" t="n">
        <v>3</v>
      </c>
      <c r="B19" s="264" t="inlineStr">
        <is>
          <t>91.14.03-003</t>
        </is>
      </c>
      <c r="C19" s="267" t="inlineStr">
        <is>
          <t>Автомобили-самосвалы, грузоподъемность до 15 т</t>
        </is>
      </c>
      <c r="D19" s="264" t="inlineStr">
        <is>
          <t>маш.-ч.</t>
        </is>
      </c>
      <c r="E19" s="264" t="n">
        <v>5331.1</v>
      </c>
      <c r="F19" s="146" t="n">
        <v>113.44</v>
      </c>
      <c r="G19" s="26">
        <f>ROUND(E19*F19,2)</f>
        <v/>
      </c>
      <c r="H19" s="270">
        <f>G19/$G$76</f>
        <v/>
      </c>
      <c r="I19" s="26">
        <f>ROUND(F19*'Прил. 10'!$D$12,2)</f>
        <v/>
      </c>
      <c r="J19" s="26">
        <f>ROUND(I19*E19,2)</f>
        <v/>
      </c>
    </row>
    <row r="20" ht="25.5" customFormat="1" customHeight="1" s="205">
      <c r="A20" s="264" t="n">
        <v>4</v>
      </c>
      <c r="B20" s="264" t="inlineStr">
        <is>
          <t>91.01.05-085</t>
        </is>
      </c>
      <c r="C20" s="267" t="inlineStr">
        <is>
          <t>Экскаваторы одноковшовые дизельные на гусеничном ходу, емкость ковша 0,5 м3</t>
        </is>
      </c>
      <c r="D20" s="264" t="inlineStr">
        <is>
          <t>маш.-ч.</t>
        </is>
      </c>
      <c r="E20" s="264" t="n">
        <v>932.99</v>
      </c>
      <c r="F20" s="146" t="n">
        <v>100</v>
      </c>
      <c r="G20" s="26">
        <f>ROUND(E20*F20,2)</f>
        <v/>
      </c>
      <c r="H20" s="270">
        <f>G20/$G$76</f>
        <v/>
      </c>
      <c r="I20" s="26">
        <f>ROUND(F20*'Прил. 10'!$D$12,2)</f>
        <v/>
      </c>
      <c r="J20" s="26">
        <f>ROUND(I20*E20,2)</f>
        <v/>
      </c>
    </row>
    <row r="21" ht="14.25" customFormat="1" customHeight="1" s="205">
      <c r="A21" s="264" t="n">
        <v>5</v>
      </c>
      <c r="B21" s="264" t="inlineStr">
        <is>
          <t>91.01.01-036</t>
        </is>
      </c>
      <c r="C21" s="267" t="inlineStr">
        <is>
          <t>Бульдозеры, мощность 96 кВт (130 л.с.)</t>
        </is>
      </c>
      <c r="D21" s="264" t="inlineStr">
        <is>
          <t>маш.-ч.</t>
        </is>
      </c>
      <c r="E21" s="264" t="n">
        <v>807.09</v>
      </c>
      <c r="F21" s="146" t="n">
        <v>94.05</v>
      </c>
      <c r="G21" s="26">
        <f>ROUND(E21*F21,2)</f>
        <v/>
      </c>
      <c r="H21" s="270">
        <f>G21/$G$76</f>
        <v/>
      </c>
      <c r="I21" s="26">
        <f>ROUND(F21*'Прил. 10'!$D$12,2)</f>
        <v/>
      </c>
      <c r="J21" s="26">
        <f>ROUND(I21*E21,2)</f>
        <v/>
      </c>
    </row>
    <row r="22" ht="14.25" customFormat="1" customHeight="1" s="205">
      <c r="A22" s="264" t="n"/>
      <c r="B22" s="160" t="n"/>
      <c r="C22" s="267" t="inlineStr">
        <is>
          <t>Итого основные машины и механизмы</t>
        </is>
      </c>
      <c r="D22" s="264" t="n"/>
      <c r="E22" s="360" t="n"/>
      <c r="F22" s="285" t="n"/>
      <c r="G22" s="26">
        <f>SUM(G19:G21)</f>
        <v/>
      </c>
      <c r="H22" s="270">
        <f>G22/G76</f>
        <v/>
      </c>
      <c r="I22" s="26" t="n"/>
      <c r="J22" s="26">
        <f>SUM(J19:J21)</f>
        <v/>
      </c>
    </row>
    <row r="23" hidden="1" outlineLevel="1" ht="14.25" customFormat="1" customHeight="1" s="205">
      <c r="A23" s="264" t="n">
        <v>6</v>
      </c>
      <c r="B23" s="264" t="inlineStr">
        <is>
          <t>91.01.01-035</t>
        </is>
      </c>
      <c r="C23" s="146" t="inlineStr">
        <is>
          <t>Бульдозеры, мощность 79 кВт (108 л.с.)</t>
        </is>
      </c>
      <c r="D23" s="264" t="inlineStr">
        <is>
          <t>маш.-ч.</t>
        </is>
      </c>
      <c r="E23" s="264" t="n">
        <v>578.15</v>
      </c>
      <c r="F23" s="180" t="n">
        <v>79.06999999999999</v>
      </c>
      <c r="G23" s="26">
        <f>ROUND(E23*F23,2)</f>
        <v/>
      </c>
      <c r="H23" s="270">
        <f>G23/$G$76</f>
        <v/>
      </c>
      <c r="I23" s="26">
        <f>ROUND(F23*'Прил. 10'!$D$12,2)</f>
        <v/>
      </c>
      <c r="J23" s="26">
        <f>ROUND(I23*E23,2)</f>
        <v/>
      </c>
    </row>
    <row r="24" hidden="1" outlineLevel="1" ht="25.5" customFormat="1" customHeight="1" s="205">
      <c r="A24" s="264" t="n">
        <v>7</v>
      </c>
      <c r="B24" s="264" t="inlineStr">
        <is>
          <t>91.08.03-017</t>
        </is>
      </c>
      <c r="C24" s="146" t="inlineStr">
        <is>
          <t>Катки самоходные гладкие вибрационные, масса 10 т</t>
        </is>
      </c>
      <c r="D24" s="264" t="inlineStr">
        <is>
          <t>маш.-ч.</t>
        </is>
      </c>
      <c r="E24" s="264" t="n">
        <v>48.95</v>
      </c>
      <c r="F24" s="180" t="n">
        <v>247.24</v>
      </c>
      <c r="G24" s="26">
        <f>ROUND(E24*F24,2)</f>
        <v/>
      </c>
      <c r="H24" s="270">
        <f>G24/$G$76</f>
        <v/>
      </c>
      <c r="I24" s="26">
        <f>ROUND(F24*'Прил. 10'!$D$12,2)</f>
        <v/>
      </c>
      <c r="J24" s="26">
        <f>ROUND(I24*E24,2)</f>
        <v/>
      </c>
    </row>
    <row r="25" hidden="1" outlineLevel="1" ht="25.5" customFormat="1" customHeight="1" s="205">
      <c r="A25" s="264" t="n">
        <v>8</v>
      </c>
      <c r="B25" s="264" t="inlineStr">
        <is>
          <t>91.08.03-029</t>
        </is>
      </c>
      <c r="C25" s="146" t="inlineStr">
        <is>
          <t>Катки самоходные пневмоколесные статические, масса 16 т</t>
        </is>
      </c>
      <c r="D25" s="264" t="inlineStr">
        <is>
          <t>маш.-ч.</t>
        </is>
      </c>
      <c r="E25" s="264" t="n">
        <v>29.57</v>
      </c>
      <c r="F25" s="180" t="n">
        <v>331.98</v>
      </c>
      <c r="G25" s="26">
        <f>ROUND(E25*F25,2)</f>
        <v/>
      </c>
      <c r="H25" s="270">
        <f>G25/$G$76</f>
        <v/>
      </c>
      <c r="I25" s="26">
        <f>ROUND(F25*'Прил. 10'!$D$12,2)</f>
        <v/>
      </c>
      <c r="J25" s="26">
        <f>ROUND(I25*E25,2)</f>
        <v/>
      </c>
    </row>
    <row r="26" hidden="1" outlineLevel="1" ht="38.25" customFormat="1" customHeight="1" s="205">
      <c r="A26" s="264" t="n">
        <v>9</v>
      </c>
      <c r="B26" s="264" t="inlineStr">
        <is>
          <t>91.08.01-003</t>
        </is>
      </c>
      <c r="C26" s="146" t="inlineStr">
        <is>
          <t>Асфальтоукладчики, ширина укладки до 9,5 м, производительность 25 м/мин, мощность 142 кВт (193 л.с.)</t>
        </is>
      </c>
      <c r="D26" s="264" t="inlineStr">
        <is>
          <t>маш.-ч.</t>
        </is>
      </c>
      <c r="E26" s="264" t="n">
        <v>7.38</v>
      </c>
      <c r="F26" s="180" t="n">
        <v>1168.09</v>
      </c>
      <c r="G26" s="26">
        <f>ROUND(E26*F26,2)</f>
        <v/>
      </c>
      <c r="H26" s="270">
        <f>G26/$G$76</f>
        <v/>
      </c>
      <c r="I26" s="26">
        <f>ROUND(F26*'Прил. 10'!$D$12,2)</f>
        <v/>
      </c>
      <c r="J26" s="26">
        <f>ROUND(I26*E26,2)</f>
        <v/>
      </c>
    </row>
    <row r="27" hidden="1" outlineLevel="1" ht="25.5" customFormat="1" customHeight="1" s="205">
      <c r="A27" s="264" t="n">
        <v>10</v>
      </c>
      <c r="B27" s="264" t="inlineStr">
        <is>
          <t>91.08.03-016</t>
        </is>
      </c>
      <c r="C27" s="146" t="inlineStr">
        <is>
          <t>Катки самоходные гладкие вибрационные, масса 8 т</t>
        </is>
      </c>
      <c r="D27" s="264" t="inlineStr">
        <is>
          <t>маш.-ч.</t>
        </is>
      </c>
      <c r="E27" s="264" t="n">
        <v>31.42</v>
      </c>
      <c r="F27" s="180" t="n">
        <v>226.54</v>
      </c>
      <c r="G27" s="26">
        <f>ROUND(E27*F27,2)</f>
        <v/>
      </c>
      <c r="H27" s="270">
        <f>G27/$G$76</f>
        <v/>
      </c>
      <c r="I27" s="26">
        <f>ROUND(F27*'Прил. 10'!$D$12,2)</f>
        <v/>
      </c>
      <c r="J27" s="26">
        <f>ROUND(I27*E27,2)</f>
        <v/>
      </c>
    </row>
    <row r="28" hidden="1" outlineLevel="1" ht="14.25" customFormat="1" customHeight="1" s="205">
      <c r="A28" s="264" t="n">
        <v>11</v>
      </c>
      <c r="B28" s="264" t="inlineStr">
        <is>
          <t>91.13.01-038</t>
        </is>
      </c>
      <c r="C28" s="146" t="inlineStr">
        <is>
          <t>Машины поливомоечные 6000 л</t>
        </is>
      </c>
      <c r="D28" s="264" t="inlineStr">
        <is>
          <t>маш.-ч.</t>
        </is>
      </c>
      <c r="E28" s="264" t="n">
        <v>58</v>
      </c>
      <c r="F28" s="180" t="n">
        <v>110</v>
      </c>
      <c r="G28" s="26">
        <f>ROUND(E28*F28,2)</f>
        <v/>
      </c>
      <c r="H28" s="270">
        <f>G28/$G$76</f>
        <v/>
      </c>
      <c r="I28" s="26">
        <f>ROUND(F28*'Прил. 10'!$D$12,2)</f>
        <v/>
      </c>
      <c r="J28" s="26">
        <f>ROUND(I28*E28,2)</f>
        <v/>
      </c>
    </row>
    <row r="29" hidden="1" outlineLevel="1" ht="25.5" customFormat="1" customHeight="1" s="205">
      <c r="A29" s="264" t="n">
        <v>12</v>
      </c>
      <c r="B29" s="264" t="inlineStr">
        <is>
          <t>91.15.02-024</t>
        </is>
      </c>
      <c r="C29" s="146" t="inlineStr">
        <is>
          <t>Тракторы на гусеничном ходу, мощность 79 кВт (108 л.с.)</t>
        </is>
      </c>
      <c r="D29" s="264" t="inlineStr">
        <is>
          <t>маш.-ч.</t>
        </is>
      </c>
      <c r="E29" s="264" t="n">
        <v>64.12</v>
      </c>
      <c r="F29" s="180" t="n">
        <v>83.09999999999999</v>
      </c>
      <c r="G29" s="26">
        <f>ROUND(E29*F29,2)</f>
        <v/>
      </c>
      <c r="H29" s="270">
        <f>G29/$G$76</f>
        <v/>
      </c>
      <c r="I29" s="26">
        <f>ROUND(F29*'Прил. 10'!$D$12,2)</f>
        <v/>
      </c>
      <c r="J29" s="26">
        <f>ROUND(I29*E29,2)</f>
        <v/>
      </c>
    </row>
    <row r="30" hidden="1" outlineLevel="1" ht="51" customFormat="1" customHeight="1" s="205">
      <c r="A30" s="264" t="n">
        <v>13</v>
      </c>
      <c r="B30" s="264" t="inlineStr">
        <is>
          <t>91.18.01-007</t>
        </is>
      </c>
      <c r="C30" s="14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0" s="264" t="inlineStr">
        <is>
          <t>маш.-ч.</t>
        </is>
      </c>
      <c r="E30" s="264" t="n">
        <v>42.01</v>
      </c>
      <c r="F30" s="180" t="n">
        <v>90</v>
      </c>
      <c r="G30" s="26">
        <f>ROUND(E30*F30,2)</f>
        <v/>
      </c>
      <c r="H30" s="270">
        <f>G30/$G$76</f>
        <v/>
      </c>
      <c r="I30" s="26">
        <f>ROUND(F30*'Прил. 10'!$D$12,2)</f>
        <v/>
      </c>
      <c r="J30" s="26">
        <f>ROUND(I30*E30,2)</f>
        <v/>
      </c>
    </row>
    <row r="31" hidden="1" outlineLevel="1" ht="25.5" customFormat="1" customHeight="1" s="205">
      <c r="A31" s="264" t="n">
        <v>14</v>
      </c>
      <c r="B31" s="264" t="inlineStr">
        <is>
          <t>91.01.02-004</t>
        </is>
      </c>
      <c r="C31" s="146" t="inlineStr">
        <is>
          <t>Автогрейдеры среднего типа, мощность 99 кВт (135 л.с.)</t>
        </is>
      </c>
      <c r="D31" s="264" t="inlineStr">
        <is>
          <t>маш.-ч.</t>
        </is>
      </c>
      <c r="E31" s="264" t="n">
        <v>28.52</v>
      </c>
      <c r="F31" s="180" t="n">
        <v>123</v>
      </c>
      <c r="G31" s="26">
        <f>ROUND(E31*F31,2)</f>
        <v/>
      </c>
      <c r="H31" s="270">
        <f>G31/$G$76</f>
        <v/>
      </c>
      <c r="I31" s="26">
        <f>ROUND(F31*'Прил. 10'!$D$12,2)</f>
        <v/>
      </c>
      <c r="J31" s="26">
        <f>ROUND(I31*E31,2)</f>
        <v/>
      </c>
    </row>
    <row r="32" hidden="1" outlineLevel="1" ht="25.5" customFormat="1" customHeight="1" s="205">
      <c r="A32" s="264" t="n">
        <v>15</v>
      </c>
      <c r="B32" s="264" t="inlineStr">
        <is>
          <t>91.08.03-007</t>
        </is>
      </c>
      <c r="C32" s="146" t="inlineStr">
        <is>
          <t>Катки прицепные пневмоколесные статические, масса 25 т</t>
        </is>
      </c>
      <c r="D32" s="264" t="inlineStr">
        <is>
          <t>маш.-ч.</t>
        </is>
      </c>
      <c r="E32" s="264" t="n">
        <v>64.12</v>
      </c>
      <c r="F32" s="180" t="n">
        <v>39.8</v>
      </c>
      <c r="G32" s="26">
        <f>ROUND(E32*F32,2)</f>
        <v/>
      </c>
      <c r="H32" s="270">
        <f>G32/$G$76</f>
        <v/>
      </c>
      <c r="I32" s="26">
        <f>ROUND(F32*'Прил. 10'!$D$12,2)</f>
        <v/>
      </c>
      <c r="J32" s="26">
        <f>ROUND(I32*E32,2)</f>
        <v/>
      </c>
    </row>
    <row r="33" hidden="1" outlineLevel="1" ht="25.5" customFormat="1" customHeight="1" s="205">
      <c r="A33" s="264" t="n">
        <v>16</v>
      </c>
      <c r="B33" s="264" t="inlineStr">
        <is>
          <t>91.08.03-018</t>
        </is>
      </c>
      <c r="C33" s="146" t="inlineStr">
        <is>
          <t>Катки самоходные гладкие вибрационные, масса 13 т</t>
        </is>
      </c>
      <c r="D33" s="264" t="inlineStr">
        <is>
          <t>маш.-ч.</t>
        </is>
      </c>
      <c r="E33" s="264" t="n">
        <v>7.38</v>
      </c>
      <c r="F33" s="180" t="n">
        <v>286.56</v>
      </c>
      <c r="G33" s="26">
        <f>ROUND(E33*F33,2)</f>
        <v/>
      </c>
      <c r="H33" s="270">
        <f>G33/$G$76</f>
        <v/>
      </c>
      <c r="I33" s="26">
        <f>ROUND(F33*'Прил. 10'!$D$12,2)</f>
        <v/>
      </c>
      <c r="J33" s="26">
        <f>ROUND(I33*E33,2)</f>
        <v/>
      </c>
    </row>
    <row r="34" hidden="1" outlineLevel="1" ht="25.5" customFormat="1" customHeight="1" s="205">
      <c r="A34" s="264" t="n">
        <v>17</v>
      </c>
      <c r="B34" s="264" t="inlineStr">
        <is>
          <t>91.01.05-088</t>
        </is>
      </c>
      <c r="C34" s="146" t="inlineStr">
        <is>
          <t>Экскаваторы одноковшовые дизельные на гусеничном ходу, емкость ковша 1,6 м3</t>
        </is>
      </c>
      <c r="D34" s="264" t="inlineStr">
        <is>
          <t>маш.-ч.</t>
        </is>
      </c>
      <c r="E34" s="264" t="n">
        <v>9.789999999999999</v>
      </c>
      <c r="F34" s="180" t="n">
        <v>198.4</v>
      </c>
      <c r="G34" s="26">
        <f>ROUND(E34*F34,2)</f>
        <v/>
      </c>
      <c r="H34" s="270">
        <f>G34/$G$76</f>
        <v/>
      </c>
      <c r="I34" s="26">
        <f>ROUND(F34*'Прил. 10'!$D$12,2)</f>
        <v/>
      </c>
      <c r="J34" s="26">
        <f>ROUND(I34*E34,2)</f>
        <v/>
      </c>
    </row>
    <row r="35" hidden="1" outlineLevel="1" ht="14.25" customFormat="1" customHeight="1" s="205">
      <c r="A35" s="264" t="n">
        <v>18</v>
      </c>
      <c r="B35" s="264" t="inlineStr">
        <is>
          <t>91.06.09-001</t>
        </is>
      </c>
      <c r="C35" s="146" t="inlineStr">
        <is>
          <t>Вышки телескопические 25 м</t>
        </is>
      </c>
      <c r="D35" s="264" t="inlineStr">
        <is>
          <t>маш.-ч.</t>
        </is>
      </c>
      <c r="E35" s="264" t="n">
        <v>10.5</v>
      </c>
      <c r="F35" s="180" t="n">
        <v>142.7</v>
      </c>
      <c r="G35" s="26">
        <f>ROUND(E35*F35,2)</f>
        <v/>
      </c>
      <c r="H35" s="270">
        <f>G35/$G$76</f>
        <v/>
      </c>
      <c r="I35" s="26">
        <f>ROUND(F35*'Прил. 10'!$D$12,2)</f>
        <v/>
      </c>
      <c r="J35" s="26">
        <f>ROUND(I35*E35,2)</f>
        <v/>
      </c>
    </row>
    <row r="36" hidden="1" outlineLevel="1" ht="25.5" customFormat="1" customHeight="1" s="205">
      <c r="A36" s="264" t="n">
        <v>19</v>
      </c>
      <c r="B36" s="264" t="inlineStr">
        <is>
          <t>91.15.02-023</t>
        </is>
      </c>
      <c r="C36" s="146" t="inlineStr">
        <is>
          <t>Тракторы на гусеничном ходу, мощность 59 кВт (80 л.с.)</t>
        </is>
      </c>
      <c r="D36" s="264" t="inlineStr">
        <is>
          <t>маш.-ч.</t>
        </is>
      </c>
      <c r="E36" s="264" t="n">
        <v>18.18</v>
      </c>
      <c r="F36" s="180" t="n">
        <v>77.2</v>
      </c>
      <c r="G36" s="26">
        <f>ROUND(E36*F36,2)</f>
        <v/>
      </c>
      <c r="H36" s="270">
        <f>G36/$G$76</f>
        <v/>
      </c>
      <c r="I36" s="26">
        <f>ROUND(F36*'Прил. 10'!$D$12,2)</f>
        <v/>
      </c>
      <c r="J36" s="26">
        <f>ROUND(I36*E36,2)</f>
        <v/>
      </c>
    </row>
    <row r="37" hidden="1" outlineLevel="1" ht="25.5" customFormat="1" customHeight="1" s="205">
      <c r="A37" s="264" t="n">
        <v>20</v>
      </c>
      <c r="B37" s="264" t="inlineStr">
        <is>
          <t>91.08.03-008</t>
        </is>
      </c>
      <c r="C37" s="146" t="inlineStr">
        <is>
          <t>Катки прицепные пневмоколесные статические, масса 50 т</t>
        </is>
      </c>
      <c r="D37" s="264" t="inlineStr">
        <is>
          <t>маш.-ч.</t>
        </is>
      </c>
      <c r="E37" s="264" t="n">
        <v>18.18</v>
      </c>
      <c r="F37" s="180" t="n">
        <v>68.98</v>
      </c>
      <c r="G37" s="26">
        <f>ROUND(E37*F37,2)</f>
        <v/>
      </c>
      <c r="H37" s="270">
        <f>G37/$G$76</f>
        <v/>
      </c>
      <c r="I37" s="26">
        <f>ROUND(F37*'Прил. 10'!$D$12,2)</f>
        <v/>
      </c>
      <c r="J37" s="26">
        <f>ROUND(I37*E37,2)</f>
        <v/>
      </c>
    </row>
    <row r="38" hidden="1" outlineLevel="1" ht="25.5" customFormat="1" customHeight="1" s="205">
      <c r="A38" s="264" t="n">
        <v>21</v>
      </c>
      <c r="B38" s="264" t="inlineStr">
        <is>
          <t>91.05.05-014</t>
        </is>
      </c>
      <c r="C38" s="146" t="inlineStr">
        <is>
          <t>Краны на автомобильном ходу, грузоподъемность 10 т</t>
        </is>
      </c>
      <c r="D38" s="264" t="inlineStr">
        <is>
          <t>маш.-ч.</t>
        </is>
      </c>
      <c r="E38" s="264" t="n">
        <v>11</v>
      </c>
      <c r="F38" s="180" t="n">
        <v>111.99</v>
      </c>
      <c r="G38" s="26">
        <f>ROUND(E38*F38,2)</f>
        <v/>
      </c>
      <c r="H38" s="270">
        <f>G38/$G$76</f>
        <v/>
      </c>
      <c r="I38" s="26">
        <f>ROUND(F38*'Прил. 10'!$D$12,2)</f>
        <v/>
      </c>
      <c r="J38" s="26">
        <f>ROUND(I38*E38,2)</f>
        <v/>
      </c>
    </row>
    <row r="39" hidden="1" outlineLevel="1" ht="14.25" customFormat="1" customHeight="1" s="205">
      <c r="A39" s="264" t="n">
        <v>22</v>
      </c>
      <c r="B39" s="264" t="inlineStr">
        <is>
          <t>91.08.04-022</t>
        </is>
      </c>
      <c r="C39" s="146" t="inlineStr">
        <is>
          <t>Котлы битумные передвижные 1000 л</t>
        </is>
      </c>
      <c r="D39" s="264" t="inlineStr">
        <is>
          <t>маш.-ч.</t>
        </is>
      </c>
      <c r="E39" s="264" t="n">
        <v>24.14</v>
      </c>
      <c r="F39" s="180" t="n">
        <v>50</v>
      </c>
      <c r="G39" s="26">
        <f>ROUND(E39*F39,2)</f>
        <v/>
      </c>
      <c r="H39" s="270">
        <f>G39/$G$76</f>
        <v/>
      </c>
      <c r="I39" s="26">
        <f>ROUND(F39*'Прил. 10'!$D$12,2)</f>
        <v/>
      </c>
      <c r="J39" s="26">
        <f>ROUND(I39*E39,2)</f>
        <v/>
      </c>
    </row>
    <row r="40" hidden="1" outlineLevel="1" ht="38.25" customFormat="1" customHeight="1" s="205">
      <c r="A40" s="264" t="n">
        <v>23</v>
      </c>
      <c r="B40" s="264" t="inlineStr">
        <is>
          <t>91.04.01-100</t>
        </is>
      </c>
      <c r="C40" s="146" t="inlineStr">
        <is>
          <t>Машины бурильно-крановые на автомобильном ходу, диаметр бурения 360-800 мм, глубина бурения до 10 м</t>
        </is>
      </c>
      <c r="D40" s="264" t="inlineStr">
        <is>
          <t>маш.-ч.</t>
        </is>
      </c>
      <c r="E40" s="264" t="n">
        <v>2.78</v>
      </c>
      <c r="F40" s="180" t="n">
        <v>399.03</v>
      </c>
      <c r="G40" s="26">
        <f>ROUND(E40*F40,2)</f>
        <v/>
      </c>
      <c r="H40" s="270">
        <f>G40/$G$76</f>
        <v/>
      </c>
      <c r="I40" s="26">
        <f>ROUND(F40*'Прил. 10'!$D$12,2)</f>
        <v/>
      </c>
      <c r="J40" s="26">
        <f>ROUND(I40*E40,2)</f>
        <v/>
      </c>
    </row>
    <row r="41" hidden="1" outlineLevel="1" ht="25.5" customFormat="1" customHeight="1" s="205">
      <c r="A41" s="264" t="n">
        <v>24</v>
      </c>
      <c r="B41" s="264" t="inlineStr">
        <is>
          <t>91.06.03-055</t>
        </is>
      </c>
      <c r="C41" s="146" t="inlineStr">
        <is>
          <t>Лебедки электрические тяговым усилием 19,62 кН (2 т)</t>
        </is>
      </c>
      <c r="D41" s="264" t="inlineStr">
        <is>
          <t>маш.-ч.</t>
        </is>
      </c>
      <c r="E41" s="264" t="n">
        <v>165.1</v>
      </c>
      <c r="F41" s="180" t="n">
        <v>6.66</v>
      </c>
      <c r="G41" s="26">
        <f>ROUND(E41*F41,2)</f>
        <v/>
      </c>
      <c r="H41" s="270">
        <f>G41/$G$76</f>
        <v/>
      </c>
      <c r="I41" s="26">
        <f>ROUND(F41*'Прил. 10'!$D$12,2)</f>
        <v/>
      </c>
      <c r="J41" s="26">
        <f>ROUND(I41*E41,2)</f>
        <v/>
      </c>
    </row>
    <row r="42" hidden="1" outlineLevel="1" ht="25.5" customFormat="1" customHeight="1" s="205">
      <c r="A42" s="264" t="n">
        <v>25</v>
      </c>
      <c r="B42" s="264" t="inlineStr">
        <is>
          <t>91.08.02-001</t>
        </is>
      </c>
      <c r="C42" s="146" t="inlineStr">
        <is>
          <t>Автогудронаторы, емкость цистерны 3500 л</t>
        </is>
      </c>
      <c r="D42" s="264" t="inlineStr">
        <is>
          <t>маш.-ч.</t>
        </is>
      </c>
      <c r="E42" s="264" t="n">
        <v>9.23</v>
      </c>
      <c r="F42" s="180" t="n">
        <v>118.47</v>
      </c>
      <c r="G42" s="26">
        <f>ROUND(E42*F42,2)</f>
        <v/>
      </c>
      <c r="H42" s="270">
        <f>G42/$G$76</f>
        <v/>
      </c>
      <c r="I42" s="26">
        <f>ROUND(F42*'Прил. 10'!$D$12,2)</f>
        <v/>
      </c>
      <c r="J42" s="26">
        <f>ROUND(I42*E42,2)</f>
        <v/>
      </c>
    </row>
    <row r="43" hidden="1" outlineLevel="1" ht="25.5" customFormat="1" customHeight="1" s="205">
      <c r="A43" s="264" t="n">
        <v>26</v>
      </c>
      <c r="B43" s="264" t="inlineStr">
        <is>
          <t>91.08.03-015</t>
        </is>
      </c>
      <c r="C43" s="146" t="inlineStr">
        <is>
          <t>Катки самоходные гладкие вибрационные, масса 5 т</t>
        </is>
      </c>
      <c r="D43" s="264" t="inlineStr">
        <is>
          <t>маш.-ч.</t>
        </is>
      </c>
      <c r="E43" s="264" t="n">
        <v>5.95</v>
      </c>
      <c r="F43" s="180" t="n">
        <v>176.03</v>
      </c>
      <c r="G43" s="26">
        <f>ROUND(E43*F43,2)</f>
        <v/>
      </c>
      <c r="H43" s="270">
        <f>G43/$G$76</f>
        <v/>
      </c>
      <c r="I43" s="26">
        <f>ROUND(F43*'Прил. 10'!$D$12,2)</f>
        <v/>
      </c>
      <c r="J43" s="26">
        <f>ROUND(I43*E43,2)</f>
        <v/>
      </c>
    </row>
    <row r="44" hidden="1" outlineLevel="1" ht="38.25" customFormat="1" customHeight="1" s="205">
      <c r="A44" s="264" t="n">
        <v>27</v>
      </c>
      <c r="B44" s="264" t="inlineStr">
        <is>
          <t>91.06.05-057</t>
        </is>
      </c>
      <c r="C44" s="146" t="inlineStr">
        <is>
          <t>Погрузчики одноковшовые универсальные фронтальные пневмоколесные, грузоподъемность 3 т</t>
        </is>
      </c>
      <c r="D44" s="264" t="inlineStr">
        <is>
          <t>маш.-ч.</t>
        </is>
      </c>
      <c r="E44" s="264" t="n">
        <v>9.27</v>
      </c>
      <c r="F44" s="180" t="n">
        <v>90.40000000000001</v>
      </c>
      <c r="G44" s="26">
        <f>ROUND(E44*F44,2)</f>
        <v/>
      </c>
      <c r="H44" s="270">
        <f>G44/$G$76</f>
        <v/>
      </c>
      <c r="I44" s="26">
        <f>ROUND(F44*'Прил. 10'!$D$12,2)</f>
        <v/>
      </c>
      <c r="J44" s="26">
        <f>ROUND(I44*E44,2)</f>
        <v/>
      </c>
    </row>
    <row r="45" hidden="1" outlineLevel="1" ht="38.25" customFormat="1" customHeight="1" s="205">
      <c r="A45" s="264" t="n">
        <v>28</v>
      </c>
      <c r="B45" s="264" t="inlineStr">
        <is>
          <t>91.06.05-060</t>
        </is>
      </c>
      <c r="C45" s="146" t="inlineStr">
        <is>
          <t>Погрузчики одноковшовые универсальные фронтальные пневмоколесные, грузоподъемность до 1 т</t>
        </is>
      </c>
      <c r="D45" s="264" t="inlineStr">
        <is>
          <t>маш.-ч.</t>
        </is>
      </c>
      <c r="E45" s="264" t="n">
        <v>6.97</v>
      </c>
      <c r="F45" s="180" t="n">
        <v>93.95999999999999</v>
      </c>
      <c r="G45" s="26">
        <f>ROUND(E45*F45,2)</f>
        <v/>
      </c>
      <c r="H45" s="270">
        <f>G45/$G$76</f>
        <v/>
      </c>
      <c r="I45" s="26">
        <f>ROUND(F45*'Прил. 10'!$D$12,2)</f>
        <v/>
      </c>
      <c r="J45" s="26">
        <f>ROUND(I45*E45,2)</f>
        <v/>
      </c>
    </row>
    <row r="46" hidden="1" outlineLevel="1" ht="14.25" customFormat="1" customHeight="1" s="205">
      <c r="A46" s="264" t="n">
        <v>29</v>
      </c>
      <c r="B46" s="264" t="inlineStr">
        <is>
          <t>91.01.01-034</t>
        </is>
      </c>
      <c r="C46" s="146" t="inlineStr">
        <is>
          <t>Бульдозеры, мощность 59 кВт (80 л.с.)</t>
        </is>
      </c>
      <c r="D46" s="264" t="inlineStr">
        <is>
          <t>маш.-ч.</t>
        </is>
      </c>
      <c r="E46" s="264" t="n">
        <v>7.88</v>
      </c>
      <c r="F46" s="180" t="n">
        <v>59.47</v>
      </c>
      <c r="G46" s="26">
        <f>ROUND(E46*F46,2)</f>
        <v/>
      </c>
      <c r="H46" s="270">
        <f>G46/$G$76</f>
        <v/>
      </c>
      <c r="I46" s="26">
        <f>ROUND(F46*'Прил. 10'!$D$12,2)</f>
        <v/>
      </c>
      <c r="J46" s="26">
        <f>ROUND(I46*E46,2)</f>
        <v/>
      </c>
    </row>
    <row r="47" hidden="1" outlineLevel="1" ht="25.5" customFormat="1" customHeight="1" s="205">
      <c r="A47" s="264" t="n">
        <v>30</v>
      </c>
      <c r="B47" s="264" t="inlineStr">
        <is>
          <t>91.14.02-001</t>
        </is>
      </c>
      <c r="C47" s="146" t="inlineStr">
        <is>
          <t>Автомобили бортовые, грузоподъемность до 5 т</t>
        </is>
      </c>
      <c r="D47" s="264" t="inlineStr">
        <is>
          <t>маш.-ч.</t>
        </is>
      </c>
      <c r="E47" s="264" t="n">
        <v>5.27</v>
      </c>
      <c r="F47" s="180" t="n">
        <v>65.70999999999999</v>
      </c>
      <c r="G47" s="26">
        <f>ROUND(E47*F47,2)</f>
        <v/>
      </c>
      <c r="H47" s="270">
        <f>G47/$G$76</f>
        <v/>
      </c>
      <c r="I47" s="26">
        <f>ROUND(F47*'Прил. 10'!$D$12,2)</f>
        <v/>
      </c>
      <c r="J47" s="26">
        <f>ROUND(I47*E47,2)</f>
        <v/>
      </c>
    </row>
    <row r="48" hidden="1" outlineLevel="1" ht="14.25" customFormat="1" customHeight="1" s="205">
      <c r="A48" s="264" t="n">
        <v>31</v>
      </c>
      <c r="B48" s="264" t="inlineStr">
        <is>
          <t>91.08.09-002</t>
        </is>
      </c>
      <c r="C48" s="146" t="inlineStr">
        <is>
          <t>Виброплиты электрические</t>
        </is>
      </c>
      <c r="D48" s="264" t="inlineStr">
        <is>
          <t>маш.-ч.</t>
        </is>
      </c>
      <c r="E48" s="264" t="n">
        <v>31.54</v>
      </c>
      <c r="F48" s="180" t="n">
        <v>9.16</v>
      </c>
      <c r="G48" s="26">
        <f>ROUND(E48*F48,2)</f>
        <v/>
      </c>
      <c r="H48" s="270">
        <f>G48/$G$76</f>
        <v/>
      </c>
      <c r="I48" s="26">
        <f>ROUND(F48*'Прил. 10'!$D$12,2)</f>
        <v/>
      </c>
      <c r="J48" s="26">
        <f>ROUND(I48*E48,2)</f>
        <v/>
      </c>
    </row>
    <row r="49" hidden="1" outlineLevel="1" ht="25.5" customFormat="1" customHeight="1" s="205">
      <c r="A49" s="264" t="n">
        <v>32</v>
      </c>
      <c r="B49" s="264" t="inlineStr">
        <is>
          <t>91.05.05-013</t>
        </is>
      </c>
      <c r="C49" s="146" t="inlineStr">
        <is>
          <t>Краны на автомобильном ходу, грузоподъемность 6,3 т</t>
        </is>
      </c>
      <c r="D49" s="264" t="inlineStr">
        <is>
          <t>маш.-ч.</t>
        </is>
      </c>
      <c r="E49" s="264" t="n">
        <v>3.21</v>
      </c>
      <c r="F49" s="180" t="n">
        <v>88.01000000000001</v>
      </c>
      <c r="G49" s="26">
        <f>ROUND(E49*F49,2)</f>
        <v/>
      </c>
      <c r="H49" s="270">
        <f>G49/$G$76</f>
        <v/>
      </c>
      <c r="I49" s="26">
        <f>ROUND(F49*'Прил. 10'!$D$12,2)</f>
        <v/>
      </c>
      <c r="J49" s="26">
        <f>ROUND(I49*E49,2)</f>
        <v/>
      </c>
    </row>
    <row r="50" hidden="1" outlineLevel="1" ht="38.25" customFormat="1" customHeight="1" s="205">
      <c r="A50" s="264" t="n">
        <v>33</v>
      </c>
      <c r="B50" s="264" t="inlineStr">
        <is>
          <t>91.18.01-516</t>
        </is>
      </c>
      <c r="C50" s="146" t="inlineStr">
        <is>
          <t>Компрессоры с двигателем внутреннего сгорания прицепные, давление до 7 атм, производительность до 6 м3/мин</t>
        </is>
      </c>
      <c r="D50" s="264" t="inlineStr">
        <is>
          <t>маш.-ч.</t>
        </is>
      </c>
      <c r="E50" s="264" t="n">
        <v>7.5</v>
      </c>
      <c r="F50" s="180" t="n">
        <v>36.9</v>
      </c>
      <c r="G50" s="26">
        <f>ROUND(E50*F50,2)</f>
        <v/>
      </c>
      <c r="H50" s="270">
        <f>G50/$G$76</f>
        <v/>
      </c>
      <c r="I50" s="26">
        <f>ROUND(F50*'Прил. 10'!$D$12,2)</f>
        <v/>
      </c>
      <c r="J50" s="26">
        <f>ROUND(I50*E50,2)</f>
        <v/>
      </c>
    </row>
    <row r="51" hidden="1" outlineLevel="1" ht="14.25" customFormat="1" customHeight="1" s="205">
      <c r="A51" s="264" t="n">
        <v>34</v>
      </c>
      <c r="B51" s="264" t="inlineStr">
        <is>
          <t>91.05.14-025</t>
        </is>
      </c>
      <c r="C51" s="146" t="inlineStr">
        <is>
          <t>Краны переносные 1 т</t>
        </is>
      </c>
      <c r="D51" s="264" t="inlineStr">
        <is>
          <t>маш.-ч.</t>
        </is>
      </c>
      <c r="E51" s="264" t="n">
        <v>8.6</v>
      </c>
      <c r="F51" s="180" t="n">
        <v>27.2</v>
      </c>
      <c r="G51" s="26">
        <f>ROUND(E51*F51,2)</f>
        <v/>
      </c>
      <c r="H51" s="270">
        <f>G51/$G$76</f>
        <v/>
      </c>
      <c r="I51" s="26">
        <f>ROUND(F51*'Прил. 10'!$D$12,2)</f>
        <v/>
      </c>
      <c r="J51" s="26">
        <f>ROUND(I51*E51,2)</f>
        <v/>
      </c>
    </row>
    <row r="52" hidden="1" outlineLevel="1" ht="25.5" customFormat="1" customHeight="1" s="205">
      <c r="A52" s="264" t="n">
        <v>35</v>
      </c>
      <c r="B52" s="264" t="inlineStr">
        <is>
          <t>91.08.09-024</t>
        </is>
      </c>
      <c r="C52" s="146" t="inlineStr">
        <is>
          <t>Трамбовки пневматические при работе от стационарного компрессора</t>
        </is>
      </c>
      <c r="D52" s="264" t="inlineStr">
        <is>
          <t>маш.-ч.</t>
        </is>
      </c>
      <c r="E52" s="264" t="n">
        <v>43.07</v>
      </c>
      <c r="F52" s="180" t="n">
        <v>4.91</v>
      </c>
      <c r="G52" s="26">
        <f>ROUND(E52*F52,2)</f>
        <v/>
      </c>
      <c r="H52" s="270">
        <f>G52/$G$76</f>
        <v/>
      </c>
      <c r="I52" s="26">
        <f>ROUND(F52*'Прил. 10'!$D$12,2)</f>
        <v/>
      </c>
      <c r="J52" s="26">
        <f>ROUND(I52*E52,2)</f>
        <v/>
      </c>
    </row>
    <row r="53" hidden="1" outlineLevel="1" ht="25.5" customFormat="1" customHeight="1" s="205">
      <c r="A53" s="264" t="n">
        <v>36</v>
      </c>
      <c r="B53" s="264" t="inlineStr">
        <is>
          <t>91.15.03-014</t>
        </is>
      </c>
      <c r="C53" s="146" t="inlineStr">
        <is>
          <t>Тракторы на пневмоколесном ходу, мощность 59 кВт (80 л.с.)</t>
        </is>
      </c>
      <c r="D53" s="264" t="inlineStr">
        <is>
          <t>маш.-ч.</t>
        </is>
      </c>
      <c r="E53" s="264" t="n">
        <v>2.32</v>
      </c>
      <c r="F53" s="180" t="n">
        <v>74.61</v>
      </c>
      <c r="G53" s="26">
        <f>ROUND(E53*F53,2)</f>
        <v/>
      </c>
      <c r="H53" s="270">
        <f>G53/$G$76</f>
        <v/>
      </c>
      <c r="I53" s="26">
        <f>ROUND(F53*'Прил. 10'!$D$12,2)</f>
        <v/>
      </c>
      <c r="J53" s="26">
        <f>ROUND(I53*E53,2)</f>
        <v/>
      </c>
    </row>
    <row r="54" hidden="1" outlineLevel="1" ht="25.5" customFormat="1" customHeight="1" s="205">
      <c r="A54" s="264" t="n">
        <v>37</v>
      </c>
      <c r="B54" s="264" t="inlineStr">
        <is>
          <t>91.01.05-110</t>
        </is>
      </c>
      <c r="C54" s="146" t="inlineStr">
        <is>
          <t>Экскаваторы одноковшовые на гусеничном ходу, емкость ковша 0,65 м3</t>
        </is>
      </c>
      <c r="D54" s="264" t="inlineStr">
        <is>
          <t>маш.-ч.</t>
        </is>
      </c>
      <c r="E54" s="264" t="n">
        <v>0.68</v>
      </c>
      <c r="F54" s="180" t="n">
        <v>175.56</v>
      </c>
      <c r="G54" s="26">
        <f>ROUND(E54*F54,2)</f>
        <v/>
      </c>
      <c r="H54" s="270">
        <f>G54/$G$76</f>
        <v/>
      </c>
      <c r="I54" s="26">
        <f>ROUND(F54*'Прил. 10'!$D$12,2)</f>
        <v/>
      </c>
      <c r="J54" s="26">
        <f>ROUND(I54*E54,2)</f>
        <v/>
      </c>
    </row>
    <row r="55" hidden="1" outlineLevel="1" ht="14.25" customFormat="1" customHeight="1" s="205">
      <c r="A55" s="264" t="n">
        <v>38</v>
      </c>
      <c r="B55" s="264" t="inlineStr">
        <is>
          <t>91.01.01-039</t>
        </is>
      </c>
      <c r="C55" s="146" t="inlineStr">
        <is>
          <t>Бульдозеры, мощность 132 кВт (180 л.с.)</t>
        </is>
      </c>
      <c r="D55" s="264" t="inlineStr">
        <is>
          <t>маш.-ч.</t>
        </is>
      </c>
      <c r="E55" s="264" t="n">
        <v>0.77</v>
      </c>
      <c r="F55" s="180" t="n">
        <v>132.79</v>
      </c>
      <c r="G55" s="26">
        <f>ROUND(E55*F55,2)</f>
        <v/>
      </c>
      <c r="H55" s="270">
        <f>G55/$G$76</f>
        <v/>
      </c>
      <c r="I55" s="26">
        <f>ROUND(F55*'Прил. 10'!$D$12,2)</f>
        <v/>
      </c>
      <c r="J55" s="26">
        <f>ROUND(I55*E55,2)</f>
        <v/>
      </c>
    </row>
    <row r="56" hidden="1" outlineLevel="1" ht="38.25" customFormat="1" customHeight="1" s="205">
      <c r="A56" s="264" t="n">
        <v>39</v>
      </c>
      <c r="B56" s="264" t="inlineStr">
        <is>
          <t>91.01.05-106</t>
        </is>
      </c>
      <c r="C56" s="146" t="inlineStr">
        <is>
          <t>Экскаваторы одноковшовые дизельные на пневмоколесном ходу, емкость ковша 0,25 м3</t>
        </is>
      </c>
      <c r="D56" s="264" t="inlineStr">
        <is>
          <t>маш.-ч.</t>
        </is>
      </c>
      <c r="E56" s="264" t="n">
        <v>1.19</v>
      </c>
      <c r="F56" s="180" t="n">
        <v>70.01000000000001</v>
      </c>
      <c r="G56" s="26">
        <f>ROUND(E56*F56,2)</f>
        <v/>
      </c>
      <c r="H56" s="270">
        <f>G56/$G$76</f>
        <v/>
      </c>
      <c r="I56" s="26">
        <f>ROUND(F56*'Прил. 10'!$D$12,2)</f>
        <v/>
      </c>
      <c r="J56" s="26">
        <f>ROUND(I56*E56,2)</f>
        <v/>
      </c>
    </row>
    <row r="57" hidden="1" outlineLevel="1" ht="25.5" customFormat="1" customHeight="1" s="205">
      <c r="A57" s="264" t="n">
        <v>40</v>
      </c>
      <c r="B57" s="264" t="inlineStr">
        <is>
          <t>91.12.02-002</t>
        </is>
      </c>
      <c r="C57" s="146" t="inlineStr">
        <is>
          <t>Корчеватели-собиратели с трактором, мощность 79 кВт (108 л.с.)</t>
        </is>
      </c>
      <c r="D57" s="264" t="inlineStr">
        <is>
          <t>маш.-ч.</t>
        </is>
      </c>
      <c r="E57" s="264" t="n">
        <v>0.87</v>
      </c>
      <c r="F57" s="180" t="n">
        <v>88.91</v>
      </c>
      <c r="G57" s="26">
        <f>ROUND(E57*F57,2)</f>
        <v/>
      </c>
      <c r="H57" s="270">
        <f>G57/$G$76</f>
        <v/>
      </c>
      <c r="I57" s="26">
        <f>ROUND(F57*'Прил. 10'!$D$12,2)</f>
        <v/>
      </c>
      <c r="J57" s="26">
        <f>ROUND(I57*E57,2)</f>
        <v/>
      </c>
    </row>
    <row r="58" hidden="1" outlineLevel="1" ht="14.25" customFormat="1" customHeight="1" s="205">
      <c r="A58" s="264" t="n">
        <v>41</v>
      </c>
      <c r="B58" s="264" t="inlineStr">
        <is>
          <t>91.14.04-001</t>
        </is>
      </c>
      <c r="C58" s="146" t="inlineStr">
        <is>
          <t>Тягачи седельные, грузоподъемность 12 т</t>
        </is>
      </c>
      <c r="D58" s="264" t="inlineStr">
        <is>
          <t>маш.-ч.</t>
        </is>
      </c>
      <c r="E58" s="264" t="n">
        <v>0.6</v>
      </c>
      <c r="F58" s="180" t="n">
        <v>102.83</v>
      </c>
      <c r="G58" s="26">
        <f>ROUND(E58*F58,2)</f>
        <v/>
      </c>
      <c r="H58" s="270">
        <f>G58/$G$76</f>
        <v/>
      </c>
      <c r="I58" s="26">
        <f>ROUND(F58*'Прил. 10'!$D$12,2)</f>
        <v/>
      </c>
      <c r="J58" s="26">
        <f>ROUND(I58*E58,2)</f>
        <v/>
      </c>
    </row>
    <row r="59" hidden="1" outlineLevel="1" ht="25.5" customFormat="1" customHeight="1" s="205">
      <c r="A59" s="264" t="n">
        <v>42</v>
      </c>
      <c r="B59" s="264" t="inlineStr">
        <is>
          <t>91.17.04-171</t>
        </is>
      </c>
      <c r="C59" s="146" t="inlineStr">
        <is>
          <t>Преобразователи сварочные номинальным сварочным током 315-500 А</t>
        </is>
      </c>
      <c r="D59" s="264" t="inlineStr">
        <is>
          <t>маш.-ч.</t>
        </is>
      </c>
      <c r="E59" s="264" t="n">
        <v>2.81</v>
      </c>
      <c r="F59" s="180" t="n">
        <v>12.31</v>
      </c>
      <c r="G59" s="26">
        <f>ROUND(E59*F59,2)</f>
        <v/>
      </c>
      <c r="H59" s="270">
        <f>G59/$G$76</f>
        <v/>
      </c>
      <c r="I59" s="26">
        <f>ROUND(F59*'Прил. 10'!$D$12,2)</f>
        <v/>
      </c>
      <c r="J59" s="26">
        <f>ROUND(I59*E59,2)</f>
        <v/>
      </c>
    </row>
    <row r="60" hidden="1" outlineLevel="1" ht="25.5" customFormat="1" customHeight="1" s="205">
      <c r="A60" s="264" t="n">
        <v>43</v>
      </c>
      <c r="B60" s="264" t="inlineStr">
        <is>
          <t>91.21.12-002</t>
        </is>
      </c>
      <c r="C60" s="146" t="inlineStr">
        <is>
          <t>Ножницы листовые кривошипные гильотинные</t>
        </is>
      </c>
      <c r="D60" s="264" t="inlineStr">
        <is>
          <t>маш.-ч.</t>
        </is>
      </c>
      <c r="E60" s="264" t="n">
        <v>0.45</v>
      </c>
      <c r="F60" s="180" t="n">
        <v>70</v>
      </c>
      <c r="G60" s="26">
        <f>ROUND(E60*F60,2)</f>
        <v/>
      </c>
      <c r="H60" s="270">
        <f>G60/$G$76</f>
        <v/>
      </c>
      <c r="I60" s="26">
        <f>ROUND(F60*'Прил. 10'!$D$12,2)</f>
        <v/>
      </c>
      <c r="J60" s="26">
        <f>ROUND(I60*E60,2)</f>
        <v/>
      </c>
    </row>
    <row r="61" hidden="1" outlineLevel="1" ht="14.25" customFormat="1" customHeight="1" s="205">
      <c r="A61" s="264" t="n">
        <v>44</v>
      </c>
      <c r="B61" s="264" t="inlineStr">
        <is>
          <t>91.07.04-002</t>
        </is>
      </c>
      <c r="C61" s="146" t="inlineStr">
        <is>
          <t>Вибраторы поверхностные</t>
        </is>
      </c>
      <c r="D61" s="264" t="inlineStr">
        <is>
          <t>маш.-ч.</t>
        </is>
      </c>
      <c r="E61" s="264" t="n">
        <v>61.89</v>
      </c>
      <c r="F61" s="180" t="n">
        <v>0.5</v>
      </c>
      <c r="G61" s="26">
        <f>ROUND(E61*F61,2)</f>
        <v/>
      </c>
      <c r="H61" s="270">
        <f>G61/$G$76</f>
        <v/>
      </c>
      <c r="I61" s="26">
        <f>ROUND(F61*'Прил. 10'!$D$12,2)</f>
        <v/>
      </c>
      <c r="J61" s="26">
        <f>ROUND(I61*E61,2)</f>
        <v/>
      </c>
    </row>
    <row r="62" hidden="1" outlineLevel="1" ht="14.25" customFormat="1" customHeight="1" s="205">
      <c r="A62" s="264" t="n">
        <v>45</v>
      </c>
      <c r="B62" s="264" t="inlineStr">
        <is>
          <t>91.06.05-011</t>
        </is>
      </c>
      <c r="C62" s="146" t="inlineStr">
        <is>
          <t>Погрузчики, грузоподъемность 5 т</t>
        </is>
      </c>
      <c r="D62" s="264" t="inlineStr">
        <is>
          <t>маш.-ч.</t>
        </is>
      </c>
      <c r="E62" s="264" t="n">
        <v>0.25</v>
      </c>
      <c r="F62" s="180" t="n">
        <v>90</v>
      </c>
      <c r="G62" s="26">
        <f>ROUND(E62*F62,2)</f>
        <v/>
      </c>
      <c r="H62" s="270">
        <f>G62/$G$76</f>
        <v/>
      </c>
      <c r="I62" s="26">
        <f>ROUND(F62*'Прил. 10'!$D$12,2)</f>
        <v/>
      </c>
      <c r="J62" s="26">
        <f>ROUND(I62*E62,2)</f>
        <v/>
      </c>
    </row>
    <row r="63" hidden="1" outlineLevel="1" ht="25.5" customFormat="1" customHeight="1" s="205">
      <c r="A63" s="264" t="n">
        <v>46</v>
      </c>
      <c r="B63" s="264" t="inlineStr">
        <is>
          <t>91.01.01-018</t>
        </is>
      </c>
      <c r="C63" s="146" t="inlineStr">
        <is>
          <t>Бульдозеры-рыхлители на тракторе, мощность 243 кВт (330 л.с.)</t>
        </is>
      </c>
      <c r="D63" s="264" t="inlineStr">
        <is>
          <t>маш.-ч.</t>
        </is>
      </c>
      <c r="E63" s="264" t="n">
        <v>0.06</v>
      </c>
      <c r="F63" s="180" t="n">
        <v>348</v>
      </c>
      <c r="G63" s="26">
        <f>ROUND(E63*F63,2)</f>
        <v/>
      </c>
      <c r="H63" s="270">
        <f>G63/$G$76</f>
        <v/>
      </c>
      <c r="I63" s="26">
        <f>ROUND(F63*'Прил. 10'!$D$12,2)</f>
        <v/>
      </c>
      <c r="J63" s="26">
        <f>ROUND(I63*E63,2)</f>
        <v/>
      </c>
    </row>
    <row r="64" hidden="1" outlineLevel="1" ht="14.25" customFormat="1" customHeight="1" s="205">
      <c r="A64" s="264" t="n">
        <v>47</v>
      </c>
      <c r="B64" s="264" t="inlineStr">
        <is>
          <t>91.07.04-001</t>
        </is>
      </c>
      <c r="C64" s="146" t="inlineStr">
        <is>
          <t>Вибраторы глубинные</t>
        </is>
      </c>
      <c r="D64" s="264" t="inlineStr">
        <is>
          <t>маш.-ч.</t>
        </is>
      </c>
      <c r="E64" s="264" t="n">
        <v>10.08</v>
      </c>
      <c r="F64" s="180" t="n">
        <v>1.9</v>
      </c>
      <c r="G64" s="26">
        <f>ROUND(E64*F64,2)</f>
        <v/>
      </c>
      <c r="H64" s="270">
        <f>G64/$G$76</f>
        <v/>
      </c>
      <c r="I64" s="26">
        <f>ROUND(F64*'Прил. 10'!$D$12,2)</f>
        <v/>
      </c>
      <c r="J64" s="26">
        <f>ROUND(I64*E64,2)</f>
        <v/>
      </c>
    </row>
    <row r="65" hidden="1" outlineLevel="1" ht="14.25" customFormat="1" customHeight="1" s="205">
      <c r="A65" s="264" t="n">
        <v>48</v>
      </c>
      <c r="B65" s="264" t="inlineStr">
        <is>
          <t>91.17.03-021</t>
        </is>
      </c>
      <c r="C65" s="146" t="inlineStr">
        <is>
          <t>Печи нагревательные</t>
        </is>
      </c>
      <c r="D65" s="264" t="inlineStr">
        <is>
          <t>маш.-ч.</t>
        </is>
      </c>
      <c r="E65" s="264" t="n">
        <v>0.42</v>
      </c>
      <c r="F65" s="180" t="n">
        <v>25.31</v>
      </c>
      <c r="G65" s="26">
        <f>ROUND(E65*F65,2)</f>
        <v/>
      </c>
      <c r="H65" s="270">
        <f>G65/$G$76</f>
        <v/>
      </c>
      <c r="I65" s="26">
        <f>ROUND(F65*'Прил. 10'!$D$12,2)</f>
        <v/>
      </c>
      <c r="J65" s="26">
        <f>ROUND(I65*E65,2)</f>
        <v/>
      </c>
    </row>
    <row r="66" hidden="1" outlineLevel="1" ht="25.5" customFormat="1" customHeight="1" s="205">
      <c r="A66" s="264" t="n">
        <v>49</v>
      </c>
      <c r="B66" s="264" t="inlineStr">
        <is>
          <t>91.14.05-011</t>
        </is>
      </c>
      <c r="C66" s="146" t="inlineStr">
        <is>
          <t>Полуприцепы общего назначения, грузоподъемность 12 т</t>
        </is>
      </c>
      <c r="D66" s="264" t="inlineStr">
        <is>
          <t>маш.-ч.</t>
        </is>
      </c>
      <c r="E66" s="264" t="n">
        <v>0.75</v>
      </c>
      <c r="F66" s="180" t="n">
        <v>12</v>
      </c>
      <c r="G66" s="26">
        <f>ROUND(E66*F66,2)</f>
        <v/>
      </c>
      <c r="H66" s="270">
        <f>G66/$G$76</f>
        <v/>
      </c>
      <c r="I66" s="26">
        <f>ROUND(F66*'Прил. 10'!$D$12,2)</f>
        <v/>
      </c>
      <c r="J66" s="26">
        <f>ROUND(I66*E66,2)</f>
        <v/>
      </c>
    </row>
    <row r="67" hidden="1" outlineLevel="1" ht="14.25" customFormat="1" customHeight="1" s="205">
      <c r="A67" s="264" t="n">
        <v>50</v>
      </c>
      <c r="B67" s="264" t="inlineStr">
        <is>
          <t>91.12.08-161</t>
        </is>
      </c>
      <c r="C67" s="146" t="inlineStr">
        <is>
          <t>Ямокопатели</t>
        </is>
      </c>
      <c r="D67" s="264" t="inlineStr">
        <is>
          <t>маш.-ч.</t>
        </is>
      </c>
      <c r="E67" s="264" t="n">
        <v>0.86</v>
      </c>
      <c r="F67" s="180" t="n">
        <v>6.51</v>
      </c>
      <c r="G67" s="26">
        <f>ROUND(E67*F67,2)</f>
        <v/>
      </c>
      <c r="H67" s="270">
        <f>G67/$G$76</f>
        <v/>
      </c>
      <c r="I67" s="26">
        <f>ROUND(F67*'Прил. 10'!$D$12,2)</f>
        <v/>
      </c>
      <c r="J67" s="26">
        <f>ROUND(I67*E67,2)</f>
        <v/>
      </c>
    </row>
    <row r="68" hidden="1" outlineLevel="1" ht="14.25" customFormat="1" customHeight="1" s="205">
      <c r="A68" s="264" t="n">
        <v>51</v>
      </c>
      <c r="B68" s="264" t="inlineStr">
        <is>
          <t>91.21.15-022</t>
        </is>
      </c>
      <c r="C68" s="146" t="inlineStr">
        <is>
          <t>Пилы ленточные с поворотной пилорамой</t>
        </is>
      </c>
      <c r="D68" s="264" t="inlineStr">
        <is>
          <t>маш.-ч.</t>
        </is>
      </c>
      <c r="E68" s="264" t="n">
        <v>0.53</v>
      </c>
      <c r="F68" s="180" t="n">
        <v>3.3</v>
      </c>
      <c r="G68" s="26">
        <f>ROUND(E68*F68,2)</f>
        <v/>
      </c>
      <c r="H68" s="270">
        <f>G68/$G$76</f>
        <v/>
      </c>
      <c r="I68" s="26">
        <f>ROUND(F68*'Прил. 10'!$D$12,2)</f>
        <v/>
      </c>
      <c r="J68" s="26">
        <f>ROUND(I68*E68,2)</f>
        <v/>
      </c>
    </row>
    <row r="69" hidden="1" outlineLevel="1" ht="25.5" customFormat="1" customHeight="1" s="205">
      <c r="A69" s="264" t="n">
        <v>52</v>
      </c>
      <c r="B69" s="264" t="inlineStr">
        <is>
          <t>91.14.02-002</t>
        </is>
      </c>
      <c r="C69" s="146" t="inlineStr">
        <is>
          <t>Автомобили бортовые, грузоподъемность до 8 т</t>
        </is>
      </c>
      <c r="D69" s="264" t="inlineStr">
        <is>
          <t>маш.-ч.</t>
        </is>
      </c>
      <c r="E69" s="264" t="n">
        <v>0.02</v>
      </c>
      <c r="F69" s="180" t="n">
        <v>86</v>
      </c>
      <c r="G69" s="26">
        <f>ROUND(E69*F69,2)</f>
        <v/>
      </c>
      <c r="H69" s="270">
        <f>G69/$G$76</f>
        <v/>
      </c>
      <c r="I69" s="26">
        <f>ROUND(F69*'Прил. 10'!$D$12,2)</f>
        <v/>
      </c>
      <c r="J69" s="26">
        <f>ROUND(I69*E69,2)</f>
        <v/>
      </c>
    </row>
    <row r="70" hidden="1" outlineLevel="1" ht="25.5" customFormat="1" customHeight="1" s="205">
      <c r="A70" s="264" t="n">
        <v>53</v>
      </c>
      <c r="B70" s="264" t="inlineStr">
        <is>
          <t>91.06.03-063</t>
        </is>
      </c>
      <c r="C70" s="146" t="inlineStr">
        <is>
          <t>Лебедки электрические тяговым усилием до 49,05 кН (5 т)</t>
        </is>
      </c>
      <c r="D70" s="264" t="inlineStr">
        <is>
          <t>маш.-ч.</t>
        </is>
      </c>
      <c r="E70" s="264" t="n">
        <v>0.02</v>
      </c>
      <c r="F70" s="180" t="n">
        <v>8</v>
      </c>
      <c r="G70" s="26">
        <f>ROUND(E70*F70,2)</f>
        <v/>
      </c>
      <c r="H70" s="270">
        <f>G70/$G$76</f>
        <v/>
      </c>
      <c r="I70" s="26">
        <f>ROUND(F70*'Прил. 10'!$D$12,2)</f>
        <v/>
      </c>
      <c r="J70" s="26">
        <f>ROUND(I70*E70,2)</f>
        <v/>
      </c>
    </row>
    <row r="71" hidden="1" outlineLevel="1" ht="25.5" customFormat="1" customHeight="1" s="205">
      <c r="A71" s="264" t="n">
        <v>54</v>
      </c>
      <c r="B71" s="264" t="inlineStr">
        <is>
          <t>91.06.03-060</t>
        </is>
      </c>
      <c r="C71" s="146" t="inlineStr">
        <is>
          <t>Лебедки электрические тяговым усилием до 5,79 кН (0,59 т)</t>
        </is>
      </c>
      <c r="D71" s="264" t="inlineStr">
        <is>
          <t>маш.-ч.</t>
        </is>
      </c>
      <c r="E71" s="264" t="n">
        <v>0.06</v>
      </c>
      <c r="F71" s="180" t="n">
        <v>1.67</v>
      </c>
      <c r="G71" s="26">
        <f>ROUND(E71*F71,2)</f>
        <v/>
      </c>
      <c r="H71" s="270">
        <f>G71/$G$76</f>
        <v/>
      </c>
      <c r="I71" s="26">
        <f>ROUND(F71*'Прил. 10'!$D$12,2)</f>
        <v/>
      </c>
      <c r="J71" s="26">
        <f>ROUND(I71*E71,2)</f>
        <v/>
      </c>
    </row>
    <row r="72" hidden="1" outlineLevel="1" ht="14.25" customFormat="1" customHeight="1" s="205">
      <c r="A72" s="264" t="n">
        <v>55</v>
      </c>
      <c r="B72" s="264" t="inlineStr">
        <is>
          <t>91.21.19-031</t>
        </is>
      </c>
      <c r="C72" s="146" t="inlineStr">
        <is>
          <t>Станки сверлильные</t>
        </is>
      </c>
      <c r="D72" s="264" t="inlineStr">
        <is>
          <t>маш.-ч.</t>
        </is>
      </c>
      <c r="E72" s="264" t="n">
        <v>0.04</v>
      </c>
      <c r="F72" s="180" t="n">
        <v>2.25</v>
      </c>
      <c r="G72" s="26">
        <f>ROUND(E72*F72,2)</f>
        <v/>
      </c>
      <c r="H72" s="270">
        <f>G72/$G$76</f>
        <v/>
      </c>
      <c r="I72" s="26">
        <f>ROUND(F72*'Прил. 10'!$D$12,2)</f>
        <v/>
      </c>
      <c r="J72" s="26">
        <f>ROUND(I72*E72,2)</f>
        <v/>
      </c>
    </row>
    <row r="73" hidden="1" outlineLevel="1" ht="14.25" customFormat="1" customHeight="1" s="205">
      <c r="A73" s="264" t="n">
        <v>56</v>
      </c>
      <c r="B73" s="264" t="inlineStr">
        <is>
          <t>91.21.07-011</t>
        </is>
      </c>
      <c r="C73" s="146" t="inlineStr">
        <is>
          <t>Машины мозаично-шлифовальные</t>
        </is>
      </c>
      <c r="D73" s="264" t="inlineStr">
        <is>
          <t>маш.-ч.</t>
        </is>
      </c>
      <c r="E73" s="264" t="n">
        <v>0.04</v>
      </c>
      <c r="F73" s="180" t="n">
        <v>1.5</v>
      </c>
      <c r="G73" s="26">
        <f>ROUND(E73*F73,2)</f>
        <v/>
      </c>
      <c r="H73" s="270">
        <f>G73/$G$76</f>
        <v/>
      </c>
      <c r="I73" s="26">
        <f>ROUND(F73*'Прил. 10'!$D$12,2)</f>
        <v/>
      </c>
      <c r="J73" s="26">
        <f>ROUND(I73*E73,2)</f>
        <v/>
      </c>
    </row>
    <row r="74" hidden="1" outlineLevel="1" ht="25.5" customFormat="1" customHeight="1" s="205">
      <c r="A74" s="264" t="n">
        <v>57</v>
      </c>
      <c r="B74" s="264" t="inlineStr">
        <is>
          <t>91.06.01-003</t>
        </is>
      </c>
      <c r="C74" s="146" t="inlineStr">
        <is>
          <t>Домкраты гидравлические, грузоподъемность 63-100 т</t>
        </is>
      </c>
      <c r="D74" s="264" t="inlineStr">
        <is>
          <t>маш.-ч.</t>
        </is>
      </c>
      <c r="E74" s="264" t="n">
        <v>0.02</v>
      </c>
      <c r="F74" s="180" t="n">
        <v>1</v>
      </c>
      <c r="G74" s="26">
        <f>ROUND(E74*F74,2)</f>
        <v/>
      </c>
      <c r="H74" s="270">
        <f>G74/$G$76</f>
        <v/>
      </c>
      <c r="I74" s="26">
        <f>ROUND(F74*'Прил. 10'!$D$12,2)</f>
        <v/>
      </c>
      <c r="J74" s="26">
        <f>ROUND(I74*E74,2)</f>
        <v/>
      </c>
    </row>
    <row r="75" collapsed="1" ht="14.25" customFormat="1" customHeight="1" s="205">
      <c r="A75" s="264" t="n"/>
      <c r="B75" s="264" t="n"/>
      <c r="C75" s="267" t="inlineStr">
        <is>
          <t>Итого прочие машины и механизмы</t>
        </is>
      </c>
      <c r="D75" s="264" t="n"/>
      <c r="E75" s="268" t="n"/>
      <c r="F75" s="26" t="n"/>
      <c r="G75" s="26">
        <f>SUM(G23:G74)</f>
        <v/>
      </c>
      <c r="H75" s="270">
        <f>G75/G76</f>
        <v/>
      </c>
      <c r="I75" s="26" t="n"/>
      <c r="J75" s="26">
        <f>SUM(J23:J74)</f>
        <v/>
      </c>
    </row>
    <row r="76" ht="25.5" customFormat="1" customHeight="1" s="205">
      <c r="A76" s="264" t="n"/>
      <c r="B76" s="266" t="n"/>
      <c r="C76" s="172" t="inlineStr">
        <is>
          <t>Итого по разделу «Машины и механизмы»</t>
        </is>
      </c>
      <c r="D76" s="266" t="n"/>
      <c r="E76" s="173" t="n"/>
      <c r="F76" s="127" t="n"/>
      <c r="G76" s="127">
        <f>G22+G75</f>
        <v/>
      </c>
      <c r="H76" s="120" t="n">
        <v>1</v>
      </c>
      <c r="I76" s="121" t="n"/>
      <c r="J76" s="127">
        <f>J22+J75</f>
        <v/>
      </c>
    </row>
    <row r="77" ht="14.25" customFormat="1" customHeight="1" s="205">
      <c r="A77" s="264" t="n"/>
      <c r="B77" s="257" t="inlineStr">
        <is>
          <t>Оборудование</t>
        </is>
      </c>
      <c r="C77" s="349" t="n"/>
      <c r="D77" s="349" t="n"/>
      <c r="E77" s="349" t="n"/>
      <c r="F77" s="349" t="n"/>
      <c r="G77" s="349" t="n"/>
      <c r="H77" s="350" t="n"/>
      <c r="I77" s="117" t="n"/>
      <c r="J77" s="117" t="n"/>
    </row>
    <row r="78">
      <c r="A78" s="264" t="n"/>
      <c r="B78" s="267" t="inlineStr">
        <is>
          <t>Основное оборудование</t>
        </is>
      </c>
      <c r="C78" s="349" t="n"/>
      <c r="D78" s="349" t="n"/>
      <c r="E78" s="349" t="n"/>
      <c r="F78" s="349" t="n"/>
      <c r="G78" s="349" t="n"/>
      <c r="H78" s="350" t="n"/>
      <c r="I78" s="117" t="n"/>
      <c r="J78" s="117" t="n"/>
    </row>
    <row r="79">
      <c r="A79" s="264" t="n"/>
      <c r="B79" s="264" t="n"/>
      <c r="C79" s="267" t="inlineStr">
        <is>
          <t>Итого основное оборудование</t>
        </is>
      </c>
      <c r="D79" s="264" t="n"/>
      <c r="E79" s="361" t="n"/>
      <c r="F79" s="269" t="n"/>
      <c r="G79" s="26" t="n">
        <v>0</v>
      </c>
      <c r="H79" s="271" t="n">
        <v>0</v>
      </c>
      <c r="I79" s="122" t="n"/>
      <c r="J79" s="26" t="n">
        <v>0</v>
      </c>
    </row>
    <row r="80">
      <c r="A80" s="264" t="n"/>
      <c r="B80" s="264" t="n"/>
      <c r="C80" s="267" t="inlineStr">
        <is>
          <t>Итого прочее оборудование</t>
        </is>
      </c>
      <c r="D80" s="264" t="n"/>
      <c r="E80" s="360" t="n"/>
      <c r="F80" s="269" t="n"/>
      <c r="G80" s="26" t="n">
        <v>0</v>
      </c>
      <c r="H80" s="270" t="n">
        <v>0</v>
      </c>
      <c r="I80" s="167" t="n"/>
      <c r="J80" s="166" t="n">
        <v>0</v>
      </c>
    </row>
    <row r="81">
      <c r="A81" s="264" t="n"/>
      <c r="B81" s="265" t="n"/>
      <c r="C81" s="163" t="inlineStr">
        <is>
          <t>Итого по разделу «Оборудование»</t>
        </is>
      </c>
      <c r="D81" s="265" t="n"/>
      <c r="E81" s="273" t="n"/>
      <c r="F81" s="274" t="n"/>
      <c r="G81" s="166">
        <f>G79</f>
        <v/>
      </c>
      <c r="H81" s="275" t="n">
        <v>0</v>
      </c>
      <c r="I81" s="167" t="n"/>
      <c r="J81" s="166">
        <f>J79</f>
        <v/>
      </c>
    </row>
    <row r="82" ht="25.5" customHeight="1" s="213">
      <c r="A82" s="264" t="n"/>
      <c r="B82" s="264" t="n"/>
      <c r="C82" s="267" t="inlineStr">
        <is>
          <t>в том числе технологическое оборудование</t>
        </is>
      </c>
      <c r="D82" s="264" t="n"/>
      <c r="E82" s="360" t="n"/>
      <c r="F82" s="269" t="n"/>
      <c r="G82" s="26">
        <f>'Прил.6 Расчет ОБ'!G12</f>
        <v/>
      </c>
      <c r="H82" s="270" t="n"/>
      <c r="I82" s="26" t="n"/>
      <c r="J82" s="26">
        <f>J81</f>
        <v/>
      </c>
    </row>
    <row r="83" ht="14.25" customFormat="1" customHeight="1" s="205">
      <c r="A83" s="264" t="n"/>
      <c r="B83" s="257" t="inlineStr">
        <is>
          <t>Материалы</t>
        </is>
      </c>
      <c r="C83" s="349" t="n"/>
      <c r="D83" s="349" t="n"/>
      <c r="E83" s="349" t="n"/>
      <c r="F83" s="349" t="n"/>
      <c r="G83" s="349" t="n"/>
      <c r="H83" s="350" t="n"/>
      <c r="I83" s="117" t="n"/>
      <c r="J83" s="117" t="n"/>
    </row>
    <row r="84" ht="14.25" customFormat="1" customHeight="1" s="205">
      <c r="A84" s="264" t="n"/>
      <c r="B84" s="267" t="inlineStr">
        <is>
          <t>Основные материалы</t>
        </is>
      </c>
      <c r="C84" s="349" t="n"/>
      <c r="D84" s="349" t="n"/>
      <c r="E84" s="349" t="n"/>
      <c r="F84" s="349" t="n"/>
      <c r="G84" s="349" t="n"/>
      <c r="H84" s="350" t="n"/>
      <c r="I84" s="117" t="n"/>
      <c r="J84" s="117" t="n"/>
    </row>
    <row r="85" ht="51" customFormat="1" customHeight="1" s="205">
      <c r="A85" s="264" t="n">
        <v>58</v>
      </c>
      <c r="B85" s="264" t="inlineStr">
        <is>
          <t>04.3.02.04-0132</t>
        </is>
      </c>
      <c r="C85" s="267" t="inlineStr">
        <is>
          <t>Смеси бетонные, БСГ, тяжелого бетона на гранитном щебне для инженерных коммуникаций и дорог, фракция: 20-40 мм, класс В15 (М200), П1, F100, W2</t>
        </is>
      </c>
      <c r="D85" s="264" t="inlineStr">
        <is>
          <t>м3</t>
        </is>
      </c>
      <c r="E85" s="264" t="n">
        <v>453.258</v>
      </c>
      <c r="F85" s="285" t="n">
        <v>674.95</v>
      </c>
      <c r="G85" s="26">
        <f>ROUND(E85*F85,2)</f>
        <v/>
      </c>
      <c r="H85" s="270">
        <f>G85/$G$142</f>
        <v/>
      </c>
      <c r="I85" s="362">
        <f>ROUND(F85*'Прил. 10'!$D$13,2)</f>
        <v/>
      </c>
      <c r="J85" s="362">
        <f>ROUND(I85*E85,2)</f>
        <v/>
      </c>
    </row>
    <row r="86" ht="25.5" customFormat="1" customHeight="1" s="205">
      <c r="A86" s="264" t="n">
        <v>59</v>
      </c>
      <c r="B86" s="264" t="inlineStr">
        <is>
          <t>05.2.04.04-1002</t>
        </is>
      </c>
      <c r="C86" s="267" t="inlineStr">
        <is>
          <t>Плиты бетонные тротуарные тактильные, толщина 80 мм</t>
        </is>
      </c>
      <c r="D86" s="264" t="inlineStr">
        <is>
          <t>м2</t>
        </is>
      </c>
      <c r="E86" s="264" t="n">
        <v>671</v>
      </c>
      <c r="F86" s="285" t="n">
        <v>357.64</v>
      </c>
      <c r="G86" s="26">
        <f>ROUND(E86*F86,2)</f>
        <v/>
      </c>
      <c r="H86" s="270">
        <f>G86/$G$142</f>
        <v/>
      </c>
      <c r="I86" s="362">
        <f>ROUND(F86*'Прил. 10'!$D$13,2)</f>
        <v/>
      </c>
      <c r="J86" s="362">
        <f>ROUND(I86*E86,2)</f>
        <v/>
      </c>
    </row>
    <row r="87" ht="14.25" customFormat="1" customHeight="1" s="205">
      <c r="A87" s="264" t="n">
        <v>60</v>
      </c>
      <c r="B87" s="264" t="inlineStr">
        <is>
          <t>16.2.01.01-0031</t>
        </is>
      </c>
      <c r="C87" s="267" t="inlineStr">
        <is>
          <t>Почво-грунт садовый</t>
        </is>
      </c>
      <c r="D87" s="264" t="inlineStr">
        <is>
          <t>м3</t>
        </is>
      </c>
      <c r="E87" s="264" t="n">
        <v>778</v>
      </c>
      <c r="F87" s="285" t="n">
        <v>241.11</v>
      </c>
      <c r="G87" s="26">
        <f>ROUND(E87*F87,2)</f>
        <v/>
      </c>
      <c r="H87" s="270">
        <f>G87/$G$142</f>
        <v/>
      </c>
      <c r="I87" s="362">
        <f>ROUND(F87*'Прил. 10'!$D$13,2)</f>
        <v/>
      </c>
      <c r="J87" s="362">
        <f>ROUND(I87*E87,2)</f>
        <v/>
      </c>
    </row>
    <row r="88" ht="25.5" customFormat="1" customHeight="1" s="205">
      <c r="A88" s="264" t="n">
        <v>61</v>
      </c>
      <c r="B88" s="264" t="inlineStr">
        <is>
          <t>15.2.02.06-0005</t>
        </is>
      </c>
      <c r="C88" s="267" t="inlineStr">
        <is>
          <t>Элемент ограждения (самостоящий) ЗП-4, размеры 1700x620x1700 мм</t>
        </is>
      </c>
      <c r="D88" s="264" t="inlineStr">
        <is>
          <t>шт</t>
        </is>
      </c>
      <c r="E88" s="264" t="n">
        <v>110</v>
      </c>
      <c r="F88" s="285" t="n">
        <v>1571.2</v>
      </c>
      <c r="G88" s="26">
        <f>ROUND(E88*F88,2)</f>
        <v/>
      </c>
      <c r="H88" s="270">
        <f>G88/$G$142</f>
        <v/>
      </c>
      <c r="I88" s="362">
        <f>ROUND(F88*'Прил. 10'!$D$13,2)</f>
        <v/>
      </c>
      <c r="J88" s="362">
        <f>ROUND(I88*E88,2)</f>
        <v/>
      </c>
    </row>
    <row r="89" ht="25.5" customFormat="1" customHeight="1" s="205">
      <c r="A89" s="264" t="n">
        <v>62</v>
      </c>
      <c r="B89" s="264" t="inlineStr">
        <is>
          <t>04.2.01.02-0005</t>
        </is>
      </c>
      <c r="C89" s="267" t="inlineStr">
        <is>
          <t>Смеси асфальтобетонные пористые крупнозернистые марка I</t>
        </is>
      </c>
      <c r="D89" s="264" t="inlineStr">
        <is>
          <t>т</t>
        </is>
      </c>
      <c r="E89" s="264" t="n">
        <v>375.033</v>
      </c>
      <c r="F89" s="285" t="n">
        <v>451.06</v>
      </c>
      <c r="G89" s="26">
        <f>ROUND(E89*F89,2)</f>
        <v/>
      </c>
      <c r="H89" s="270">
        <f>G89/$G$142</f>
        <v/>
      </c>
      <c r="I89" s="362">
        <f>ROUND(F89*'Прил. 10'!$D$13,2)</f>
        <v/>
      </c>
      <c r="J89" s="362">
        <f>ROUND(I89*E89,2)</f>
        <v/>
      </c>
    </row>
    <row r="90" ht="14.25" customFormat="1" customHeight="1" s="205">
      <c r="A90" s="264" t="n">
        <v>63</v>
      </c>
      <c r="B90" s="264" t="inlineStr">
        <is>
          <t>16.2.01.02-0001</t>
        </is>
      </c>
      <c r="C90" s="267" t="inlineStr">
        <is>
          <t>Земля растительная</t>
        </is>
      </c>
      <c r="D90" s="264" t="inlineStr">
        <is>
          <t>м3</t>
        </is>
      </c>
      <c r="E90" s="264" t="n">
        <v>789.38</v>
      </c>
      <c r="F90" s="285" t="n">
        <v>135.6</v>
      </c>
      <c r="G90" s="26">
        <f>ROUND(E90*F90,2)</f>
        <v/>
      </c>
      <c r="H90" s="270">
        <f>G90/$G$142</f>
        <v/>
      </c>
      <c r="I90" s="362">
        <f>ROUND(F90*'Прил. 10'!$D$13,2)</f>
        <v/>
      </c>
      <c r="J90" s="362">
        <f>ROUND(I90*E90,2)</f>
        <v/>
      </c>
    </row>
    <row r="91" ht="25.5" customFormat="1" customHeight="1" s="205">
      <c r="A91" s="264" t="n">
        <v>64</v>
      </c>
      <c r="B91" s="264" t="inlineStr">
        <is>
          <t>02.3.01.02-0033</t>
        </is>
      </c>
      <c r="C91" s="267" t="inlineStr">
        <is>
          <t>Песок природный обогащенный для строительных работ средний</t>
        </is>
      </c>
      <c r="D91" s="264" t="inlineStr">
        <is>
          <t>м3</t>
        </is>
      </c>
      <c r="E91" s="264" t="n">
        <v>1323.6855</v>
      </c>
      <c r="F91" s="285" t="n">
        <v>70.59999999999999</v>
      </c>
      <c r="G91" s="26">
        <f>ROUND(E91*F91,2)</f>
        <v/>
      </c>
      <c r="H91" s="270">
        <f>G91/$G$142</f>
        <v/>
      </c>
      <c r="I91" s="362">
        <f>ROUND(F91*'Прил. 10'!$D$13,2)</f>
        <v/>
      </c>
      <c r="J91" s="362">
        <f>ROUND(I91*E91,2)</f>
        <v/>
      </c>
    </row>
    <row r="92" ht="25.5" customFormat="1" customHeight="1" s="205">
      <c r="A92" s="264" t="n">
        <v>65</v>
      </c>
      <c r="B92" s="264" t="inlineStr">
        <is>
          <t>20.3.03.07-0111</t>
        </is>
      </c>
      <c r="C92" s="267" t="inlineStr">
        <is>
          <t>Светильник промышленный GM: C100-42-96-CG-65-L00-T (1 модуль)</t>
        </is>
      </c>
      <c r="D92" s="264" t="inlineStr">
        <is>
          <t>шт</t>
        </is>
      </c>
      <c r="E92" s="264" t="n">
        <v>30</v>
      </c>
      <c r="F92" s="285" t="n">
        <v>2347.02</v>
      </c>
      <c r="G92" s="26">
        <f>ROUND(E92*F92,2)</f>
        <v/>
      </c>
      <c r="H92" s="270">
        <f>G92/$G$142</f>
        <v/>
      </c>
      <c r="I92" s="362">
        <f>ROUND(F92*'Прил. 10'!$D$13,2)</f>
        <v/>
      </c>
      <c r="J92" s="362">
        <f>ROUND(I92*E92,2)</f>
        <v/>
      </c>
    </row>
    <row r="93" ht="25.5" customFormat="1" customHeight="1" s="205">
      <c r="A93" s="264" t="n">
        <v>66</v>
      </c>
      <c r="B93" s="264" t="inlineStr">
        <is>
          <t>07.4.03.06-0026</t>
        </is>
      </c>
      <c r="C93" s="267" t="inlineStr">
        <is>
          <t>Опора несиловая фланцевая граненая, марка: НФГ-8,0-02-ц (ТАНС.12.036.000)</t>
        </is>
      </c>
      <c r="D93" s="264" t="inlineStr">
        <is>
          <t>шт</t>
        </is>
      </c>
      <c r="E93" s="264" t="n">
        <v>15</v>
      </c>
      <c r="F93" s="285" t="n">
        <v>4029.68</v>
      </c>
      <c r="G93" s="26">
        <f>ROUND(E93*F93,2)</f>
        <v/>
      </c>
      <c r="H93" s="270">
        <f>G93/$G$142</f>
        <v/>
      </c>
      <c r="I93" s="362">
        <f>ROUND(F93*'Прил. 10'!$D$13,2)</f>
        <v/>
      </c>
      <c r="J93" s="362">
        <f>ROUND(I93*E93,2)</f>
        <v/>
      </c>
    </row>
    <row r="94" ht="25.5" customFormat="1" customHeight="1" s="205">
      <c r="A94" s="264" t="n">
        <v>67</v>
      </c>
      <c r="B94" s="264" t="inlineStr">
        <is>
          <t>02.2.05.04-1773</t>
        </is>
      </c>
      <c r="C94" s="267" t="inlineStr">
        <is>
          <t>Щебень М 600, фракция 20-40 мм, группа 3</t>
        </is>
      </c>
      <c r="D94" s="264" t="inlineStr">
        <is>
          <t>м3</t>
        </is>
      </c>
      <c r="E94" s="264" t="n">
        <v>435.825</v>
      </c>
      <c r="F94" s="285" t="n">
        <v>129.1</v>
      </c>
      <c r="G94" s="26">
        <f>ROUND(E94*F94,2)</f>
        <v/>
      </c>
      <c r="H94" s="270">
        <f>G94/$G$142</f>
        <v/>
      </c>
      <c r="I94" s="362">
        <f>ROUND(F94*'Прил. 10'!$D$13,2)</f>
        <v/>
      </c>
      <c r="J94" s="362">
        <f>ROUND(I94*E94,2)</f>
        <v/>
      </c>
    </row>
    <row r="95" ht="38.25" customFormat="1" customHeight="1" s="205">
      <c r="A95" s="264" t="n">
        <v>68</v>
      </c>
      <c r="B95" s="264" t="inlineStr">
        <is>
          <t>04.3.02.04-0155</t>
        </is>
      </c>
      <c r="C95" s="267" t="inlineStr">
        <is>
          <t>Смеси бетонные, БСГ, тяжелого бетона на гранитном щебне, фракция 5-20 мм, класс: В30 (М400), П3, F200, W8</t>
        </is>
      </c>
      <c r="D95" s="264" t="inlineStr">
        <is>
          <t>м3</t>
        </is>
      </c>
      <c r="E95" s="264" t="n">
        <v>70.41200000000001</v>
      </c>
      <c r="F95" s="285" t="n">
        <v>787.34</v>
      </c>
      <c r="G95" s="26">
        <f>ROUND(E95*F95,2)</f>
        <v/>
      </c>
      <c r="H95" s="270">
        <f>G95/$G$142</f>
        <v/>
      </c>
      <c r="I95" s="362">
        <f>ROUND(F95*'Прил. 10'!$D$13,2)</f>
        <v/>
      </c>
      <c r="J95" s="362">
        <f>ROUND(I95*E95,2)</f>
        <v/>
      </c>
    </row>
    <row r="96" ht="38.25" customFormat="1" customHeight="1" s="205">
      <c r="A96" s="264" t="n">
        <v>69</v>
      </c>
      <c r="B96" s="264" t="inlineStr">
        <is>
          <t>01.7.12.10-1026</t>
        </is>
      </c>
      <c r="C96" s="267" t="inlineStr">
        <is>
          <t>Геосетка полиэфирная с битумной пропиткой, прочность при растяжении 50/50 кН/м</t>
        </is>
      </c>
      <c r="D96" s="264" t="inlineStr">
        <is>
          <t>м2</t>
        </is>
      </c>
      <c r="E96" s="193" t="n">
        <v>1950</v>
      </c>
      <c r="F96" s="285" t="n">
        <v>26.73</v>
      </c>
      <c r="G96" s="26">
        <f>ROUND(E96*F96,2)</f>
        <v/>
      </c>
      <c r="H96" s="270">
        <f>G96/$G$142</f>
        <v/>
      </c>
      <c r="I96" s="362">
        <f>ROUND(F96*'Прил. 10'!$D$13,2)</f>
        <v/>
      </c>
      <c r="J96" s="362">
        <f>ROUND(I96*E96,2)</f>
        <v/>
      </c>
    </row>
    <row r="97" ht="25.5" customFormat="1" customHeight="1" s="205">
      <c r="A97" s="264" t="n">
        <v>70</v>
      </c>
      <c r="B97" s="264" t="inlineStr">
        <is>
          <t>05.2.03.03-0032</t>
        </is>
      </c>
      <c r="C97" s="267" t="inlineStr">
        <is>
          <t>Камни бортовые БР 100.30.15, бетон В30 (М400), объем 0,043 м3</t>
        </is>
      </c>
      <c r="D97" s="264" t="inlineStr">
        <is>
          <t>шт</t>
        </is>
      </c>
      <c r="E97" s="264" t="n">
        <v>815.441861</v>
      </c>
      <c r="F97" s="285" t="n">
        <v>63.12</v>
      </c>
      <c r="G97" s="26">
        <f>ROUND(E97*F97,2)</f>
        <v/>
      </c>
      <c r="H97" s="270">
        <f>G97/$G$142</f>
        <v/>
      </c>
      <c r="I97" s="362">
        <f>ROUND(F97*'Прил. 10'!$D$13,2)</f>
        <v/>
      </c>
      <c r="J97" s="362">
        <f>ROUND(I97*E97,2)</f>
        <v/>
      </c>
    </row>
    <row r="98" ht="14.25" customFormat="1" customHeight="1" s="205">
      <c r="A98" s="264" t="n">
        <v>71</v>
      </c>
      <c r="B98" s="264" t="inlineStr">
        <is>
          <t>01.7.12.01-0001</t>
        </is>
      </c>
      <c r="C98" s="267" t="inlineStr">
        <is>
          <t>Армогеокомпозит АРМДОР К-50</t>
        </is>
      </c>
      <c r="D98" s="264" t="inlineStr">
        <is>
          <t>м2</t>
        </is>
      </c>
      <c r="E98" s="193" t="n">
        <v>2235</v>
      </c>
      <c r="F98" s="285" t="n">
        <v>20.96</v>
      </c>
      <c r="G98" s="26">
        <f>ROUND(E98*F98,2)</f>
        <v/>
      </c>
      <c r="H98" s="270">
        <f>G98/$G$142</f>
        <v/>
      </c>
      <c r="I98" s="362">
        <f>ROUND(F98*'Прил. 10'!$D$13,2)</f>
        <v/>
      </c>
      <c r="J98" s="362">
        <f>ROUND(I98*E98,2)</f>
        <v/>
      </c>
    </row>
    <row r="99" ht="38.25" customFormat="1" customHeight="1" s="205">
      <c r="A99" s="264" t="n">
        <v>72</v>
      </c>
      <c r="B99" s="264" t="inlineStr">
        <is>
          <t>04.3.02.04-0148</t>
        </is>
      </c>
      <c r="C99" s="267" t="inlineStr">
        <is>
          <t>Смеси бетонные, БСГ, тяжелого бетона на гранитном щебне, фракция 5-20 мм, класс: В15 (М200), П3, F50-100, W0-2</t>
        </is>
      </c>
      <c r="D99" s="264" t="inlineStr">
        <is>
          <t>м3</t>
        </is>
      </c>
      <c r="E99" s="264" t="n">
        <v>63.14</v>
      </c>
      <c r="F99" s="285" t="n">
        <v>704.89</v>
      </c>
      <c r="G99" s="26">
        <f>ROUND(E99*F99,2)</f>
        <v/>
      </c>
      <c r="H99" s="270">
        <f>G99/$G$142</f>
        <v/>
      </c>
      <c r="I99" s="362">
        <f>ROUND(F99*'Прил. 10'!$D$13,2)</f>
        <v/>
      </c>
      <c r="J99" s="362">
        <f>ROUND(I99*E99,2)</f>
        <v/>
      </c>
    </row>
    <row r="100" ht="14.25" customFormat="1" customHeight="1" s="205">
      <c r="A100" s="264" t="n"/>
      <c r="B100" s="160" t="n"/>
      <c r="C100" s="267" t="inlineStr">
        <is>
          <t>Итого основные материалы</t>
        </is>
      </c>
      <c r="D100" s="264" t="n"/>
      <c r="E100" s="268" t="n"/>
      <c r="F100" s="268" t="n"/>
      <c r="G100" s="26">
        <f>SUM(G85:G99)</f>
        <v/>
      </c>
      <c r="H100" s="270">
        <f>G100/$G$142</f>
        <v/>
      </c>
      <c r="I100" s="363" t="n"/>
      <c r="J100" s="356">
        <f>SUM(J85:J99)</f>
        <v/>
      </c>
    </row>
    <row r="101" hidden="1" outlineLevel="1" ht="63.75" customFormat="1" customHeight="1" s="205">
      <c r="A101" s="264" t="n">
        <v>73</v>
      </c>
      <c r="B101" s="264" t="inlineStr">
        <is>
          <t>01.7.12.07-0162</t>
        </is>
      </c>
      <c r="C101" s="267" t="inlineStr">
        <is>
          <t>Георешетка плоская двуосноорентированная (полипропилен) марки Апролат СД-30, ширина полотна до 4 м, предел прочности вдоль и поперек не менее 30 кН/м</t>
        </is>
      </c>
      <c r="D101" s="264" t="inlineStr">
        <is>
          <t>м2</t>
        </is>
      </c>
      <c r="E101" s="193" t="n">
        <v>2235</v>
      </c>
      <c r="F101" s="269" t="n">
        <v>14.47</v>
      </c>
      <c r="G101" s="26">
        <f>ROUND(E101*F101,2)</f>
        <v/>
      </c>
      <c r="H101" s="270">
        <f>G101/$G$142</f>
        <v/>
      </c>
      <c r="I101" s="362">
        <f>ROUND(F101*'Прил. 10'!$D$13,2)</f>
        <v/>
      </c>
      <c r="J101" s="362">
        <f>ROUND(I101*E101,2)</f>
        <v/>
      </c>
    </row>
    <row r="102" hidden="1" outlineLevel="1" ht="25.5" customFormat="1" customHeight="1" s="205">
      <c r="A102" s="264" t="n">
        <v>74</v>
      </c>
      <c r="B102" s="264" t="inlineStr">
        <is>
          <t>02.2.05.04-1802</t>
        </is>
      </c>
      <c r="C102" s="267" t="inlineStr">
        <is>
          <t>Щебень М 300, фракция 40-80(70) мм, группа 2</t>
        </is>
      </c>
      <c r="D102" s="264" t="inlineStr">
        <is>
          <t>м3</t>
        </is>
      </c>
      <c r="E102" s="268" t="n">
        <v>237.8</v>
      </c>
      <c r="F102" s="269" t="n">
        <v>128.51</v>
      </c>
      <c r="G102" s="26">
        <f>ROUND(E102*F102,2)</f>
        <v/>
      </c>
      <c r="H102" s="270">
        <f>G102/$G$142</f>
        <v/>
      </c>
      <c r="I102" s="362">
        <f>ROUND(F102*'Прил. 10'!$D$13,2)</f>
        <v/>
      </c>
      <c r="J102" s="362">
        <f>ROUND(I102*E102,2)</f>
        <v/>
      </c>
    </row>
    <row r="103" hidden="1" outlineLevel="1" ht="25.5" customFormat="1" customHeight="1" s="205">
      <c r="A103" s="264" t="n">
        <v>75</v>
      </c>
      <c r="B103" s="264" t="inlineStr">
        <is>
          <t>03.2.02.06-0001</t>
        </is>
      </c>
      <c r="C103" s="267" t="inlineStr">
        <is>
          <t>Цемент общестроительный, портландцемент напрягающий, марка 400</t>
        </is>
      </c>
      <c r="D103" s="264" t="inlineStr">
        <is>
          <t>т</t>
        </is>
      </c>
      <c r="E103" s="268" t="n">
        <v>47.9094</v>
      </c>
      <c r="F103" s="269" t="n">
        <v>600</v>
      </c>
      <c r="G103" s="26">
        <f>ROUND(E103*F103,2)</f>
        <v/>
      </c>
      <c r="H103" s="270">
        <f>G103/$G$142</f>
        <v/>
      </c>
      <c r="I103" s="362">
        <f>ROUND(F103*'Прил. 10'!$D$13,2)</f>
        <v/>
      </c>
      <c r="J103" s="362">
        <f>ROUND(I103*E103,2)</f>
        <v/>
      </c>
    </row>
    <row r="104" hidden="1" outlineLevel="1" ht="38.25" customFormat="1" customHeight="1" s="205">
      <c r="A104" s="264" t="n">
        <v>76</v>
      </c>
      <c r="B104" s="264" t="inlineStr">
        <is>
          <t>04.3.02.13-0108</t>
        </is>
      </c>
      <c r="C104" s="267" t="inlineStr">
        <is>
          <t>Смеси сухие монтажно-кладочные цементно-песчаные, В7,5 (М100), F50, крупность заполнителя не более 3,5 мм</t>
        </is>
      </c>
      <c r="D104" s="264" t="inlineStr">
        <is>
          <t>т</t>
        </is>
      </c>
      <c r="E104" s="268" t="n">
        <v>47.9094</v>
      </c>
      <c r="F104" s="269" t="n">
        <v>597.33</v>
      </c>
      <c r="G104" s="26">
        <f>ROUND(E104*F104,2)</f>
        <v/>
      </c>
      <c r="H104" s="270">
        <f>G104/$G$142</f>
        <v/>
      </c>
      <c r="I104" s="362">
        <f>ROUND(F104*'Прил. 10'!$D$13,2)</f>
        <v/>
      </c>
      <c r="J104" s="362">
        <f>ROUND(I104*E104,2)</f>
        <v/>
      </c>
    </row>
    <row r="105" hidden="1" outlineLevel="1" ht="38.25" customFormat="1" customHeight="1" s="205">
      <c r="A105" s="264" t="n">
        <v>77</v>
      </c>
      <c r="B105" s="264" t="inlineStr">
        <is>
          <t>23.3.08.01-0064</t>
        </is>
      </c>
      <c r="C105" s="267" t="inlineStr">
        <is>
          <t>Трубы стальные электросварные квадратного сечения, размер стороны 80 мм, толщина стенки 3-6 мм</t>
        </is>
      </c>
      <c r="D105" s="264" t="inlineStr">
        <is>
          <t>т</t>
        </is>
      </c>
      <c r="E105" s="268" t="n">
        <v>2.55</v>
      </c>
      <c r="F105" s="269" t="n">
        <v>7961.12</v>
      </c>
      <c r="G105" s="26">
        <f>ROUND(E105*F105,2)</f>
        <v/>
      </c>
      <c r="H105" s="270">
        <f>G105/$G$142</f>
        <v/>
      </c>
      <c r="I105" s="362">
        <f>ROUND(F105*'Прил. 10'!$D$13,2)</f>
        <v/>
      </c>
      <c r="J105" s="362">
        <f>ROUND(I105*E105,2)</f>
        <v/>
      </c>
    </row>
    <row r="106" hidden="1" outlineLevel="1" ht="51" customFormat="1" customHeight="1" s="205">
      <c r="A106" s="264" t="n">
        <v>78</v>
      </c>
      <c r="B106" s="264" t="inlineStr">
        <is>
          <t>04.2.03.01-0064</t>
        </is>
      </c>
      <c r="C106" s="267" t="inlineStr">
        <is>
          <t>Смеси асфальтобетонные дорожные горячие мелкозернистые, щебеночно-мастичные, вид ЩМА-15, с модифицирующей добавкой</t>
        </is>
      </c>
      <c r="D106" s="264" t="inlineStr">
        <is>
          <t>т</t>
        </is>
      </c>
      <c r="E106" s="268" t="n">
        <v>37.5033</v>
      </c>
      <c r="F106" s="269" t="n">
        <v>459.91</v>
      </c>
      <c r="G106" s="26">
        <f>ROUND(E106*F106,2)</f>
        <v/>
      </c>
      <c r="H106" s="270">
        <f>G106/$G$142</f>
        <v/>
      </c>
      <c r="I106" s="362">
        <f>ROUND(F106*'Прил. 10'!$D$13,2)</f>
        <v/>
      </c>
      <c r="J106" s="362">
        <f>ROUND(I106*E106,2)</f>
        <v/>
      </c>
    </row>
    <row r="107" hidden="1" outlineLevel="1" ht="14.25" customFormat="1" customHeight="1" s="205">
      <c r="A107" s="264" t="n">
        <v>79</v>
      </c>
      <c r="B107" s="264" t="inlineStr">
        <is>
          <t>16.2.02.03-0004</t>
        </is>
      </c>
      <c r="C107" s="267" t="inlineStr">
        <is>
          <t>Ель колючая, высота 1,0-1,5 м</t>
        </is>
      </c>
      <c r="D107" s="264" t="inlineStr">
        <is>
          <t>шт</t>
        </is>
      </c>
      <c r="E107" s="264" t="n">
        <v>22</v>
      </c>
      <c r="F107" s="269" t="n">
        <v>715.05</v>
      </c>
      <c r="G107" s="26">
        <f>ROUND(E107*F107,2)</f>
        <v/>
      </c>
      <c r="H107" s="270">
        <f>G107/$G$142</f>
        <v/>
      </c>
      <c r="I107" s="362">
        <f>ROUND(F107*'Прил. 10'!$D$13,2)</f>
        <v/>
      </c>
      <c r="J107" s="362">
        <f>ROUND(I107*E107,2)</f>
        <v/>
      </c>
    </row>
    <row r="108" hidden="1" outlineLevel="1" ht="38.25" customFormat="1" customHeight="1" s="205">
      <c r="A108" s="264" t="n">
        <v>80</v>
      </c>
      <c r="B108" s="264" t="inlineStr">
        <is>
          <t>08.4.03.03-0031</t>
        </is>
      </c>
      <c r="C108" s="267" t="inlineStr">
        <is>
          <t>Сталь арматурная, горячекатаная, периодического профиля, класс А-III, диаметр 10 мм</t>
        </is>
      </c>
      <c r="D108" s="264" t="inlineStr">
        <is>
          <t>т</t>
        </is>
      </c>
      <c r="E108" s="268" t="n">
        <v>1.77</v>
      </c>
      <c r="F108" s="269" t="n">
        <v>8014.15</v>
      </c>
      <c r="G108" s="26">
        <f>ROUND(E108*F108,2)</f>
        <v/>
      </c>
      <c r="H108" s="270">
        <f>G108/$G$142</f>
        <v/>
      </c>
      <c r="I108" s="362">
        <f>ROUND(F108*'Прил. 10'!$D$13,2)</f>
        <v/>
      </c>
      <c r="J108" s="362">
        <f>ROUND(I108*E108,2)</f>
        <v/>
      </c>
    </row>
    <row r="109" hidden="1" outlineLevel="1" ht="25.5" customFormat="1" customHeight="1" s="205">
      <c r="A109" s="264" t="n">
        <v>81</v>
      </c>
      <c r="B109" s="264" t="inlineStr">
        <is>
          <t>07.2.02.01-0022</t>
        </is>
      </c>
      <c r="C109" s="267" t="inlineStr">
        <is>
          <t>Деталь закладная: фундамента ЗФ-20/4/К180-1,5-б (ТАНС.31.068.000)</t>
        </is>
      </c>
      <c r="D109" s="264" t="inlineStr">
        <is>
          <t>шт</t>
        </is>
      </c>
      <c r="E109" s="264" t="n">
        <v>15</v>
      </c>
      <c r="F109" s="269" t="n">
        <v>891.6799999999999</v>
      </c>
      <c r="G109" s="26">
        <f>ROUND(E109*F109,2)</f>
        <v/>
      </c>
      <c r="H109" s="270">
        <f>G109/$G$142</f>
        <v/>
      </c>
      <c r="I109" s="362">
        <f>ROUND(F109*'Прил. 10'!$D$13,2)</f>
        <v/>
      </c>
      <c r="J109" s="362">
        <f>ROUND(I109*E109,2)</f>
        <v/>
      </c>
    </row>
    <row r="110" hidden="1" outlineLevel="1" ht="38.25" customFormat="1" customHeight="1" s="205">
      <c r="A110" s="264" t="n">
        <v>82</v>
      </c>
      <c r="B110" s="264" t="inlineStr">
        <is>
          <t>08.4.03.03-0033</t>
        </is>
      </c>
      <c r="C110" s="267" t="inlineStr">
        <is>
          <t>Сталь арматурная, горячекатаная, периодического профиля, класс А-III, диаметр 14 мм</t>
        </is>
      </c>
      <c r="D110" s="264" t="inlineStr">
        <is>
          <t>т</t>
        </is>
      </c>
      <c r="E110" s="268" t="n">
        <v>1.55</v>
      </c>
      <c r="F110" s="269" t="n">
        <v>7997.23</v>
      </c>
      <c r="G110" s="26">
        <f>ROUND(E110*F110,2)</f>
        <v/>
      </c>
      <c r="H110" s="270">
        <f>G110/$G$142</f>
        <v/>
      </c>
      <c r="I110" s="362">
        <f>ROUND(F110*'Прил. 10'!$D$13,2)</f>
        <v/>
      </c>
      <c r="J110" s="362">
        <f>ROUND(I110*E110,2)</f>
        <v/>
      </c>
    </row>
    <row r="111" hidden="1" outlineLevel="1" ht="14.25" customFormat="1" customHeight="1" s="205">
      <c r="A111" s="264" t="n">
        <v>83</v>
      </c>
      <c r="B111" s="264" t="inlineStr">
        <is>
          <t>01.7.15.07-0001</t>
        </is>
      </c>
      <c r="C111" s="267" t="inlineStr">
        <is>
          <t>Дюбели</t>
        </is>
      </c>
      <c r="D111" s="264" t="inlineStr">
        <is>
          <t>т</t>
        </is>
      </c>
      <c r="E111" s="268" t="n">
        <v>0.4356</v>
      </c>
      <c r="F111" s="269" t="n">
        <v>22557.99</v>
      </c>
      <c r="G111" s="26">
        <f>ROUND(E111*F111,2)</f>
        <v/>
      </c>
      <c r="H111" s="270">
        <f>G111/$G$142</f>
        <v/>
      </c>
      <c r="I111" s="362">
        <f>ROUND(F111*'Прил. 10'!$D$13,2)</f>
        <v/>
      </c>
      <c r="J111" s="362">
        <f>ROUND(I111*E111,2)</f>
        <v/>
      </c>
    </row>
    <row r="112" hidden="1" outlineLevel="1" ht="25.5" customFormat="1" customHeight="1" s="205">
      <c r="A112" s="264" t="n">
        <v>84</v>
      </c>
      <c r="B112" s="264" t="inlineStr">
        <is>
          <t>08.1.06.01-0015</t>
        </is>
      </c>
      <c r="C112" s="267" t="inlineStr">
        <is>
          <t>Ворота распашные складчатые РСВ 4,8x5,4</t>
        </is>
      </c>
      <c r="D112" s="264" t="inlineStr">
        <is>
          <t>шт</t>
        </is>
      </c>
      <c r="E112" s="268" t="n">
        <v>0.42</v>
      </c>
      <c r="F112" s="269" t="n">
        <v>18513.9</v>
      </c>
      <c r="G112" s="26">
        <f>ROUND(E112*F112,2)</f>
        <v/>
      </c>
      <c r="H112" s="270">
        <f>G112/$G$142</f>
        <v/>
      </c>
      <c r="I112" s="362">
        <f>ROUND(F112*'Прил. 10'!$D$13,2)</f>
        <v/>
      </c>
      <c r="J112" s="362">
        <f>ROUND(I112*E112,2)</f>
        <v/>
      </c>
    </row>
    <row r="113" hidden="1" outlineLevel="1" ht="38.25" customFormat="1" customHeight="1" s="205">
      <c r="A113" s="264" t="n">
        <v>85</v>
      </c>
      <c r="B113" s="264" t="inlineStr">
        <is>
          <t>07.2.02.02-0063</t>
        </is>
      </c>
      <c r="C113" s="267" t="inlineStr">
        <is>
          <t>Кронштейн для консольных и подвесных светильников, серия 1 (Стандарт), марка: 1.К1-1,0-1,0-Ф1-ц (ТАНС.41.383.000)</t>
        </is>
      </c>
      <c r="D113" s="264" t="inlineStr">
        <is>
          <t>шт</t>
        </is>
      </c>
      <c r="E113" s="264" t="n">
        <v>15</v>
      </c>
      <c r="F113" s="269" t="n">
        <v>447.31</v>
      </c>
      <c r="G113" s="26">
        <f>ROUND(E113*F113,2)</f>
        <v/>
      </c>
      <c r="H113" s="270">
        <f>G113/$G$142</f>
        <v/>
      </c>
      <c r="I113" s="362">
        <f>ROUND(F113*'Прил. 10'!$D$13,2)</f>
        <v/>
      </c>
      <c r="J113" s="362">
        <f>ROUND(I113*E113,2)</f>
        <v/>
      </c>
    </row>
    <row r="114" hidden="1" outlineLevel="1" ht="14.25" customFormat="1" customHeight="1" s="205">
      <c r="A114" s="264" t="n">
        <v>86</v>
      </c>
      <c r="B114" s="264" t="inlineStr">
        <is>
          <t>16.2.02.07-0131</t>
        </is>
      </c>
      <c r="C114" s="267" t="inlineStr">
        <is>
          <t>Семена трав: овсяница</t>
        </is>
      </c>
      <c r="D114" s="264" t="inlineStr">
        <is>
          <t>кг</t>
        </is>
      </c>
      <c r="E114" s="268" t="n">
        <v>58.3</v>
      </c>
      <c r="F114" s="269" t="n">
        <v>77.59</v>
      </c>
      <c r="G114" s="26">
        <f>ROUND(E114*F114,2)</f>
        <v/>
      </c>
      <c r="H114" s="270">
        <f>G114/$G$142</f>
        <v/>
      </c>
      <c r="I114" s="362">
        <f>ROUND(F114*'Прил. 10'!$D$13,2)</f>
        <v/>
      </c>
      <c r="J114" s="362">
        <f>ROUND(I114*E114,2)</f>
        <v/>
      </c>
    </row>
    <row r="115" hidden="1" outlineLevel="1" ht="14.25" customFormat="1" customHeight="1" s="205">
      <c r="A115" s="264" t="n">
        <v>87</v>
      </c>
      <c r="B115" s="264" t="inlineStr">
        <is>
          <t>16.2.02.07-0121</t>
        </is>
      </c>
      <c r="C115" s="267" t="inlineStr">
        <is>
          <t>Семена трав: мятлик</t>
        </is>
      </c>
      <c r="D115" s="264" t="inlineStr">
        <is>
          <t>кг</t>
        </is>
      </c>
      <c r="E115" s="268" t="n">
        <v>29.15</v>
      </c>
      <c r="F115" s="269" t="n">
        <v>152.84</v>
      </c>
      <c r="G115" s="26">
        <f>ROUND(E115*F115,2)</f>
        <v/>
      </c>
      <c r="H115" s="270">
        <f>G115/$G$142</f>
        <v/>
      </c>
      <c r="I115" s="362">
        <f>ROUND(F115*'Прил. 10'!$D$13,2)</f>
        <v/>
      </c>
      <c r="J115" s="362">
        <f>ROUND(I115*E115,2)</f>
        <v/>
      </c>
    </row>
    <row r="116" hidden="1" outlineLevel="1" ht="38.25" customFormat="1" customHeight="1" s="205">
      <c r="A116" s="264" t="n">
        <v>88</v>
      </c>
      <c r="B116" s="264" t="inlineStr">
        <is>
          <t>08.4.03.03-0030</t>
        </is>
      </c>
      <c r="C116" s="267" t="inlineStr">
        <is>
          <t>Сталь арматурная, горячекатаная, периодического профиля, класс А-III, диаметр 8 мм</t>
        </is>
      </c>
      <c r="D116" s="264" t="inlineStr">
        <is>
          <t>т</t>
        </is>
      </c>
      <c r="E116" s="268" t="n">
        <v>0.35</v>
      </c>
      <c r="F116" s="269" t="n">
        <v>8102.63</v>
      </c>
      <c r="G116" s="26">
        <f>ROUND(E116*F116,2)</f>
        <v/>
      </c>
      <c r="H116" s="270">
        <f>G116/$G$142</f>
        <v/>
      </c>
      <c r="I116" s="362">
        <f>ROUND(F116*'Прил. 10'!$D$13,2)</f>
        <v/>
      </c>
      <c r="J116" s="362">
        <f>ROUND(I116*E116,2)</f>
        <v/>
      </c>
    </row>
    <row r="117" hidden="1" outlineLevel="1" ht="14.25" customFormat="1" customHeight="1" s="205">
      <c r="A117" s="264" t="n">
        <v>89</v>
      </c>
      <c r="B117" s="264" t="inlineStr">
        <is>
          <t>01.7.03.01-0001</t>
        </is>
      </c>
      <c r="C117" s="267" t="inlineStr">
        <is>
          <t>Вода</t>
        </is>
      </c>
      <c r="D117" s="264" t="inlineStr">
        <is>
          <t>м3</t>
        </is>
      </c>
      <c r="E117" s="268" t="n">
        <v>974.5131</v>
      </c>
      <c r="F117" s="269" t="n">
        <v>2.44</v>
      </c>
      <c r="G117" s="26">
        <f>ROUND(E117*F117,2)</f>
        <v/>
      </c>
      <c r="H117" s="270">
        <f>G117/$G$142</f>
        <v/>
      </c>
      <c r="I117" s="362">
        <f>ROUND(F117*'Прил. 10'!$D$13,2)</f>
        <v/>
      </c>
      <c r="J117" s="362">
        <f>ROUND(I117*E117,2)</f>
        <v/>
      </c>
    </row>
    <row r="118" hidden="1" outlineLevel="1" ht="51" customFormat="1" customHeight="1" s="205">
      <c r="A118" s="264" t="n">
        <v>90</v>
      </c>
      <c r="B118" s="264" t="inlineStr">
        <is>
          <t>11.2.13.04-0002</t>
        </is>
      </c>
      <c r="C118" s="267" t="inlineStr">
        <is>
          <t>Щиты деревянные для фундаментов, колонн, балок, перекрытий, стен, перегородок и других конструкций из досок, толщина 40 мм</t>
        </is>
      </c>
      <c r="D118" s="264" t="inlineStr">
        <is>
          <t>м2</t>
        </is>
      </c>
      <c r="E118" s="268" t="n">
        <v>24.253</v>
      </c>
      <c r="F118" s="269" t="n">
        <v>90.15000000000001</v>
      </c>
      <c r="G118" s="26">
        <f>ROUND(E118*F118,2)</f>
        <v/>
      </c>
      <c r="H118" s="270">
        <f>G118/$G$142</f>
        <v/>
      </c>
      <c r="I118" s="362">
        <f>ROUND(F118*'Прил. 10'!$D$13,2)</f>
        <v/>
      </c>
      <c r="J118" s="362">
        <f>ROUND(I118*E118,2)</f>
        <v/>
      </c>
    </row>
    <row r="119" hidden="1" outlineLevel="1" ht="25.5" customFormat="1" customHeight="1" s="205">
      <c r="A119" s="264" t="n">
        <v>91</v>
      </c>
      <c r="B119" s="264" t="inlineStr">
        <is>
          <t>999-9950</t>
        </is>
      </c>
      <c r="C119" s="267" t="inlineStr">
        <is>
          <t>Вспомогательные ненормируемые материальные ресурсы</t>
        </is>
      </c>
      <c r="D119" s="264" t="inlineStr">
        <is>
          <t>руб</t>
        </is>
      </c>
      <c r="E119" s="268" t="n">
        <v>1928.5298</v>
      </c>
      <c r="F119" s="269" t="n">
        <v>1</v>
      </c>
      <c r="G119" s="26">
        <f>ROUND(E119*F119,2)</f>
        <v/>
      </c>
      <c r="H119" s="270">
        <f>G119/$G$142</f>
        <v/>
      </c>
      <c r="I119" s="362">
        <f>ROUND(F119*'Прил. 10'!$D$13,2)</f>
        <v/>
      </c>
      <c r="J119" s="362">
        <f>ROUND(I119*E119,2)</f>
        <v/>
      </c>
    </row>
    <row r="120" hidden="1" outlineLevel="1" ht="51" customFormat="1" customHeight="1" s="205">
      <c r="A120" s="264" t="n">
        <v>92</v>
      </c>
      <c r="B120" s="264" t="inlineStr">
        <is>
          <t>11.2.13.04-0001</t>
        </is>
      </c>
      <c r="C120" s="267" t="inlineStr">
        <is>
          <t>Щиты деревянные для фундаментов, колонн, балок, перекрытий, стен, перегородок и других конструкций из досок толщиной 25 мм</t>
        </is>
      </c>
      <c r="D120" s="264" t="inlineStr">
        <is>
          <t>м2</t>
        </is>
      </c>
      <c r="E120" s="268" t="n">
        <v>31.273</v>
      </c>
      <c r="F120" s="269" t="n">
        <v>60.91</v>
      </c>
      <c r="G120" s="26">
        <f>ROUND(E120*F120,2)</f>
        <v/>
      </c>
      <c r="H120" s="270">
        <f>G120/$G$142</f>
        <v/>
      </c>
      <c r="I120" s="362">
        <f>ROUND(F120*'Прил. 10'!$D$13,2)</f>
        <v/>
      </c>
      <c r="J120" s="362">
        <f>ROUND(I120*E120,2)</f>
        <v/>
      </c>
    </row>
    <row r="121" hidden="1" outlineLevel="1" ht="14.25" customFormat="1" customHeight="1" s="205">
      <c r="A121" s="264" t="n">
        <v>93</v>
      </c>
      <c r="B121" s="264" t="inlineStr">
        <is>
          <t>16.2.02.07-0181</t>
        </is>
      </c>
      <c r="C121" s="267" t="inlineStr">
        <is>
          <t>Семена трав: тимофеевка</t>
        </is>
      </c>
      <c r="D121" s="264" t="inlineStr">
        <is>
          <t>кг</t>
        </is>
      </c>
      <c r="E121" s="268" t="n">
        <v>29.733</v>
      </c>
      <c r="F121" s="269" t="n">
        <v>62.72</v>
      </c>
      <c r="G121" s="26">
        <f>ROUND(E121*F121,2)</f>
        <v/>
      </c>
      <c r="H121" s="270">
        <f>G121/$G$142</f>
        <v/>
      </c>
      <c r="I121" s="362">
        <f>ROUND(F121*'Прил. 10'!$D$13,2)</f>
        <v/>
      </c>
      <c r="J121" s="362">
        <f>ROUND(I121*E121,2)</f>
        <v/>
      </c>
    </row>
    <row r="122" hidden="1" outlineLevel="1" ht="14.25" customFormat="1" customHeight="1" s="205">
      <c r="A122" s="264" t="n">
        <v>94</v>
      </c>
      <c r="B122" s="264" t="inlineStr">
        <is>
          <t>01.2.03.07-0023</t>
        </is>
      </c>
      <c r="C122" s="267" t="inlineStr">
        <is>
          <t>Эмульсия битумно-дорожная</t>
        </is>
      </c>
      <c r="D122" s="264" t="inlineStr">
        <is>
          <t>т</t>
        </is>
      </c>
      <c r="E122" s="268" t="n">
        <v>0.9834000000000001</v>
      </c>
      <c r="F122" s="269" t="n">
        <v>1554.2</v>
      </c>
      <c r="G122" s="26">
        <f>ROUND(E122*F122,2)</f>
        <v/>
      </c>
      <c r="H122" s="270">
        <f>G122/$G$142</f>
        <v/>
      </c>
      <c r="I122" s="362">
        <f>ROUND(F122*'Прил. 10'!$D$13,2)</f>
        <v/>
      </c>
      <c r="J122" s="362">
        <f>ROUND(I122*E122,2)</f>
        <v/>
      </c>
    </row>
    <row r="123" hidden="1" outlineLevel="1" ht="38.25" customFormat="1" customHeight="1" s="205">
      <c r="A123" s="264" t="n">
        <v>95</v>
      </c>
      <c r="B123" s="264" t="inlineStr">
        <is>
          <t>08.1.02.17-0097</t>
        </is>
      </c>
      <c r="C123" s="267" t="inlineStr">
        <is>
          <t>Сетка сварная из арматурной проволоки без покрытия, диаметр проволоки 5,0 мм, размер ячейки 100x100 мм</t>
        </is>
      </c>
      <c r="D123" s="264" t="inlineStr">
        <is>
          <t>м2</t>
        </is>
      </c>
      <c r="E123" s="268" t="n">
        <v>54.33</v>
      </c>
      <c r="F123" s="269" t="n">
        <v>23.76</v>
      </c>
      <c r="G123" s="26">
        <f>ROUND(E123*F123,2)</f>
        <v/>
      </c>
      <c r="H123" s="270">
        <f>G123/$G$142</f>
        <v/>
      </c>
      <c r="I123" s="362">
        <f>ROUND(F123*'Прил. 10'!$D$13,2)</f>
        <v/>
      </c>
      <c r="J123" s="362">
        <f>ROUND(I123*E123,2)</f>
        <v/>
      </c>
    </row>
    <row r="124" hidden="1" outlineLevel="1" ht="14.25" customFormat="1" customHeight="1" s="205">
      <c r="A124" s="264" t="n">
        <v>96</v>
      </c>
      <c r="B124" s="264" t="inlineStr">
        <is>
          <t>16.2.01.03-0011</t>
        </is>
      </c>
      <c r="C124" s="267" t="inlineStr">
        <is>
          <t>Торф</t>
        </is>
      </c>
      <c r="D124" s="264" t="inlineStr">
        <is>
          <t>м3</t>
        </is>
      </c>
      <c r="E124" s="268" t="n">
        <v>2.2</v>
      </c>
      <c r="F124" s="269" t="n">
        <v>366.1</v>
      </c>
      <c r="G124" s="26">
        <f>ROUND(E124*F124,2)</f>
        <v/>
      </c>
      <c r="H124" s="270">
        <f>G124/$G$142</f>
        <v/>
      </c>
      <c r="I124" s="362">
        <f>ROUND(F124*'Прил. 10'!$D$13,2)</f>
        <v/>
      </c>
      <c r="J124" s="362">
        <f>ROUND(I124*E124,2)</f>
        <v/>
      </c>
    </row>
    <row r="125" hidden="1" outlineLevel="1" ht="25.5" customFormat="1" customHeight="1" s="205">
      <c r="A125" s="264" t="n">
        <v>97</v>
      </c>
      <c r="B125" s="264" t="inlineStr">
        <is>
          <t>16.2.02.04-0171</t>
        </is>
      </c>
      <c r="C125" s="267" t="inlineStr">
        <is>
          <t>Кизильник (разные виды), высота 1,25-1,5 м</t>
        </is>
      </c>
      <c r="D125" s="264" t="inlineStr">
        <is>
          <t>шт</t>
        </is>
      </c>
      <c r="E125" s="264" t="n">
        <v>48</v>
      </c>
      <c r="F125" s="269" t="n">
        <v>15.76</v>
      </c>
      <c r="G125" s="26">
        <f>ROUND(E125*F125,2)</f>
        <v/>
      </c>
      <c r="H125" s="270">
        <f>G125/$G$142</f>
        <v/>
      </c>
      <c r="I125" s="362">
        <f>ROUND(F125*'Прил. 10'!$D$13,2)</f>
        <v/>
      </c>
      <c r="J125" s="362">
        <f>ROUND(I125*E125,2)</f>
        <v/>
      </c>
    </row>
    <row r="126" hidden="1" outlineLevel="1" ht="14.25" customFormat="1" customHeight="1" s="205">
      <c r="A126" s="264" t="n">
        <v>98</v>
      </c>
      <c r="B126" s="264" t="inlineStr">
        <is>
          <t>01.7.20.03-0011</t>
        </is>
      </c>
      <c r="C126" s="267" t="inlineStr">
        <is>
          <t>Мешковина</t>
        </is>
      </c>
      <c r="D126" s="264" t="inlineStr">
        <is>
          <t>м2</t>
        </is>
      </c>
      <c r="E126" s="268" t="n">
        <v>92.5736</v>
      </c>
      <c r="F126" s="269" t="n">
        <v>7.49</v>
      </c>
      <c r="G126" s="26">
        <f>ROUND(E126*F126,2)</f>
        <v/>
      </c>
      <c r="H126" s="270">
        <f>G126/$G$142</f>
        <v/>
      </c>
      <c r="I126" s="362">
        <f>ROUND(F126*'Прил. 10'!$D$13,2)</f>
        <v/>
      </c>
      <c r="J126" s="362">
        <f>ROUND(I126*E126,2)</f>
        <v/>
      </c>
    </row>
    <row r="127" hidden="1" outlineLevel="1" ht="25.5" customFormat="1" customHeight="1" s="205">
      <c r="A127" s="264" t="n">
        <v>99</v>
      </c>
      <c r="B127" s="264" t="inlineStr">
        <is>
          <t>08.3.03.04-0023</t>
        </is>
      </c>
      <c r="C127" s="267" t="inlineStr">
        <is>
          <t>Проволока стальная низкоуглеродистая общего назначения диаметром: 1,1 мм</t>
        </is>
      </c>
      <c r="D127" s="264" t="inlineStr">
        <is>
          <t>т</t>
        </is>
      </c>
      <c r="E127" s="268" t="n">
        <v>0.1028</v>
      </c>
      <c r="F127" s="269" t="n">
        <v>6322.18</v>
      </c>
      <c r="G127" s="26">
        <f>ROUND(E127*F127,2)</f>
        <v/>
      </c>
      <c r="H127" s="270">
        <f>G127/$G$142</f>
        <v/>
      </c>
      <c r="I127" s="362">
        <f>ROUND(F127*'Прил. 10'!$D$13,2)</f>
        <v/>
      </c>
      <c r="J127" s="362">
        <f>ROUND(I127*E127,2)</f>
        <v/>
      </c>
    </row>
    <row r="128" hidden="1" outlineLevel="1" ht="25.5" customFormat="1" customHeight="1" s="205">
      <c r="A128" s="264" t="n">
        <v>100</v>
      </c>
      <c r="B128" s="264" t="inlineStr">
        <is>
          <t>14.4.04.08-0002</t>
        </is>
      </c>
      <c r="C128" s="267" t="inlineStr">
        <is>
          <t>Эмаль ПФ-115 БИО, пентафталевая различных цветов</t>
        </is>
      </c>
      <c r="D128" s="264" t="inlineStr">
        <is>
          <t>т</t>
        </is>
      </c>
      <c r="E128" s="268" t="n">
        <v>0.01728</v>
      </c>
      <c r="F128" s="269" t="n">
        <v>34375</v>
      </c>
      <c r="G128" s="26">
        <f>ROUND(E128*F128,2)</f>
        <v/>
      </c>
      <c r="H128" s="270">
        <f>G128/$G$142</f>
        <v/>
      </c>
      <c r="I128" s="362">
        <f>ROUND(F128*'Прил. 10'!$D$13,2)</f>
        <v/>
      </c>
      <c r="J128" s="362">
        <f>ROUND(I128*E128,2)</f>
        <v/>
      </c>
    </row>
    <row r="129" hidden="1" outlineLevel="1" ht="14.25" customFormat="1" customHeight="1" s="205">
      <c r="A129" s="264" t="n">
        <v>101</v>
      </c>
      <c r="B129" s="264" t="inlineStr">
        <is>
          <t>01.2.01.01-1018</t>
        </is>
      </c>
      <c r="C129" s="267" t="inlineStr">
        <is>
          <t>Битум нефтяной дорожный БНД 40/60</t>
        </is>
      </c>
      <c r="D129" s="264" t="inlineStr">
        <is>
          <t>т</t>
        </is>
      </c>
      <c r="E129" s="268" t="n">
        <v>0.2012</v>
      </c>
      <c r="F129" s="269" t="n">
        <v>1740.01</v>
      </c>
      <c r="G129" s="26">
        <f>ROUND(E129*F129,2)</f>
        <v/>
      </c>
      <c r="H129" s="270">
        <f>G129/$G$142</f>
        <v/>
      </c>
      <c r="I129" s="362">
        <f>ROUND(F129*'Прил. 10'!$D$13,2)</f>
        <v/>
      </c>
      <c r="J129" s="362">
        <f>ROUND(I129*E129,2)</f>
        <v/>
      </c>
    </row>
    <row r="130" hidden="1" outlineLevel="1" ht="25.5" customFormat="1" customHeight="1" s="205">
      <c r="A130" s="264" t="n">
        <v>102</v>
      </c>
      <c r="B130" s="264" t="inlineStr">
        <is>
          <t>04.3.01.09-0014</t>
        </is>
      </c>
      <c r="C130" s="267" t="inlineStr">
        <is>
          <t>Раствор готовый кладочный, цементный, М100</t>
        </is>
      </c>
      <c r="D130" s="264" t="inlineStr">
        <is>
          <t>м3</t>
        </is>
      </c>
      <c r="E130" s="268" t="n">
        <v>0.4968</v>
      </c>
      <c r="F130" s="269" t="n">
        <v>519.8099999999999</v>
      </c>
      <c r="G130" s="26">
        <f>ROUND(E130*F130,2)</f>
        <v/>
      </c>
      <c r="H130" s="270">
        <f>G130/$G$142</f>
        <v/>
      </c>
      <c r="I130" s="362">
        <f>ROUND(F130*'Прил. 10'!$D$13,2)</f>
        <v/>
      </c>
      <c r="J130" s="362">
        <f>ROUND(I130*E130,2)</f>
        <v/>
      </c>
    </row>
    <row r="131" hidden="1" outlineLevel="1" ht="14.25" customFormat="1" customHeight="1" s="205">
      <c r="A131" s="264" t="n">
        <v>103</v>
      </c>
      <c r="B131" s="264" t="inlineStr">
        <is>
          <t>01.7.11.07-0036</t>
        </is>
      </c>
      <c r="C131" s="267" t="inlineStr">
        <is>
          <t>Электроды сварочные Э46, диаметр 4 мм</t>
        </is>
      </c>
      <c r="D131" s="264" t="inlineStr">
        <is>
          <t>кг</t>
        </is>
      </c>
      <c r="E131" s="268" t="n">
        <v>23.4</v>
      </c>
      <c r="F131" s="269" t="n">
        <v>10.75</v>
      </c>
      <c r="G131" s="26">
        <f>ROUND(E131*F131,2)</f>
        <v/>
      </c>
      <c r="H131" s="270">
        <f>G131/$G$142</f>
        <v/>
      </c>
      <c r="I131" s="362">
        <f>ROUND(F131*'Прил. 10'!$D$13,2)</f>
        <v/>
      </c>
      <c r="J131" s="362">
        <f>ROUND(I131*E131,2)</f>
        <v/>
      </c>
    </row>
    <row r="132" hidden="1" outlineLevel="1" ht="38.25" customFormat="1" customHeight="1" s="205">
      <c r="A132" s="264" t="n">
        <v>104</v>
      </c>
      <c r="B132" s="264" t="inlineStr">
        <is>
          <t>11.1.03.06-0075</t>
        </is>
      </c>
      <c r="C132" s="267" t="inlineStr">
        <is>
          <t>Доска обрезная, хвойных пород, длина 2-3,75 м, ширина 75-150 мм, толщина 32-40 мм, сорт III</t>
        </is>
      </c>
      <c r="D132" s="264" t="inlineStr">
        <is>
          <t>м3</t>
        </is>
      </c>
      <c r="E132" s="268" t="n">
        <v>0.173</v>
      </c>
      <c r="F132" s="269" t="n">
        <v>1100</v>
      </c>
      <c r="G132" s="26">
        <f>ROUND(E132*F132,2)</f>
        <v/>
      </c>
      <c r="H132" s="270">
        <f>G132/$G$142</f>
        <v/>
      </c>
      <c r="I132" s="362">
        <f>ROUND(F132*'Прил. 10'!$D$13,2)</f>
        <v/>
      </c>
      <c r="J132" s="362">
        <f>ROUND(I132*E132,2)</f>
        <v/>
      </c>
    </row>
    <row r="133" hidden="1" outlineLevel="1" ht="14.25" customFormat="1" customHeight="1" s="205">
      <c r="A133" s="264" t="n">
        <v>105</v>
      </c>
      <c r="B133" s="264" t="inlineStr">
        <is>
          <t>01.7.15.06-0111</t>
        </is>
      </c>
      <c r="C133" s="267" t="inlineStr">
        <is>
          <t>Гвозди строительные</t>
        </is>
      </c>
      <c r="D133" s="264" t="inlineStr">
        <is>
          <t>т</t>
        </is>
      </c>
      <c r="E133" s="268" t="n">
        <v>0.0133</v>
      </c>
      <c r="F133" s="269" t="n">
        <v>11978.2</v>
      </c>
      <c r="G133" s="26">
        <f>ROUND(E133*F133,2)</f>
        <v/>
      </c>
      <c r="H133" s="270">
        <f>G133/$G$142</f>
        <v/>
      </c>
      <c r="I133" s="362">
        <f>ROUND(F133*'Прил. 10'!$D$13,2)</f>
        <v/>
      </c>
      <c r="J133" s="362">
        <f>ROUND(I133*E133,2)</f>
        <v/>
      </c>
    </row>
    <row r="134" hidden="1" outlineLevel="1" ht="25.5" customFormat="1" customHeight="1" s="205">
      <c r="A134" s="264" t="n">
        <v>106</v>
      </c>
      <c r="B134" s="264" t="inlineStr">
        <is>
          <t>08.4.03.02-0003</t>
        </is>
      </c>
      <c r="C134" s="267" t="inlineStr">
        <is>
          <t>Сталь арматурная, горячекатаная, гладкая, класс А-I, диаметр 10 мм</t>
        </is>
      </c>
      <c r="D134" s="264" t="inlineStr">
        <is>
          <t>т</t>
        </is>
      </c>
      <c r="E134" s="268" t="n">
        <v>0.0234</v>
      </c>
      <c r="F134" s="269" t="n">
        <v>6726.07</v>
      </c>
      <c r="G134" s="26">
        <f>ROUND(E134*F134,2)</f>
        <v/>
      </c>
      <c r="H134" s="270">
        <f>G134/$G$142</f>
        <v/>
      </c>
      <c r="I134" s="362">
        <f>ROUND(F134*'Прил. 10'!$D$13,2)</f>
        <v/>
      </c>
      <c r="J134" s="362">
        <f>ROUND(I134*E134,2)</f>
        <v/>
      </c>
    </row>
    <row r="135" hidden="1" outlineLevel="1" ht="38.25" customFormat="1" customHeight="1" s="205">
      <c r="A135" s="264" t="n">
        <v>107</v>
      </c>
      <c r="B135" s="264" t="inlineStr">
        <is>
          <t>08.3.04.01-0012</t>
        </is>
      </c>
      <c r="C135" s="267" t="inlineStr">
        <is>
          <t>Катанка стальная (углеродистая) спокойная, марка Бст1сп-3сп, диаметр: 5,5-6,5 мм</t>
        </is>
      </c>
      <c r="D135" s="264" t="inlineStr">
        <is>
          <t>т</t>
        </is>
      </c>
      <c r="E135" s="268" t="n">
        <v>0.0199</v>
      </c>
      <c r="F135" s="269" t="n">
        <v>5673.87</v>
      </c>
      <c r="G135" s="26">
        <f>ROUND(E135*F135,2)</f>
        <v/>
      </c>
      <c r="H135" s="270">
        <f>G135/$G$142</f>
        <v/>
      </c>
      <c r="I135" s="362">
        <f>ROUND(F135*'Прил. 10'!$D$13,2)</f>
        <v/>
      </c>
      <c r="J135" s="362">
        <f>ROUND(I135*E135,2)</f>
        <v/>
      </c>
    </row>
    <row r="136" hidden="1" outlineLevel="1" ht="25.5" customFormat="1" customHeight="1" s="205">
      <c r="A136" s="264" t="n">
        <v>108</v>
      </c>
      <c r="B136" s="264" t="inlineStr">
        <is>
          <t>02.2.05.04-1792</t>
        </is>
      </c>
      <c r="C136" s="267" t="inlineStr">
        <is>
          <t>Щебень М 1400, фракция 20-40 мм, группа 2</t>
        </is>
      </c>
      <c r="D136" s="264" t="inlineStr">
        <is>
          <t>м3</t>
        </is>
      </c>
      <c r="E136" s="268" t="n">
        <v>0.6899999999999999</v>
      </c>
      <c r="F136" s="269" t="n">
        <v>140.9</v>
      </c>
      <c r="G136" s="26">
        <f>ROUND(E136*F136,2)</f>
        <v/>
      </c>
      <c r="H136" s="270">
        <f>G136/$G$142</f>
        <v/>
      </c>
      <c r="I136" s="362">
        <f>ROUND(F136*'Прил. 10'!$D$13,2)</f>
        <v/>
      </c>
      <c r="J136" s="362">
        <f>ROUND(I136*E136,2)</f>
        <v/>
      </c>
    </row>
    <row r="137" hidden="1" outlineLevel="1" ht="51" customFormat="1" customHeight="1" s="205">
      <c r="A137" s="264" t="n">
        <v>109</v>
      </c>
      <c r="B137" s="264" t="inlineStr">
        <is>
          <t>07.2.07.12-0020</t>
        </is>
      </c>
      <c r="C137" s="267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137" s="264" t="inlineStr">
        <is>
          <t>т</t>
        </is>
      </c>
      <c r="E137" s="268" t="n">
        <v>0.0055</v>
      </c>
      <c r="F137" s="269" t="n">
        <v>7712.73</v>
      </c>
      <c r="G137" s="26">
        <f>ROUND(E137*F137,2)</f>
        <v/>
      </c>
      <c r="H137" s="270">
        <f>G137/$G$142</f>
        <v/>
      </c>
      <c r="I137" s="362">
        <f>ROUND(F137*'Прил. 10'!$D$13,2)</f>
        <v/>
      </c>
      <c r="J137" s="362">
        <f>ROUND(I137*E137,2)</f>
        <v/>
      </c>
    </row>
    <row r="138" hidden="1" outlineLevel="1" ht="25.5" customFormat="1" customHeight="1" s="205">
      <c r="A138" s="264" t="n">
        <v>110</v>
      </c>
      <c r="B138" s="264" t="inlineStr">
        <is>
          <t>11.1.03.01-0076</t>
        </is>
      </c>
      <c r="C138" s="267" t="inlineStr">
        <is>
          <t>Бруски обрезные, хвойных пород, длина 2-6,5 м, толщина 40-60 мм, сорт III</t>
        </is>
      </c>
      <c r="D138" s="264" t="inlineStr">
        <is>
          <t>м3</t>
        </is>
      </c>
      <c r="E138" s="268" t="n">
        <v>0.0422</v>
      </c>
      <c r="F138" s="269" t="n">
        <v>976.54</v>
      </c>
      <c r="G138" s="26">
        <f>ROUND(E138*F138,2)</f>
        <v/>
      </c>
      <c r="H138" s="270">
        <f>G138/$G$142</f>
        <v/>
      </c>
      <c r="I138" s="362">
        <f>ROUND(F138*'Прил. 10'!$D$13,2)</f>
        <v/>
      </c>
      <c r="J138" s="362">
        <f>ROUND(I138*E138,2)</f>
        <v/>
      </c>
    </row>
    <row r="139" hidden="1" outlineLevel="1" ht="25.5" customFormat="1" customHeight="1" s="205">
      <c r="A139" s="264" t="n">
        <v>111</v>
      </c>
      <c r="B139" s="264" t="inlineStr">
        <is>
          <t>03.1.02.04-0011</t>
        </is>
      </c>
      <c r="C139" s="267" t="inlineStr">
        <is>
          <t>Известь комовая технологическая негашеная А</t>
        </is>
      </c>
      <c r="D139" s="264" t="inlineStr">
        <is>
          <t>т</t>
        </is>
      </c>
      <c r="E139" s="268" t="n">
        <v>0.0185</v>
      </c>
      <c r="F139" s="269" t="n">
        <v>1349.73</v>
      </c>
      <c r="G139" s="26">
        <f>ROUND(E139*F139,2)</f>
        <v/>
      </c>
      <c r="H139" s="270">
        <f>G139/$G$142</f>
        <v/>
      </c>
      <c r="I139" s="362">
        <f>ROUND(F139*'Прил. 10'!$D$13,2)</f>
        <v/>
      </c>
      <c r="J139" s="362">
        <f>ROUND(I139*E139,2)</f>
        <v/>
      </c>
    </row>
    <row r="140" hidden="1" outlineLevel="1" ht="14.25" customFormat="1" customHeight="1" s="205">
      <c r="A140" s="264" t="n">
        <v>112</v>
      </c>
      <c r="B140" s="264" t="inlineStr">
        <is>
          <t>14.5.09.11-0102</t>
        </is>
      </c>
      <c r="C140" s="267" t="inlineStr">
        <is>
          <t>Уайт-спирит</t>
        </is>
      </c>
      <c r="D140" s="264" t="inlineStr">
        <is>
          <t>кг</t>
        </is>
      </c>
      <c r="E140" s="268" t="n">
        <v>2.8</v>
      </c>
      <c r="F140" s="269" t="n">
        <v>6.67</v>
      </c>
      <c r="G140" s="26">
        <f>ROUND(E140*F140,2)</f>
        <v/>
      </c>
      <c r="H140" s="270">
        <f>G140/$G$142</f>
        <v/>
      </c>
      <c r="I140" s="362">
        <f>ROUND(F140*'Прил. 10'!$D$13,2)</f>
        <v/>
      </c>
      <c r="J140" s="362">
        <f>ROUND(I140*E140,2)</f>
        <v/>
      </c>
    </row>
    <row r="141" collapsed="1" ht="14.25" customFormat="1" customHeight="1" s="205">
      <c r="A141" s="264" t="n"/>
      <c r="B141" s="264" t="n"/>
      <c r="C141" s="267" t="inlineStr">
        <is>
          <t>Итого прочие материалы</t>
        </is>
      </c>
      <c r="D141" s="264" t="n"/>
      <c r="E141" s="268" t="n"/>
      <c r="F141" s="269" t="n"/>
      <c r="G141" s="127">
        <f>SUM(G101:G140)</f>
        <v/>
      </c>
      <c r="H141" s="270">
        <f>G141/$G$142</f>
        <v/>
      </c>
      <c r="I141" s="26" t="n"/>
      <c r="J141" s="127">
        <f>SUM(J101:J140)</f>
        <v/>
      </c>
    </row>
    <row r="142" ht="14.25" customFormat="1" customHeight="1" s="205">
      <c r="A142" s="264" t="n"/>
      <c r="B142" s="264" t="n"/>
      <c r="C142" s="257" t="inlineStr">
        <is>
          <t>Итого по разделу «Материалы»</t>
        </is>
      </c>
      <c r="D142" s="264" t="n"/>
      <c r="E142" s="268" t="n"/>
      <c r="F142" s="269" t="n"/>
      <c r="G142" s="26">
        <f>G100+G141</f>
        <v/>
      </c>
      <c r="H142" s="270">
        <f>G142/$G$142</f>
        <v/>
      </c>
      <c r="I142" s="26" t="n"/>
      <c r="J142" s="26">
        <f>J100+J141</f>
        <v/>
      </c>
    </row>
    <row r="143" ht="14.25" customFormat="1" customHeight="1" s="205">
      <c r="A143" s="264" t="n"/>
      <c r="B143" s="264" t="n"/>
      <c r="C143" s="267" t="inlineStr">
        <is>
          <t>ИТОГО ПО РМ</t>
        </is>
      </c>
      <c r="D143" s="264" t="n"/>
      <c r="E143" s="268" t="n"/>
      <c r="F143" s="269" t="n"/>
      <c r="G143" s="26">
        <f>G14+G76+G142</f>
        <v/>
      </c>
      <c r="H143" s="271" t="n"/>
      <c r="I143" s="26" t="n"/>
      <c r="J143" s="26">
        <f>J14+J76+J142</f>
        <v/>
      </c>
    </row>
    <row r="144" ht="14.25" customFormat="1" customHeight="1" s="205">
      <c r="A144" s="264" t="n"/>
      <c r="B144" s="264" t="n"/>
      <c r="C144" s="267" t="inlineStr">
        <is>
          <t>Накладные расходы</t>
        </is>
      </c>
      <c r="D144" s="123">
        <f>ROUND(G144/(G$16+$G$14),2)</f>
        <v/>
      </c>
      <c r="E144" s="268" t="n"/>
      <c r="F144" s="269" t="n"/>
      <c r="G144" s="26" t="n">
        <v>163360</v>
      </c>
      <c r="H144" s="271" t="n"/>
      <c r="I144" s="26" t="n"/>
      <c r="J144" s="26">
        <f>ROUND(D144*(J14+J16),2)</f>
        <v/>
      </c>
    </row>
    <row r="145" ht="14.25" customFormat="1" customHeight="1" s="205">
      <c r="A145" s="264" t="n"/>
      <c r="B145" s="264" t="n"/>
      <c r="C145" s="267" t="inlineStr">
        <is>
          <t>Сметная прибыль</t>
        </is>
      </c>
      <c r="D145" s="123">
        <f>ROUND(G145/(G$14+G$16),2)</f>
        <v/>
      </c>
      <c r="E145" s="268" t="n"/>
      <c r="F145" s="269" t="n"/>
      <c r="G145" s="26" t="n">
        <v>83476</v>
      </c>
      <c r="H145" s="271" t="n"/>
      <c r="I145" s="26" t="n"/>
      <c r="J145" s="26">
        <f>ROUND(D145*(J14+J16),2)</f>
        <v/>
      </c>
    </row>
    <row r="146" ht="14.25" customFormat="1" customHeight="1" s="205">
      <c r="A146" s="264" t="n"/>
      <c r="B146" s="264" t="n"/>
      <c r="C146" s="267" t="inlineStr">
        <is>
          <t>Итого СМР (с НР и СП)</t>
        </is>
      </c>
      <c r="D146" s="264" t="n"/>
      <c r="E146" s="268" t="n"/>
      <c r="F146" s="269" t="n"/>
      <c r="G146" s="26">
        <f>ROUND((G14+G76+G142+G144+G145),2)</f>
        <v/>
      </c>
      <c r="H146" s="271" t="n"/>
      <c r="I146" s="26" t="n"/>
      <c r="J146" s="26">
        <f>ROUND((J14+J76+J142+J144+J145),2)</f>
        <v/>
      </c>
    </row>
    <row r="147" ht="14.25" customFormat="1" customHeight="1" s="205">
      <c r="A147" s="264" t="n"/>
      <c r="B147" s="264" t="n"/>
      <c r="C147" s="267" t="inlineStr">
        <is>
          <t>ВСЕГО СМР + ОБОРУДОВАНИЕ</t>
        </is>
      </c>
      <c r="D147" s="264" t="n"/>
      <c r="E147" s="268" t="n"/>
      <c r="F147" s="269" t="n"/>
      <c r="G147" s="26">
        <f>G146+G81</f>
        <v/>
      </c>
      <c r="H147" s="271" t="n"/>
      <c r="I147" s="26" t="n"/>
      <c r="J147" s="26">
        <f>J146+J81</f>
        <v/>
      </c>
    </row>
    <row r="148" ht="14.25" customFormat="1" customHeight="1" s="205">
      <c r="A148" s="264" t="n"/>
      <c r="B148" s="264" t="n"/>
      <c r="C148" s="267" t="inlineStr">
        <is>
          <t>ИТОГО ПОКАЗАТЕЛЬ НА ЕД. ИЗМ.</t>
        </is>
      </c>
      <c r="D148" s="264" t="inlineStr">
        <is>
          <t>м2</t>
        </is>
      </c>
      <c r="E148" s="268" t="n">
        <v>5760</v>
      </c>
      <c r="F148" s="269" t="n"/>
      <c r="G148" s="26">
        <f>G147/E148</f>
        <v/>
      </c>
      <c r="H148" s="271" t="n"/>
      <c r="I148" s="26" t="n"/>
      <c r="J148" s="26">
        <f>J147/E148</f>
        <v/>
      </c>
    </row>
    <row r="150" ht="14.25" customFormat="1" customHeight="1" s="205">
      <c r="A150" s="194" t="inlineStr">
        <is>
          <t>Составил ______________________     Р.Р. Шагеева</t>
        </is>
      </c>
      <c r="C150" s="192" t="n"/>
    </row>
    <row r="151" ht="14.25" customFormat="1" customHeight="1" s="205">
      <c r="A151" s="204" t="inlineStr">
        <is>
          <t xml:space="preserve">                         (подпись, инициалы, фамилия)</t>
        </is>
      </c>
      <c r="C151" s="192" t="n"/>
    </row>
    <row r="152" ht="14.25" customFormat="1" customHeight="1" s="205">
      <c r="A152" s="194" t="n"/>
      <c r="C152" s="192" t="n"/>
    </row>
    <row r="153" ht="14.25" customFormat="1" customHeight="1" s="205">
      <c r="A153" s="194" t="inlineStr">
        <is>
          <t>Проверил ______________________        А.В. Костянецкая</t>
        </is>
      </c>
      <c r="C153" s="192" t="n"/>
    </row>
    <row r="154" ht="14.25" customFormat="1" customHeight="1" s="205">
      <c r="A154" s="204" t="inlineStr">
        <is>
          <t xml:space="preserve">                        (подпись, инициалы, фамилия)</t>
        </is>
      </c>
      <c r="C154" s="192" t="n"/>
    </row>
  </sheetData>
  <mergeCells count="21">
    <mergeCell ref="B84:H84"/>
    <mergeCell ref="H9:H10"/>
    <mergeCell ref="B83:H83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B78:H78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13" min="1" max="1"/>
    <col width="17.5703125" customWidth="1" style="213" min="2" max="2"/>
    <col width="39.140625" customWidth="1" style="213" min="3" max="3"/>
    <col width="10.7109375" customWidth="1" style="213" min="4" max="4"/>
    <col width="13.85546875" customWidth="1" style="213" min="5" max="5"/>
    <col width="13.28515625" customWidth="1" style="213" min="6" max="6"/>
    <col width="14.140625" customWidth="1" style="213" min="7" max="7"/>
  </cols>
  <sheetData>
    <row r="1">
      <c r="A1" s="281" t="inlineStr">
        <is>
          <t>Приложение №6</t>
        </is>
      </c>
    </row>
    <row r="2" ht="21.75" customHeight="1" s="213">
      <c r="A2" s="281" t="n"/>
      <c r="B2" s="281" t="n"/>
      <c r="C2" s="281" t="n"/>
      <c r="D2" s="281" t="n"/>
      <c r="E2" s="281" t="n"/>
      <c r="F2" s="281" t="n"/>
      <c r="G2" s="281" t="n"/>
    </row>
    <row r="3">
      <c r="A3" s="229" t="inlineStr">
        <is>
          <t>Расчет стоимости оборудования</t>
        </is>
      </c>
    </row>
    <row r="4" ht="15.75" customHeight="1" s="213">
      <c r="A4" s="232" t="inlineStr">
        <is>
          <t>Наименование разрабатываемого показателя УНЦ — Подготовка и устройство территории ПС (ЗПС) г. Москва</t>
        </is>
      </c>
    </row>
    <row r="5">
      <c r="A5" s="194" t="n"/>
      <c r="B5" s="194" t="n"/>
      <c r="C5" s="194" t="n"/>
      <c r="D5" s="194" t="n"/>
      <c r="E5" s="194" t="n"/>
      <c r="F5" s="194" t="n"/>
      <c r="G5" s="194" t="n"/>
    </row>
    <row r="6" ht="30" customHeight="1" s="213">
      <c r="A6" s="286" t="inlineStr">
        <is>
          <t>№ пп.</t>
        </is>
      </c>
      <c r="B6" s="286" t="inlineStr">
        <is>
          <t>Код ресурса</t>
        </is>
      </c>
      <c r="C6" s="286" t="inlineStr">
        <is>
          <t>Наименование</t>
        </is>
      </c>
      <c r="D6" s="286" t="inlineStr">
        <is>
          <t>Ед. изм.</t>
        </is>
      </c>
      <c r="E6" s="264" t="inlineStr">
        <is>
          <t>Кол-во единиц по проектным данным</t>
        </is>
      </c>
      <c r="F6" s="286" t="inlineStr">
        <is>
          <t>Сметная стоимость в ценах на 01.01.2000 (руб.)</t>
        </is>
      </c>
      <c r="G6" s="350" t="n"/>
    </row>
    <row r="7">
      <c r="A7" s="352" t="n"/>
      <c r="B7" s="352" t="n"/>
      <c r="C7" s="352" t="n"/>
      <c r="D7" s="352" t="n"/>
      <c r="E7" s="352" t="n"/>
      <c r="F7" s="264" t="inlineStr">
        <is>
          <t>на ед. изм.</t>
        </is>
      </c>
      <c r="G7" s="264" t="inlineStr">
        <is>
          <t>общая</t>
        </is>
      </c>
    </row>
    <row r="8">
      <c r="A8" s="264" t="n">
        <v>1</v>
      </c>
      <c r="B8" s="264" t="n">
        <v>2</v>
      </c>
      <c r="C8" s="264" t="n">
        <v>3</v>
      </c>
      <c r="D8" s="264" t="n">
        <v>4</v>
      </c>
      <c r="E8" s="264" t="n">
        <v>5</v>
      </c>
      <c r="F8" s="264" t="n">
        <v>6</v>
      </c>
      <c r="G8" s="264" t="n">
        <v>7</v>
      </c>
    </row>
    <row r="9" ht="15" customHeight="1" s="213">
      <c r="A9" s="146" t="n"/>
      <c r="B9" s="267" t="inlineStr">
        <is>
          <t>ИНЖЕНЕРНОЕ ОБОРУДОВАНИЕ</t>
        </is>
      </c>
      <c r="C9" s="349" t="n"/>
      <c r="D9" s="349" t="n"/>
      <c r="E9" s="349" t="n"/>
      <c r="F9" s="349" t="n"/>
      <c r="G9" s="350" t="n"/>
    </row>
    <row r="10" ht="27" customHeight="1" s="213">
      <c r="A10" s="266" t="n"/>
      <c r="B10" s="172" t="n"/>
      <c r="C10" s="184" t="inlineStr">
        <is>
          <t>ИТОГО ИНЖЕНЕРНОЕ ОБОРУДОВАНИЕ</t>
        </is>
      </c>
      <c r="D10" s="172" t="n"/>
      <c r="E10" s="185" t="n"/>
      <c r="F10" s="186" t="n"/>
      <c r="G10" s="186" t="n">
        <v>0</v>
      </c>
    </row>
    <row r="11">
      <c r="A11" s="264" t="n"/>
      <c r="B11" s="267" t="inlineStr">
        <is>
          <t>ТЕХНОЛОГИЧЕСКОЕ ОБОРУДОВАНИЕ</t>
        </is>
      </c>
      <c r="C11" s="349" t="n"/>
      <c r="D11" s="349" t="n"/>
      <c r="E11" s="349" t="n"/>
      <c r="F11" s="349" t="n"/>
      <c r="G11" s="350" t="n"/>
    </row>
    <row r="12" ht="25.5" customHeight="1" s="213">
      <c r="A12" s="264" t="n"/>
      <c r="B12" s="267" t="n"/>
      <c r="C12" s="267" t="inlineStr">
        <is>
          <t>ИТОГО ТЕХНОЛОГИЧЕСКОЕ ОБОРУДОВАНИЕ</t>
        </is>
      </c>
      <c r="D12" s="267" t="n"/>
      <c r="E12" s="285" t="n"/>
      <c r="F12" s="269" t="n"/>
      <c r="G12" s="26" t="n">
        <v>0</v>
      </c>
    </row>
    <row r="13" ht="19.5" customHeight="1" s="213">
      <c r="A13" s="264" t="n"/>
      <c r="B13" s="267" t="n"/>
      <c r="C13" s="267" t="inlineStr">
        <is>
          <t>Всего по разделу «Оборудование»</t>
        </is>
      </c>
      <c r="D13" s="267" t="n"/>
      <c r="E13" s="285" t="n"/>
      <c r="F13" s="269" t="n"/>
      <c r="G13" s="26" t="n">
        <v>0</v>
      </c>
    </row>
    <row r="14">
      <c r="A14" s="202" t="n"/>
      <c r="B14" s="203" t="n"/>
      <c r="C14" s="202" t="n"/>
      <c r="D14" s="202" t="n"/>
      <c r="E14" s="202" t="n"/>
      <c r="F14" s="202" t="n"/>
      <c r="G14" s="202" t="n"/>
    </row>
    <row r="15">
      <c r="A15" s="194" t="inlineStr">
        <is>
          <t>Составил ______________________    Р.Р. Шагеева</t>
        </is>
      </c>
      <c r="B15" s="205" t="n"/>
      <c r="C15" s="205" t="n"/>
      <c r="D15" s="202" t="n"/>
      <c r="E15" s="202" t="n"/>
      <c r="F15" s="202" t="n"/>
      <c r="G15" s="202" t="n"/>
    </row>
    <row r="16">
      <c r="A16" s="204" t="inlineStr">
        <is>
          <t xml:space="preserve">                         (подпись, инициалы, фамилия)</t>
        </is>
      </c>
      <c r="B16" s="205" t="n"/>
      <c r="C16" s="205" t="n"/>
      <c r="D16" s="202" t="n"/>
      <c r="E16" s="202" t="n"/>
      <c r="F16" s="202" t="n"/>
      <c r="G16" s="202" t="n"/>
    </row>
    <row r="17">
      <c r="A17" s="194" t="n"/>
      <c r="B17" s="205" t="n"/>
      <c r="C17" s="205" t="n"/>
      <c r="D17" s="202" t="n"/>
      <c r="E17" s="202" t="n"/>
      <c r="F17" s="202" t="n"/>
      <c r="G17" s="202" t="n"/>
    </row>
    <row r="18">
      <c r="A18" s="194" t="inlineStr">
        <is>
          <t>Проверил ______________________        А.В. Костянецкая</t>
        </is>
      </c>
      <c r="B18" s="205" t="n"/>
      <c r="C18" s="205" t="n"/>
      <c r="D18" s="202" t="n"/>
      <c r="E18" s="202" t="n"/>
      <c r="F18" s="202" t="n"/>
      <c r="G18" s="202" t="n"/>
    </row>
    <row r="19">
      <c r="A19" s="204" t="inlineStr">
        <is>
          <t xml:space="preserve">                        (подпись, инициалы, фамилия)</t>
        </is>
      </c>
      <c r="B19" s="205" t="n"/>
      <c r="C19" s="205" t="n"/>
      <c r="D19" s="202" t="n"/>
      <c r="E19" s="202" t="n"/>
      <c r="F19" s="202" t="n"/>
      <c r="G19" s="2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4.42578125" customWidth="1" style="213" min="1" max="1"/>
    <col width="29.7109375" customWidth="1" style="213" min="2" max="2"/>
    <col width="39.140625" customWidth="1" style="213" min="3" max="3"/>
    <col width="24.5703125" customWidth="1" style="213" min="4" max="4"/>
  </cols>
  <sheetData>
    <row r="1">
      <c r="B1" s="194" t="n"/>
      <c r="C1" s="194" t="n"/>
      <c r="D1" s="281" t="inlineStr">
        <is>
          <t>Приложение №7</t>
        </is>
      </c>
    </row>
    <row r="2">
      <c r="A2" s="281" t="n"/>
      <c r="B2" s="281" t="n"/>
      <c r="C2" s="281" t="n"/>
      <c r="D2" s="281" t="n"/>
    </row>
    <row r="3">
      <c r="A3" s="229" t="inlineStr">
        <is>
          <t>Расчет показателя УНЦ</t>
        </is>
      </c>
    </row>
    <row r="4">
      <c r="A4" s="229" t="n"/>
      <c r="B4" s="229" t="n"/>
      <c r="C4" s="229" t="n"/>
      <c r="D4" s="229" t="n"/>
    </row>
    <row r="5" ht="15" customHeight="1" s="213">
      <c r="A5" s="232">
        <f>'Прил.4 РМ'!B7</f>
        <v/>
      </c>
    </row>
    <row r="6" ht="15" customHeight="1" s="213">
      <c r="A6" s="194" t="inlineStr">
        <is>
          <t>Единица измерения  — м2</t>
        </is>
      </c>
      <c r="B6" s="194" t="n"/>
      <c r="C6" s="194" t="n"/>
      <c r="D6" s="232" t="n"/>
    </row>
    <row r="7">
      <c r="A7" s="194" t="n"/>
      <c r="B7" s="194" t="n"/>
      <c r="C7" s="194" t="n"/>
      <c r="D7" s="194" t="n"/>
    </row>
    <row r="8" ht="15" customHeight="1" s="213">
      <c r="A8" s="243" t="inlineStr">
        <is>
          <t>Код показателя</t>
        </is>
      </c>
      <c r="B8" s="243" t="inlineStr">
        <is>
          <t>Наименование показателя</t>
        </is>
      </c>
      <c r="C8" s="243" t="inlineStr">
        <is>
          <t>Наименование РМ, входящих в состав показателя</t>
        </is>
      </c>
      <c r="D8" s="243" t="inlineStr">
        <is>
          <t>Норматив цены на 01.01.2023, тыс.руб.</t>
        </is>
      </c>
    </row>
    <row r="9" ht="15" customHeight="1" s="213">
      <c r="A9" s="352" t="n"/>
      <c r="B9" s="352" t="n"/>
      <c r="C9" s="352" t="n"/>
      <c r="D9" s="352" t="n"/>
    </row>
    <row r="10">
      <c r="A10" s="264" t="n">
        <v>1</v>
      </c>
      <c r="B10" s="264" t="n">
        <v>2</v>
      </c>
      <c r="C10" s="264" t="n">
        <v>3</v>
      </c>
      <c r="D10" s="264" t="n">
        <v>4</v>
      </c>
    </row>
    <row r="11" ht="25.5" customHeight="1" s="213">
      <c r="A11" s="199" t="inlineStr">
        <is>
          <t>Б1-01</t>
        </is>
      </c>
      <c r="B11" s="199" t="inlineStr">
        <is>
          <t xml:space="preserve">УНЦ подготовки и устройства территории ПС </t>
        </is>
      </c>
      <c r="C11" s="200" t="inlineStr">
        <is>
          <t>Б1 РМ Подготовка и устройство территории ПС (ЗПС) г. Москва</t>
        </is>
      </c>
      <c r="D11" s="201">
        <f>'Прил.4 РМ'!C41/1000</f>
        <v/>
      </c>
    </row>
    <row r="12">
      <c r="A12" s="202" t="n"/>
      <c r="B12" s="203" t="n"/>
      <c r="C12" s="202" t="n"/>
      <c r="D12" s="202" t="n"/>
    </row>
    <row r="13">
      <c r="A13" s="334" t="inlineStr">
        <is>
          <t>Составил ______________________      Р.Р. Шагеева</t>
        </is>
      </c>
      <c r="B13" s="194" t="n"/>
      <c r="C13" s="194" t="n"/>
      <c r="D13" s="202" t="n"/>
    </row>
    <row r="14">
      <c r="A14" s="204" t="inlineStr">
        <is>
          <t xml:space="preserve">                         (подпись, инициалы, фамилия)</t>
        </is>
      </c>
      <c r="B14" s="204" t="n"/>
      <c r="C14" s="204" t="n"/>
      <c r="D14" s="202" t="n"/>
    </row>
    <row r="15">
      <c r="A15" s="204" t="n"/>
      <c r="B15" s="204" t="n"/>
      <c r="C15" s="204" t="n"/>
      <c r="D15" s="202" t="n"/>
    </row>
    <row r="16">
      <c r="A16" s="194" t="inlineStr">
        <is>
          <t>Проверил ______________________        А.В. Костянецкая</t>
        </is>
      </c>
      <c r="B16" s="205" t="n"/>
      <c r="C16" s="205" t="n"/>
      <c r="D16" s="202" t="n"/>
    </row>
    <row r="17">
      <c r="A17" s="204" t="inlineStr">
        <is>
          <t xml:space="preserve">                        (подпись, инициалы, фамилия)</t>
        </is>
      </c>
      <c r="B17" s="205" t="n"/>
      <c r="C17" s="205" t="n"/>
      <c r="D17" s="202" t="n"/>
    </row>
  </sheetData>
  <mergeCells count="6">
    <mergeCell ref="A5:D5"/>
    <mergeCell ref="A8:A9"/>
    <mergeCell ref="C8:C9"/>
    <mergeCell ref="A3:D3"/>
    <mergeCell ref="D8:D9"/>
    <mergeCell ref="B8:B9"/>
  </mergeCells>
  <pageMargins left="0.7" right="0.7" top="0.75" bottom="0.75" header="0.3" footer="0.3"/>
  <pageSetup orientation="portrait" paperSize="9" scale="8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7" zoomScale="60" zoomScaleNormal="85" workbookViewId="0">
      <selection activeCell="B25" sqref="B25"/>
    </sheetView>
  </sheetViews>
  <sheetFormatPr baseColWidth="8" defaultRowHeight="15"/>
  <cols>
    <col width="9.140625" customWidth="1" style="213" min="1" max="1"/>
    <col width="40.7109375" customWidth="1" style="213" min="2" max="2"/>
    <col width="37" customWidth="1" style="213" min="3" max="3"/>
    <col width="32" customWidth="1" style="213" min="4" max="4"/>
    <col width="9.140625" customWidth="1" style="213" min="5" max="5"/>
  </cols>
  <sheetData>
    <row r="4" ht="15.75" customHeight="1" s="213">
      <c r="B4" s="236" t="inlineStr">
        <is>
          <t>Приложение № 10</t>
        </is>
      </c>
    </row>
    <row r="5" ht="18.75" customHeight="1" s="213">
      <c r="B5" s="109" t="n"/>
    </row>
    <row r="6" ht="15.75" customHeight="1" s="213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89" t="n"/>
    </row>
    <row r="8">
      <c r="B8" s="289" t="n"/>
      <c r="C8" s="289" t="n"/>
      <c r="D8" s="289" t="n"/>
      <c r="E8" s="289" t="n"/>
    </row>
    <row r="9" ht="47.25" customHeight="1" s="213">
      <c r="B9" s="243" t="inlineStr">
        <is>
          <t>Наименование индекса / норм сопутствующих затрат</t>
        </is>
      </c>
      <c r="C9" s="243" t="inlineStr">
        <is>
          <t>Дата применения и обоснование индекса / норм сопутствующих затрат</t>
        </is>
      </c>
      <c r="D9" s="243" t="inlineStr">
        <is>
          <t>Размер индекса / норма сопутствующих затрат</t>
        </is>
      </c>
    </row>
    <row r="10" ht="15.75" customHeight="1" s="213">
      <c r="B10" s="243" t="n">
        <v>1</v>
      </c>
      <c r="C10" s="243" t="n">
        <v>2</v>
      </c>
      <c r="D10" s="243" t="n">
        <v>3</v>
      </c>
    </row>
    <row r="11" ht="45" customHeight="1" s="213">
      <c r="B11" s="243" t="inlineStr">
        <is>
          <t xml:space="preserve">Индекс изменения сметной стоимости на 1 квартал 2023 года. ОЗП </t>
        </is>
      </c>
      <c r="C11" s="243" t="inlineStr">
        <is>
          <t>Письмо Минстроя России от 30.03.2023г. №17106-ИФ/09  прил.1</t>
        </is>
      </c>
      <c r="D11" s="243" t="n">
        <v>36.47</v>
      </c>
    </row>
    <row r="12" ht="29.25" customHeight="1" s="213">
      <c r="B12" s="243" t="inlineStr">
        <is>
          <t>Индекс изменения сметной стоимости на 1 квартал 2023 года. ЭМ</t>
        </is>
      </c>
      <c r="C12" s="243" t="inlineStr">
        <is>
          <t>Письмо Минстроя России от 30.03.2023г. №17106-ИФ/09  прил.1</t>
        </is>
      </c>
      <c r="D12" s="243" t="n">
        <v>12.23</v>
      </c>
    </row>
    <row r="13" ht="29.25" customHeight="1" s="213">
      <c r="B13" s="243" t="inlineStr">
        <is>
          <t>Индекс изменения сметной стоимости на 1 квартал 2023 года. МАТ</t>
        </is>
      </c>
      <c r="C13" s="243" t="inlineStr">
        <is>
          <t>Письмо Минстроя России от 30.03.2023г. №17106-ИФ/09  прил.1</t>
        </is>
      </c>
      <c r="D13" s="243" t="n">
        <v>8.220000000000001</v>
      </c>
    </row>
    <row r="14" ht="30.75" customHeight="1" s="213">
      <c r="B14" s="243" t="inlineStr">
        <is>
          <t>Индекс изменения сметной стоимости на 1 квартал 2023 года. ОБ</t>
        </is>
      </c>
      <c r="C14" s="108" t="inlineStr">
        <is>
          <t>Письмо Минстроя России от 23.02.2023г. №9791-ИФ/09 прил.6</t>
        </is>
      </c>
      <c r="D14" s="243" t="n">
        <v>6.26</v>
      </c>
    </row>
    <row r="15" ht="89.25" customHeight="1" s="213">
      <c r="B15" s="243" t="inlineStr">
        <is>
          <t>Временные здания и сооружения</t>
        </is>
      </c>
      <c r="C15" s="24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2" t="n">
        <v>0.039</v>
      </c>
    </row>
    <row r="16" ht="78.75" customHeight="1" s="213">
      <c r="B16" s="243" t="inlineStr">
        <is>
          <t>Дополнительные затраты при производстве строительно-монтажных работ в зимнее время</t>
        </is>
      </c>
      <c r="C16" s="2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2" t="n">
        <v>0.021</v>
      </c>
    </row>
    <row r="17" ht="31.5" customHeight="1" s="213">
      <c r="B17" s="243" t="inlineStr">
        <is>
          <t>Строительный контроль</t>
        </is>
      </c>
      <c r="C17" s="243" t="inlineStr">
        <is>
          <t>Постановление Правительства РФ от 21.06.10 г. № 468</t>
        </is>
      </c>
      <c r="D17" s="112" t="n">
        <v>0.0214</v>
      </c>
    </row>
    <row r="18" ht="31.5" customHeight="1" s="213">
      <c r="B18" s="243" t="inlineStr">
        <is>
          <t>Авторский надзор - 0,2%</t>
        </is>
      </c>
      <c r="C18" s="243" t="inlineStr">
        <is>
          <t>Приказ от 4.08.2020 № 421/пр п.173</t>
        </is>
      </c>
      <c r="D18" s="112" t="n">
        <v>0.002</v>
      </c>
    </row>
    <row r="19" ht="24" customHeight="1" s="213">
      <c r="B19" s="243" t="inlineStr">
        <is>
          <t>Непредвиденные расходы</t>
        </is>
      </c>
      <c r="C19" s="243" t="inlineStr">
        <is>
          <t>Приказ от 4.08.2020 № 421/пр п.179</t>
        </is>
      </c>
      <c r="D19" s="112" t="n">
        <v>0.03</v>
      </c>
    </row>
    <row r="20" ht="18.75" customHeight="1" s="213">
      <c r="B20" s="110" t="n"/>
    </row>
    <row r="21" ht="18.75" customHeight="1" s="213">
      <c r="B21" s="110" t="n"/>
    </row>
    <row r="22" ht="18.75" customHeight="1" s="213">
      <c r="B22" s="110" t="n"/>
    </row>
    <row r="23" ht="18.75" customHeight="1" s="213">
      <c r="B23" s="110" t="n"/>
    </row>
    <row r="26">
      <c r="B26" s="194" t="inlineStr">
        <is>
          <t>Составил ______________________        Р.Р. Шагеева</t>
        </is>
      </c>
      <c r="C26" s="205" t="n"/>
    </row>
    <row r="27">
      <c r="B27" s="204" t="inlineStr">
        <is>
          <t xml:space="preserve">                         (подпись, инициалы, фамилия)</t>
        </is>
      </c>
      <c r="C27" s="205" t="n"/>
    </row>
    <row r="28">
      <c r="B28" s="194" t="n"/>
      <c r="C28" s="205" t="n"/>
    </row>
    <row r="29">
      <c r="B29" s="194" t="inlineStr">
        <is>
          <t>Проверил ______________________        А.В. Костянецкая</t>
        </is>
      </c>
      <c r="C29" s="205" t="n"/>
    </row>
    <row r="30">
      <c r="B30" s="204" t="inlineStr">
        <is>
          <t xml:space="preserve">                        (подпись, инициалы, фамилия)</t>
        </is>
      </c>
      <c r="C30" s="2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6:F13"/>
    </sheetView>
  </sheetViews>
  <sheetFormatPr baseColWidth="8" defaultColWidth="9.140625" defaultRowHeight="15"/>
  <cols>
    <col width="44.85546875" customWidth="1" style="213" min="2" max="2"/>
    <col width="13" customWidth="1" style="213" min="3" max="3"/>
    <col width="22.85546875" customWidth="1" style="213" min="4" max="4"/>
    <col width="21.5703125" customWidth="1" style="213" min="5" max="5"/>
    <col width="43.85546875" customWidth="1" style="213" min="6" max="6"/>
  </cols>
  <sheetData>
    <row r="1" s="213"/>
    <row r="2" ht="17.25" customHeight="1" s="213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3" s="213"/>
    <row r="4" ht="18" customHeight="1" s="213">
      <c r="A4" s="207" t="inlineStr">
        <is>
          <t>Составлен в уровне цен на 01.01.2023 г.</t>
        </is>
      </c>
      <c r="B4" s="211" t="n"/>
      <c r="C4" s="211" t="n"/>
      <c r="D4" s="211" t="n"/>
      <c r="E4" s="211" t="n"/>
      <c r="F4" s="211" t="n"/>
      <c r="G4" s="211" t="n"/>
    </row>
    <row r="5" ht="15.75" customHeight="1" s="213">
      <c r="A5" s="335" t="inlineStr">
        <is>
          <t>№ пп.</t>
        </is>
      </c>
      <c r="B5" s="335" t="inlineStr">
        <is>
          <t>Наименование элемента</t>
        </is>
      </c>
      <c r="C5" s="335" t="inlineStr">
        <is>
          <t>Обозначение</t>
        </is>
      </c>
      <c r="D5" s="335" t="inlineStr">
        <is>
          <t>Формула</t>
        </is>
      </c>
      <c r="E5" s="335" t="inlineStr">
        <is>
          <t>Величина элемента</t>
        </is>
      </c>
      <c r="F5" s="335" t="inlineStr">
        <is>
          <t>Наименования обосновывающих документов</t>
        </is>
      </c>
      <c r="G5" s="211" t="n"/>
    </row>
    <row r="6" ht="15.75" customHeight="1" s="213">
      <c r="A6" s="336" t="n">
        <v>1</v>
      </c>
      <c r="B6" s="336" t="n">
        <v>2</v>
      </c>
      <c r="C6" s="336" t="n">
        <v>3</v>
      </c>
      <c r="D6" s="336" t="n">
        <v>4</v>
      </c>
      <c r="E6" s="336" t="n">
        <v>5</v>
      </c>
      <c r="F6" s="336" t="n">
        <v>6</v>
      </c>
      <c r="G6" s="211" t="n"/>
    </row>
    <row r="7" ht="110.25" customHeight="1" s="213">
      <c r="A7" s="337" t="inlineStr">
        <is>
          <t>1.1</t>
        </is>
      </c>
      <c r="B7" s="33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9" t="inlineStr">
        <is>
          <t>С1ср</t>
        </is>
      </c>
      <c r="D7" s="339" t="inlineStr">
        <is>
          <t>-</t>
        </is>
      </c>
      <c r="E7" s="340" t="n">
        <v>47872.94</v>
      </c>
      <c r="F7" s="33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1" t="n"/>
    </row>
    <row r="8" ht="31.5" customHeight="1" s="213">
      <c r="A8" s="337" t="inlineStr">
        <is>
          <t>1.2</t>
        </is>
      </c>
      <c r="B8" s="338" t="inlineStr">
        <is>
          <t>Среднегодовое нормативное число часов работы одного рабочего в месяц, часы (ч.)</t>
        </is>
      </c>
      <c r="C8" s="339" t="inlineStr">
        <is>
          <t>tср</t>
        </is>
      </c>
      <c r="D8" s="339" t="inlineStr">
        <is>
          <t>1973ч/12мес.</t>
        </is>
      </c>
      <c r="E8" s="341">
        <f>1973/12</f>
        <v/>
      </c>
      <c r="F8" s="338" t="inlineStr">
        <is>
          <t>Производственный календарь 2023 год
(40-часов.неделя)</t>
        </is>
      </c>
      <c r="G8" s="210" t="n"/>
    </row>
    <row r="9" ht="15.75" customHeight="1" s="213">
      <c r="A9" s="337" t="inlineStr">
        <is>
          <t>1.3</t>
        </is>
      </c>
      <c r="B9" s="338" t="inlineStr">
        <is>
          <t>Коэффициент увеличения</t>
        </is>
      </c>
      <c r="C9" s="339" t="inlineStr">
        <is>
          <t>Кув</t>
        </is>
      </c>
      <c r="D9" s="339" t="inlineStr">
        <is>
          <t>-</t>
        </is>
      </c>
      <c r="E9" s="341" t="n">
        <v>1</v>
      </c>
      <c r="F9" s="338" t="n"/>
      <c r="G9" s="210" t="n"/>
    </row>
    <row r="10" ht="15.75" customHeight="1" s="213">
      <c r="A10" s="337" t="inlineStr">
        <is>
          <t>1.4</t>
        </is>
      </c>
      <c r="B10" s="338" t="inlineStr">
        <is>
          <t>Средний разряд работ</t>
        </is>
      </c>
      <c r="C10" s="339" t="n"/>
      <c r="D10" s="339" t="n"/>
      <c r="E10" s="364" t="n">
        <v>2.9</v>
      </c>
      <c r="F10" s="338" t="inlineStr">
        <is>
          <t>РТМ</t>
        </is>
      </c>
      <c r="G10" s="210" t="n"/>
    </row>
    <row r="11" ht="78.75" customHeight="1" s="213">
      <c r="A11" s="337" t="inlineStr">
        <is>
          <t>1.5</t>
        </is>
      </c>
      <c r="B11" s="338" t="inlineStr">
        <is>
          <t>Тарифный коэффициент среднего разряда работ</t>
        </is>
      </c>
      <c r="C11" s="339" t="inlineStr">
        <is>
          <t>КТ</t>
        </is>
      </c>
      <c r="D11" s="339" t="inlineStr">
        <is>
          <t>-</t>
        </is>
      </c>
      <c r="E11" s="365" t="n">
        <v>1.176</v>
      </c>
      <c r="F11" s="33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1" t="n"/>
    </row>
    <row r="12" ht="78.75" customHeight="1" s="213">
      <c r="A12" s="337" t="inlineStr">
        <is>
          <t>1.6</t>
        </is>
      </c>
      <c r="B12" s="344" t="inlineStr">
        <is>
          <t>Коэффициент инфляции, определяемый поквартально</t>
        </is>
      </c>
      <c r="C12" s="339" t="inlineStr">
        <is>
          <t>Кинф</t>
        </is>
      </c>
      <c r="D12" s="339" t="inlineStr">
        <is>
          <t>-</t>
        </is>
      </c>
      <c r="E12" s="366" t="n">
        <v>1.139</v>
      </c>
      <c r="F12" s="34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0" t="n"/>
    </row>
    <row r="13" ht="63" customHeight="1" s="213">
      <c r="A13" s="337" t="inlineStr">
        <is>
          <t>1.7</t>
        </is>
      </c>
      <c r="B13" s="347" t="inlineStr">
        <is>
          <t>Размер средств на оплату труда рабочих-строителей в текущем уровне цен (ФОТр.тек.), руб/чел.-ч</t>
        </is>
      </c>
      <c r="C13" s="339" t="inlineStr">
        <is>
          <t>ФОТр.тек.</t>
        </is>
      </c>
      <c r="D13" s="339" t="inlineStr">
        <is>
          <t>(С1ср/tср*КТ*Т*Кув)*Кинф</t>
        </is>
      </c>
      <c r="E13" s="348">
        <f>((E7*E9/E8)*E11)*E12</f>
        <v/>
      </c>
      <c r="F13" s="3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2025-01-24T11:53:24Z</dcterms:modified>
  <cp:lastModifiedBy>Nikolay Ivanov</cp:lastModifiedBy>
  <cp:lastPrinted>2023-11-29T12:20:01Z</cp:lastPrinted>
</cp:coreProperties>
</file>