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xlnm.Print_Area" localSheetId="1">'Прил.2 Расч стоим'!$A$1:$J$22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лрп" localSheetId="6">#REF!</definedName>
    <definedName name="гном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чик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щр" localSheetId="6">#REF!</definedName>
    <definedName name="ЗЮзя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Ицпп" localSheetId="6">#REF!</definedName>
    <definedName name="й" localSheetId="6">#REF!</definedName>
    <definedName name="йцйу3йк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2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ГорЗак" localSheetId="6">#REF!</definedName>
    <definedName name="Коэффициент" localSheetId="6">#REF!</definedName>
    <definedName name="кп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ительства" localSheetId="6">#REF!</definedName>
    <definedName name="Наименование_стройки" localSheetId="6">#REF!</definedName>
    <definedName name="накладные" localSheetId="6">#REF!</definedName>
    <definedName name="науки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в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д" localSheetId="6">#REF!</definedName>
    <definedName name="прдо" localSheetId="6">#REF!</definedName>
    <definedName name="прер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ская_область" localSheetId="6">#REF!</definedName>
    <definedName name="псрл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гион__вводит_пользователь_программы_из_контекстного_списка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одня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ия_проектирования" localSheetId="6">#REF!</definedName>
    <definedName name="Станц10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тул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5.1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_-* #,##0\ _₽_-;\-* #,##0\ _₽_-;_-* &quot;-&quot;??\ _₽_-;_-@_-"/>
    <numFmt numFmtId="165" formatCode="#,##0.0000"/>
    <numFmt numFmtId="166" formatCode="0.0000"/>
    <numFmt numFmtId="167" formatCode="#,##0.0"/>
    <numFmt numFmtId="168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4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3" fontId="2" fillId="0" borderId="1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14" fontId="16" fillId="0" borderId="1" applyAlignment="1" pivotButton="0" quotePrefix="0" xfId="0">
      <alignment horizontal="center" vertical="center" wrapText="1"/>
    </xf>
    <xf numFmtId="10" fontId="1" fillId="0" borderId="6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4" fontId="1" fillId="0" borderId="6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  <xf numFmtId="49" fontId="20" fillId="0" borderId="0" pivotButton="0" quotePrefix="0" xfId="0"/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0" fontId="16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5" borderId="0" applyAlignment="1" pivotButton="0" quotePrefix="0" xfId="0">
      <alignment vertical="center"/>
    </xf>
    <xf numFmtId="43" fontId="1" fillId="0" borderId="1" applyAlignment="1" pivotButton="0" quotePrefix="0" xfId="0">
      <alignment horizontal="right" vertical="center" wrapText="1"/>
    </xf>
    <xf numFmtId="43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center" vertical="center" wrapText="1"/>
    </xf>
    <xf numFmtId="2" fontId="20" fillId="0" borderId="0" pivotButton="0" quotePrefix="0" xfId="0"/>
    <xf numFmtId="49" fontId="16" fillId="0" borderId="0" applyAlignment="1" pivotButton="0" quotePrefix="0" xfId="0">
      <alignment horizontal="left" vertical="center"/>
    </xf>
    <xf numFmtId="10" fontId="16" fillId="0" borderId="0" applyAlignment="1" pivotButton="0" quotePrefix="0" xfId="0">
      <alignment vertical="center"/>
    </xf>
    <xf numFmtId="43" fontId="20" fillId="0" borderId="1" applyAlignment="1" pivotButton="0" quotePrefix="0" xfId="0">
      <alignment vertical="center"/>
    </xf>
    <xf numFmtId="43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16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0" pivotButton="0" quotePrefix="0" xfId="0"/>
    <xf numFmtId="14" fontId="16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30" fillId="0" borderId="0" pivotButton="0" quotePrefix="0" xfId="0"/>
    <xf numFmtId="0" fontId="16" fillId="0" borderId="10" applyAlignment="1" pivotButton="0" quotePrefix="0" xfId="0">
      <alignment horizontal="center" vertical="center"/>
    </xf>
    <xf numFmtId="49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/>
    </xf>
    <xf numFmtId="4" fontId="16" fillId="0" borderId="10" applyAlignment="1" pivotButton="0" quotePrefix="0" xfId="0">
      <alignment horizontal="center" vertical="center"/>
    </xf>
    <xf numFmtId="167" fontId="16" fillId="0" borderId="10" applyAlignment="1" pivotButton="0" quotePrefix="0" xfId="0">
      <alignment horizontal="center" vertical="center"/>
    </xf>
    <xf numFmtId="168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vertical="center" wrapText="1"/>
    </xf>
    <xf numFmtId="166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wrapText="1"/>
    </xf>
    <xf numFmtId="0" fontId="20" fillId="0" borderId="10" applyAlignment="1" pivotButton="0" quotePrefix="0" xfId="0">
      <alignment vertical="center" wrapText="1"/>
    </xf>
    <xf numFmtId="4" fontId="20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4" fontId="20" fillId="0" borderId="2" applyAlignment="1" pivotButton="0" quotePrefix="0" xfId="0">
      <alignment horizontal="right" vertical="center" wrapText="1"/>
    </xf>
    <xf numFmtId="4" fontId="20" fillId="0" borderId="8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20" fillId="0" borderId="1" applyAlignment="1" pivotButton="0" quotePrefix="0" xfId="0">
      <alignment horizontal="right" vertical="center" wrapText="1"/>
    </xf>
    <xf numFmtId="4" fontId="16" fillId="0" borderId="2" applyAlignment="1" pivotButton="0" quotePrefix="0" xfId="0">
      <alignment horizontal="right" vertical="center"/>
    </xf>
    <xf numFmtId="4" fontId="16" fillId="0" borderId="8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20" fillId="0" borderId="2" applyAlignment="1" pivotButton="0" quotePrefix="0" xfId="0">
      <alignment vertical="center"/>
    </xf>
    <xf numFmtId="0" fontId="20" fillId="0" borderId="7" applyAlignment="1" pivotButton="0" quotePrefix="0" xfId="0">
      <alignment vertical="center"/>
    </xf>
    <xf numFmtId="0" fontId="20" fillId="0" borderId="8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4" fontId="20" fillId="0" borderId="1" applyAlignment="1" pivotButton="0" quotePrefix="0" xfId="0">
      <alignment horizontal="right" vertical="center" wrapText="1"/>
    </xf>
    <xf numFmtId="43" fontId="2" fillId="0" borderId="1" applyAlignment="1" pivotButton="0" quotePrefix="0" xfId="0">
      <alignment vertical="center" wrapText="1"/>
    </xf>
    <xf numFmtId="166" fontId="1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center" vertical="center" wrapText="1"/>
    </xf>
    <xf numFmtId="43" fontId="1" fillId="0" borderId="1" applyAlignment="1" pivotButton="0" quotePrefix="0" xfId="0">
      <alignment horizontal="right" vertical="center" wrapText="1"/>
    </xf>
    <xf numFmtId="43" fontId="20" fillId="0" borderId="1" applyAlignment="1" pivotButton="0" quotePrefix="0" xfId="0">
      <alignment vertical="center"/>
    </xf>
    <xf numFmtId="43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5" fontId="1" fillId="0" borderId="1" applyAlignment="1" pivotButton="0" quotePrefix="0" xfId="0">
      <alignment horizontal="center" vertical="center" wrapText="1"/>
    </xf>
    <xf numFmtId="43" fontId="1" fillId="0" borderId="1" applyAlignment="1" pivotButton="0" quotePrefix="0" xfId="0">
      <alignment horizontal="right" vertical="center"/>
    </xf>
    <xf numFmtId="167" fontId="16" fillId="0" borderId="10" applyAlignment="1" pivotButton="0" quotePrefix="0" xfId="0">
      <alignment horizontal="center" vertical="center"/>
    </xf>
    <xf numFmtId="168" fontId="16" fillId="0" borderId="10" applyAlignment="1" pivotButton="0" quotePrefix="0" xfId="0">
      <alignment horizontal="center" vertical="center"/>
    </xf>
    <xf numFmtId="166" fontId="16" fillId="0" borderId="1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0" zoomScale="60" zoomScaleNormal="55" workbookViewId="0">
      <selection activeCell="C28" sqref="C28"/>
    </sheetView>
  </sheetViews>
  <sheetFormatPr baseColWidth="8" defaultColWidth="9.140625" defaultRowHeight="15.75"/>
  <cols>
    <col width="9.140625" customWidth="1" style="211" min="1" max="2"/>
    <col width="51.7109375" customWidth="1" style="211" min="3" max="3"/>
    <col width="47" customWidth="1" style="211" min="4" max="4"/>
    <col width="37.42578125" customWidth="1" style="211" min="5" max="5"/>
    <col width="9.140625" customWidth="1" style="211" min="6" max="6"/>
  </cols>
  <sheetData>
    <row r="3">
      <c r="B3" s="249" t="inlineStr">
        <is>
          <t>Приложение № 1</t>
        </is>
      </c>
    </row>
    <row r="4">
      <c r="B4" s="250" t="inlineStr">
        <is>
          <t>Сравнительная таблица отбора объекта-представителя</t>
        </is>
      </c>
    </row>
    <row r="5" ht="84" customHeight="1" s="215">
      <c r="B5" s="252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15">
      <c r="B6" s="158" t="n"/>
      <c r="C6" s="158" t="n"/>
      <c r="D6" s="158" t="n"/>
    </row>
    <row r="7" ht="64.5" customHeight="1" s="215">
      <c r="B7" s="251" t="inlineStr">
        <is>
          <t>Наименование разрабатываемого показателя УНЦ - Подготовка и устройство территории ПС (ЗПС) г. Москва</t>
        </is>
      </c>
    </row>
    <row r="8" ht="31.5" customHeight="1" s="215">
      <c r="B8" s="133" t="inlineStr">
        <is>
          <t xml:space="preserve">Сопоставимый уровень цен: </t>
        </is>
      </c>
      <c r="C8" s="133" t="n"/>
      <c r="D8" s="225">
        <f>D22</f>
        <v/>
      </c>
    </row>
    <row r="9" ht="15.75" customHeight="1" s="215">
      <c r="B9" s="251" t="inlineStr">
        <is>
          <t>Единица измерения  — 1 м2</t>
        </is>
      </c>
    </row>
    <row r="10">
      <c r="B10" s="251" t="n"/>
    </row>
    <row r="11">
      <c r="B11" s="255" t="inlineStr">
        <is>
          <t>№ п/п</t>
        </is>
      </c>
      <c r="C11" s="255" t="inlineStr">
        <is>
          <t>Параметр</t>
        </is>
      </c>
      <c r="D11" s="255" t="inlineStr">
        <is>
          <t xml:space="preserve">Объект-представитель </t>
        </is>
      </c>
      <c r="E11" s="141" t="n"/>
    </row>
    <row r="12" ht="96.75" customHeight="1" s="215">
      <c r="B12" s="255" t="n">
        <v>1</v>
      </c>
      <c r="C12" s="265" t="inlineStr">
        <is>
          <t>Наименование объекта-представителя</t>
        </is>
      </c>
      <c r="D12" s="255" t="inlineStr">
        <is>
          <t xml:space="preserve">Комплексное техническое перевооружение и реконструкция ПС 500/220/110 кВ Очаково. Корректировка </t>
        </is>
      </c>
    </row>
    <row r="13">
      <c r="B13" s="255" t="n">
        <v>2</v>
      </c>
      <c r="C13" s="265" t="inlineStr">
        <is>
          <t>Наименование субъекта Российской Федерации</t>
        </is>
      </c>
      <c r="D13" s="255" t="inlineStr">
        <is>
          <t>г. Москва</t>
        </is>
      </c>
    </row>
    <row r="14">
      <c r="B14" s="255" t="n">
        <v>3</v>
      </c>
      <c r="C14" s="265" t="inlineStr">
        <is>
          <t>Климатический район и подрайон</t>
        </is>
      </c>
      <c r="D14" s="255" t="inlineStr">
        <is>
          <t>IIВ</t>
        </is>
      </c>
    </row>
    <row r="15">
      <c r="B15" s="255" t="n">
        <v>4</v>
      </c>
      <c r="C15" s="265" t="inlineStr">
        <is>
          <t>Мощность объекта</t>
        </is>
      </c>
      <c r="D15" s="255" t="n">
        <v>39040</v>
      </c>
    </row>
    <row r="16" ht="116.25" customHeight="1" s="215">
      <c r="B16" s="255" t="n">
        <v>5</v>
      </c>
      <c r="C16" s="11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5" t="inlineStr">
        <is>
          <t>Трубы напорные из полиэтилена низкого давления среднего типа, наружным диаметром: 250 мм</t>
        </is>
      </c>
    </row>
    <row r="17" ht="79.5" customHeight="1" s="215">
      <c r="B17" s="255" t="n">
        <v>6</v>
      </c>
      <c r="C17" s="11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6">
        <f>D18+D19+D20+D21</f>
        <v/>
      </c>
      <c r="E17" s="157" t="n"/>
    </row>
    <row r="18">
      <c r="B18" s="140" t="inlineStr">
        <is>
          <t>6.1</t>
        </is>
      </c>
      <c r="C18" s="265" t="inlineStr">
        <is>
          <t>строительно-монтажные работы</t>
        </is>
      </c>
      <c r="D18" s="226">
        <f>'Прил.2 Расч стоим'!F14+'Прил.2 Расч стоим'!G14</f>
        <v/>
      </c>
    </row>
    <row r="19" ht="15.75" customHeight="1" s="215">
      <c r="B19" s="140" t="inlineStr">
        <is>
          <t>6.2</t>
        </is>
      </c>
      <c r="C19" s="265" t="inlineStr">
        <is>
          <t>оборудование и инвентарь</t>
        </is>
      </c>
      <c r="D19" s="226">
        <f>'Прил.2 Расч стоим'!H14</f>
        <v/>
      </c>
    </row>
    <row r="20" ht="16.5" customHeight="1" s="215">
      <c r="B20" s="140" t="inlineStr">
        <is>
          <t>6.3</t>
        </is>
      </c>
      <c r="C20" s="265" t="inlineStr">
        <is>
          <t>пусконаладочные работы</t>
        </is>
      </c>
      <c r="D20" s="255" t="n">
        <v>0</v>
      </c>
    </row>
    <row r="21" ht="35.25" customHeight="1" s="215">
      <c r="B21" s="140" t="inlineStr">
        <is>
          <t>6.4</t>
        </is>
      </c>
      <c r="C21" s="139" t="inlineStr">
        <is>
          <t>прочие и лимитированные затраты</t>
        </is>
      </c>
      <c r="D21" s="226">
        <f>D18*0.039+(D18*0.039+D18)*0.021</f>
        <v/>
      </c>
    </row>
    <row r="22">
      <c r="B22" s="255" t="n">
        <v>7</v>
      </c>
      <c r="C22" s="139" t="inlineStr">
        <is>
          <t>Сопоставимый уровень цен</t>
        </is>
      </c>
      <c r="D22" s="162" t="inlineStr">
        <is>
          <t>4 кв. 2016 г.</t>
        </is>
      </c>
      <c r="E22" s="137" t="n"/>
    </row>
    <row r="23" ht="78.75" customHeight="1" s="215">
      <c r="B23" s="255" t="n">
        <v>8</v>
      </c>
      <c r="C23" s="138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6">
        <f>D17</f>
        <v/>
      </c>
      <c r="E23" s="157" t="n"/>
    </row>
    <row r="24" ht="31.5" customHeight="1" s="215">
      <c r="B24" s="255" t="n">
        <v>9</v>
      </c>
      <c r="C24" s="111" t="inlineStr">
        <is>
          <t>Приведенная сметная стоимость на единицу мощности, тыс. руб. (строка 8/строку 4)</t>
        </is>
      </c>
      <c r="D24" s="226">
        <f>D23/D15</f>
        <v/>
      </c>
      <c r="E24" s="137" t="n"/>
    </row>
    <row r="25">
      <c r="B25" s="255" t="n">
        <v>10</v>
      </c>
      <c r="C25" s="265" t="inlineStr">
        <is>
          <t>Примечание</t>
        </is>
      </c>
      <c r="D25" s="255" t="n"/>
    </row>
    <row r="26">
      <c r="B26" s="135" t="n"/>
      <c r="C26" s="134" t="n"/>
      <c r="D26" s="134" t="n"/>
    </row>
    <row r="27">
      <c r="B27" s="133" t="n"/>
    </row>
    <row r="28">
      <c r="B28" s="211" t="inlineStr">
        <is>
          <t>Составил ______________________    Д.А. Самуйленко</t>
        </is>
      </c>
    </row>
    <row r="29">
      <c r="B29" s="133" t="inlineStr">
        <is>
          <t xml:space="preserve">                         (подпись, инициалы, фамилия)</t>
        </is>
      </c>
    </row>
    <row r="31">
      <c r="B31" s="211" t="inlineStr">
        <is>
          <t>Проверил ______________________        А.В. Костянецкая</t>
        </is>
      </c>
    </row>
    <row r="32">
      <c r="B32" s="133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2"/>
  <sheetViews>
    <sheetView view="pageBreakPreview" zoomScale="70" zoomScaleNormal="70" workbookViewId="0">
      <selection activeCell="C17" sqref="C17"/>
    </sheetView>
  </sheetViews>
  <sheetFormatPr baseColWidth="8" defaultColWidth="9.140625" defaultRowHeight="15.75"/>
  <cols>
    <col width="5.5703125" customWidth="1" style="211" min="1" max="1"/>
    <col width="9.140625" customWidth="1" style="211" min="2" max="2"/>
    <col width="35.28515625" customWidth="1" style="211" min="3" max="3"/>
    <col width="13.85546875" customWidth="1" style="211" min="4" max="4"/>
    <col width="24.85546875" customWidth="1" style="211" min="5" max="5"/>
    <col width="15.5703125" customWidth="1" style="211" min="6" max="6"/>
    <col width="14.85546875" customWidth="1" style="211" min="7" max="7"/>
    <col width="16.7109375" customWidth="1" style="211" min="8" max="8"/>
    <col width="13" customWidth="1" style="211" min="9" max="10"/>
    <col width="18" customWidth="1" style="211" min="11" max="11"/>
    <col width="9.140625" customWidth="1" style="211" min="12" max="12"/>
  </cols>
  <sheetData>
    <row r="3">
      <c r="B3" s="249" t="inlineStr">
        <is>
          <t>Приложение № 2</t>
        </is>
      </c>
      <c r="K3" s="133" t="n"/>
    </row>
    <row r="4">
      <c r="B4" s="250" t="inlineStr">
        <is>
          <t>Расчет стоимости основных видов работ для выбора объекта-представителя</t>
        </is>
      </c>
    </row>
    <row r="5">
      <c r="B5" s="142" t="n"/>
      <c r="C5" s="142" t="n"/>
      <c r="D5" s="142" t="n"/>
      <c r="E5" s="142" t="n"/>
      <c r="F5" s="142" t="n"/>
      <c r="G5" s="142" t="n"/>
      <c r="H5" s="142" t="n"/>
      <c r="I5" s="142" t="n"/>
      <c r="J5" s="142" t="n"/>
      <c r="K5" s="142" t="n"/>
    </row>
    <row r="6" ht="66" customHeight="1" s="215">
      <c r="B6" s="256">
        <f>'Прил.1 Сравнит табл'!B7:D7</f>
        <v/>
      </c>
      <c r="K6" s="188" t="n"/>
    </row>
    <row r="7">
      <c r="B7" s="251">
        <f>'Прил.1 Сравнит табл'!B9:D9</f>
        <v/>
      </c>
    </row>
    <row r="8" ht="18.75" customHeight="1" s="215">
      <c r="B8" s="113" t="n"/>
    </row>
    <row r="9" ht="15.75" customHeight="1" s="215">
      <c r="B9" s="255" t="inlineStr">
        <is>
          <t>№ п/п</t>
        </is>
      </c>
      <c r="C9" s="25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55" t="inlineStr">
        <is>
          <t>Объект-представитель 1</t>
        </is>
      </c>
      <c r="E9" s="349" t="n"/>
      <c r="F9" s="349" t="n"/>
      <c r="G9" s="349" t="n"/>
      <c r="H9" s="349" t="n"/>
      <c r="I9" s="349" t="n"/>
      <c r="J9" s="350" t="n"/>
    </row>
    <row r="10" ht="15.75" customHeight="1" s="215">
      <c r="B10" s="351" t="n"/>
      <c r="C10" s="351" t="n"/>
      <c r="D10" s="255" t="inlineStr">
        <is>
          <t>Номер сметы</t>
        </is>
      </c>
      <c r="E10" s="255" t="inlineStr">
        <is>
          <t>Наименование сметы</t>
        </is>
      </c>
      <c r="F10" s="255" t="inlineStr">
        <is>
          <t>Сметная стоимость в уровне цен 4 кв. 2016 г., тыс. руб.</t>
        </is>
      </c>
      <c r="G10" s="349" t="n"/>
      <c r="H10" s="349" t="n"/>
      <c r="I10" s="349" t="n"/>
      <c r="J10" s="350" t="n"/>
    </row>
    <row r="11" ht="31.5" customHeight="1" s="215">
      <c r="B11" s="352" t="n"/>
      <c r="C11" s="352" t="n"/>
      <c r="D11" s="352" t="n"/>
      <c r="E11" s="352" t="n"/>
      <c r="F11" s="255" t="inlineStr">
        <is>
          <t>Строительные работы</t>
        </is>
      </c>
      <c r="G11" s="255" t="inlineStr">
        <is>
          <t>Монтажные работы</t>
        </is>
      </c>
      <c r="H11" s="255" t="inlineStr">
        <is>
          <t>Оборудование</t>
        </is>
      </c>
      <c r="I11" s="255" t="inlineStr">
        <is>
          <t>Прочее</t>
        </is>
      </c>
      <c r="J11" s="255" t="inlineStr">
        <is>
          <t>Всего</t>
        </is>
      </c>
    </row>
    <row r="12" ht="47.25" customHeight="1" s="215">
      <c r="B12" s="216" t="n">
        <v>1</v>
      </c>
      <c r="C12" s="302" t="inlineStr">
        <is>
          <t>Трубы напорные из полиэтилена низкого давления среднего типа, наружным диаметром: 250 мм</t>
        </is>
      </c>
      <c r="D12" s="218" t="n"/>
      <c r="E12" s="265" t="n"/>
      <c r="F12" s="220" t="n">
        <v>755.7461472</v>
      </c>
      <c r="G12" s="350" t="n"/>
      <c r="H12" s="220" t="n"/>
      <c r="I12" s="220" t="n"/>
      <c r="J12" s="221">
        <f>SUM(F12:I12)</f>
        <v/>
      </c>
    </row>
    <row r="13" ht="15" customHeight="1" s="215">
      <c r="B13" s="257" t="inlineStr">
        <is>
          <t>Всего по объекту:</t>
        </is>
      </c>
      <c r="C13" s="349" t="n"/>
      <c r="D13" s="349" t="n"/>
      <c r="E13" s="350" t="n"/>
      <c r="F13" s="223" t="n"/>
      <c r="G13" s="223" t="n"/>
      <c r="H13" s="223" t="n"/>
      <c r="I13" s="223" t="n"/>
      <c r="J13" s="223" t="n"/>
      <c r="K13" s="224" t="n"/>
    </row>
    <row r="14" ht="15.75" customHeight="1" s="215">
      <c r="B14" s="257" t="inlineStr">
        <is>
          <t>Всего по объекту в сопоставимом уровне цен 4 кв. 2016 г. :</t>
        </is>
      </c>
      <c r="C14" s="349" t="n"/>
      <c r="D14" s="349" t="n"/>
      <c r="E14" s="350" t="n"/>
      <c r="F14" s="353">
        <f>F12</f>
        <v/>
      </c>
      <c r="G14" s="350" t="n"/>
      <c r="H14" s="223">
        <f>H13</f>
        <v/>
      </c>
      <c r="I14" s="223">
        <f>'Прил.1 Сравнит табл'!D21</f>
        <v/>
      </c>
      <c r="J14" s="223">
        <f>SUM(F14:I14)</f>
        <v/>
      </c>
    </row>
    <row r="15" ht="15" customHeight="1" s="215"/>
    <row r="16" ht="15" customHeight="1" s="215"/>
    <row r="17" ht="15" customHeight="1" s="215"/>
    <row r="18" ht="15" customHeight="1" s="215">
      <c r="C18" s="197" t="inlineStr">
        <is>
          <t>Составил ______________________     Д.А. Самуйленко</t>
        </is>
      </c>
      <c r="D18" s="208" t="n"/>
      <c r="E18" s="208" t="n"/>
    </row>
    <row r="19" ht="15" customHeight="1" s="215">
      <c r="C19" s="207" t="inlineStr">
        <is>
          <t xml:space="preserve">                         (подпись, инициалы, фамилия)</t>
        </is>
      </c>
      <c r="D19" s="208" t="n"/>
      <c r="E19" s="208" t="n"/>
    </row>
    <row r="20" ht="15" customHeight="1" s="215">
      <c r="C20" s="197" t="n"/>
      <c r="D20" s="208" t="n"/>
      <c r="E20" s="208" t="n"/>
    </row>
    <row r="21" ht="15" customHeight="1" s="215">
      <c r="C21" s="197" t="inlineStr">
        <is>
          <t>Проверил ______________________        А.В. Костянецкая</t>
        </is>
      </c>
      <c r="D21" s="208" t="n"/>
      <c r="E21" s="208" t="n"/>
    </row>
    <row r="22" ht="15" customHeight="1" s="215">
      <c r="C22" s="207" t="inlineStr">
        <is>
          <t xml:space="preserve">                        (подпись, инициалы, фамилия)</t>
        </is>
      </c>
      <c r="D22" s="208" t="n"/>
      <c r="E22" s="208" t="n"/>
    </row>
    <row r="23" ht="15" customHeight="1" s="215"/>
    <row r="24" ht="15" customHeight="1" s="215"/>
    <row r="25" ht="15" customHeight="1" s="215"/>
    <row r="26" ht="15" customHeight="1" s="215"/>
    <row r="27" ht="15" customHeight="1" s="215"/>
    <row r="28" ht="15" customHeight="1" s="215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41"/>
  <sheetViews>
    <sheetView view="pageBreakPreview" topLeftCell="A19" zoomScale="85" workbookViewId="0">
      <selection activeCell="D39" sqref="D39"/>
    </sheetView>
  </sheetViews>
  <sheetFormatPr baseColWidth="8" defaultColWidth="9.140625" defaultRowHeight="15.75"/>
  <cols>
    <col width="9.140625" customWidth="1" style="211" min="1" max="1"/>
    <col width="12.5703125" customWidth="1" style="211" min="2" max="2"/>
    <col width="22.42578125" customWidth="1" style="211" min="3" max="3"/>
    <col width="49.7109375" customWidth="1" style="211" min="4" max="4"/>
    <col width="10.140625" customWidth="1" style="211" min="5" max="5"/>
    <col width="20.7109375" customWidth="1" style="211" min="6" max="6"/>
    <col width="20" customWidth="1" style="211" min="7" max="7"/>
    <col width="16.7109375" customWidth="1" style="211" min="8" max="8"/>
    <col width="9.140625" customWidth="1" style="211" min="9" max="9"/>
    <col width="11.28515625" customWidth="1" style="211" min="10" max="10"/>
    <col width="15" customWidth="1" style="211" min="11" max="11"/>
    <col width="9.140625" customWidth="1" style="211" min="12" max="12"/>
    <col width="13.5703125" customWidth="1" style="211" min="13" max="13"/>
    <col width="9.140625" customWidth="1" style="211" min="14" max="14"/>
  </cols>
  <sheetData>
    <row r="2">
      <c r="A2" s="249" t="inlineStr">
        <is>
          <t xml:space="preserve">Приложение № 3 </t>
        </is>
      </c>
    </row>
    <row r="3">
      <c r="A3" s="250" t="inlineStr">
        <is>
          <t>Объектная ресурсная ведомость</t>
        </is>
      </c>
    </row>
    <row r="4" ht="18.75" customHeight="1" s="215">
      <c r="A4" s="160" t="n"/>
      <c r="B4" s="160" t="n"/>
      <c r="C4" s="27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51" t="n"/>
    </row>
    <row r="6" ht="48" customHeight="1" s="215">
      <c r="A6" s="256" t="inlineStr">
        <is>
          <t>Наименование разрабатываемого показателя УНЦ - Подготовка и устройство территории ПС (ЗПС) г. Москва</t>
        </is>
      </c>
    </row>
    <row r="7" ht="16.5" customHeight="1" s="215">
      <c r="A7" s="256" t="n"/>
      <c r="B7" s="256" t="n"/>
      <c r="C7" s="256" t="n"/>
      <c r="D7" s="256" t="n"/>
      <c r="E7" s="256" t="n"/>
      <c r="F7" s="256" t="n"/>
      <c r="G7" s="256" t="n"/>
      <c r="H7" s="256" t="n"/>
      <c r="I7" s="211" t="n"/>
      <c r="J7" s="211" t="n"/>
      <c r="K7" s="211" t="n"/>
      <c r="L7" s="211" t="n"/>
      <c r="M7" s="211" t="n"/>
      <c r="N7" s="211" t="n"/>
    </row>
    <row r="8">
      <c r="A8" s="143" t="n"/>
      <c r="B8" s="143" t="n"/>
      <c r="C8" s="143" t="n"/>
      <c r="D8" s="143" t="n"/>
      <c r="E8" s="143" t="n"/>
      <c r="F8" s="143" t="n"/>
      <c r="G8" s="143" t="n"/>
      <c r="H8" s="143" t="n"/>
    </row>
    <row r="9" ht="38.25" customHeight="1" s="215">
      <c r="A9" s="255" t="inlineStr">
        <is>
          <t>п/п</t>
        </is>
      </c>
      <c r="B9" s="255" t="inlineStr">
        <is>
          <t>№ЛСР</t>
        </is>
      </c>
      <c r="C9" s="255" t="inlineStr">
        <is>
          <t>Код ресурса</t>
        </is>
      </c>
      <c r="D9" s="255" t="inlineStr">
        <is>
          <t>Наименование ресурса</t>
        </is>
      </c>
      <c r="E9" s="255" t="inlineStr">
        <is>
          <t>Ед. изм.</t>
        </is>
      </c>
      <c r="F9" s="255" t="inlineStr">
        <is>
          <t>Кол-во единиц по данным объекта-представителя</t>
        </is>
      </c>
      <c r="G9" s="255" t="inlineStr">
        <is>
          <t>Сметная стоимость в ценах на 01.01.2000 (руб.)</t>
        </is>
      </c>
      <c r="H9" s="350" t="n"/>
    </row>
    <row r="10" ht="40.5" customHeight="1" s="215">
      <c r="A10" s="352" t="n"/>
      <c r="B10" s="352" t="n"/>
      <c r="C10" s="352" t="n"/>
      <c r="D10" s="352" t="n"/>
      <c r="E10" s="352" t="n"/>
      <c r="F10" s="352" t="n"/>
      <c r="G10" s="255" t="inlineStr">
        <is>
          <t>на ед.изм.</t>
        </is>
      </c>
      <c r="H10" s="255" t="inlineStr">
        <is>
          <t>общая</t>
        </is>
      </c>
    </row>
    <row r="11">
      <c r="A11" s="302" t="n">
        <v>1</v>
      </c>
      <c r="B11" s="302" t="n"/>
      <c r="C11" s="302" t="n">
        <v>2</v>
      </c>
      <c r="D11" s="302" t="inlineStr">
        <is>
          <t>З</t>
        </is>
      </c>
      <c r="E11" s="302" t="n">
        <v>4</v>
      </c>
      <c r="F11" s="302" t="n">
        <v>5</v>
      </c>
      <c r="G11" s="302" t="n">
        <v>6</v>
      </c>
      <c r="H11" s="302" t="n">
        <v>7</v>
      </c>
    </row>
    <row r="12" customFormat="1" s="144">
      <c r="A12" s="266" t="inlineStr">
        <is>
          <t>Затраты труда рабочих</t>
        </is>
      </c>
      <c r="B12" s="349" t="n"/>
      <c r="C12" s="349" t="n"/>
      <c r="D12" s="349" t="n"/>
      <c r="E12" s="350" t="n"/>
      <c r="F12" s="354" t="n">
        <v>3263.81</v>
      </c>
      <c r="G12" s="10" t="n"/>
      <c r="H12" s="354">
        <f>SUM(H13:H16)</f>
        <v/>
      </c>
      <c r="K12" s="174" t="n"/>
      <c r="M12" s="192" t="n"/>
      <c r="N12" s="174" t="n"/>
    </row>
    <row r="13">
      <c r="A13" s="164" t="inlineStr">
        <is>
          <t>1</t>
        </is>
      </c>
      <c r="B13" s="165" t="n"/>
      <c r="C13" s="164" t="inlineStr">
        <is>
          <t>1-3-0</t>
        </is>
      </c>
      <c r="D13" s="282" t="inlineStr">
        <is>
          <t>Затраты труда рабочих (средний разряд работы 3,0)</t>
        </is>
      </c>
      <c r="E13" s="279" t="inlineStr">
        <is>
          <t>чел.-ч</t>
        </is>
      </c>
      <c r="F13" s="355" t="n">
        <v>1392.99</v>
      </c>
      <c r="G13" s="300" t="n">
        <v>8.529999999999999</v>
      </c>
      <c r="H13" s="26">
        <f>ROUND(F13*G13,2)</f>
        <v/>
      </c>
      <c r="J13" s="142" t="n"/>
      <c r="K13" s="210" t="n"/>
    </row>
    <row r="14">
      <c r="A14" s="164" t="inlineStr">
        <is>
          <t>2</t>
        </is>
      </c>
      <c r="B14" s="165" t="n"/>
      <c r="C14" s="164" t="inlineStr">
        <is>
          <t>1-2-8</t>
        </is>
      </c>
      <c r="D14" s="282" t="inlineStr">
        <is>
          <t>Затраты труда рабочих (средний разряд работы 2,8)</t>
        </is>
      </c>
      <c r="E14" s="279" t="inlineStr">
        <is>
          <t>чел.-ч</t>
        </is>
      </c>
      <c r="F14" s="355" t="n">
        <v>1103.85</v>
      </c>
      <c r="G14" s="300" t="n">
        <v>8.380000000000001</v>
      </c>
      <c r="H14" s="26">
        <f>ROUND(F14*G14,2)</f>
        <v/>
      </c>
      <c r="J14" s="142" t="n"/>
      <c r="K14" s="210" t="n"/>
    </row>
    <row r="15">
      <c r="A15" s="164" t="inlineStr">
        <is>
          <t>3</t>
        </is>
      </c>
      <c r="B15" s="165" t="n"/>
      <c r="C15" s="164" t="inlineStr">
        <is>
          <t>1-2-0</t>
        </is>
      </c>
      <c r="D15" s="282" t="inlineStr">
        <is>
          <t>Затраты труда рабочих (средний разряд работы 2,0)</t>
        </is>
      </c>
      <c r="E15" s="279" t="inlineStr">
        <is>
          <t>чел.-ч</t>
        </is>
      </c>
      <c r="F15" s="355" t="n">
        <v>525.29</v>
      </c>
      <c r="G15" s="300" t="n">
        <v>6.26</v>
      </c>
      <c r="H15" s="26">
        <f>ROUND(F15*G15,2)</f>
        <v/>
      </c>
      <c r="J15" s="142" t="n"/>
      <c r="K15" s="210" t="n"/>
    </row>
    <row r="16">
      <c r="A16" s="164" t="inlineStr">
        <is>
          <t>4</t>
        </is>
      </c>
      <c r="B16" s="165" t="n"/>
      <c r="C16" s="164" t="inlineStr">
        <is>
          <t>1-3-6</t>
        </is>
      </c>
      <c r="D16" s="282" t="inlineStr">
        <is>
          <t>Затраты труда рабочих (средний разряд работы 3,6)</t>
        </is>
      </c>
      <c r="E16" s="279" t="inlineStr">
        <is>
          <t>чел.-ч</t>
        </is>
      </c>
      <c r="F16" s="355" t="n">
        <v>241.68</v>
      </c>
      <c r="G16" s="300" t="n">
        <v>9.18</v>
      </c>
      <c r="H16" s="26">
        <f>ROUND(F16*G16,2)</f>
        <v/>
      </c>
      <c r="J16" s="142" t="n"/>
      <c r="K16" s="210" t="n"/>
    </row>
    <row r="17" ht="15.75" customHeight="1" s="215">
      <c r="A17" s="272" t="inlineStr">
        <is>
          <t>Затраты труда машинистов</t>
        </is>
      </c>
      <c r="B17" s="349" t="n"/>
      <c r="C17" s="349" t="n"/>
      <c r="D17" s="349" t="n"/>
      <c r="E17" s="350" t="n"/>
      <c r="F17" s="266" t="n"/>
      <c r="G17" s="145" t="n"/>
      <c r="H17" s="354">
        <f>H18</f>
        <v/>
      </c>
      <c r="J17" s="133" t="n"/>
      <c r="K17" s="133" t="n"/>
    </row>
    <row r="18">
      <c r="A18" s="279" t="n">
        <v>5</v>
      </c>
      <c r="B18" s="264" t="n"/>
      <c r="C18" s="164" t="n">
        <v>2</v>
      </c>
      <c r="D18" s="282" t="inlineStr">
        <is>
          <t>Затраты труда машинистов</t>
        </is>
      </c>
      <c r="E18" s="279" t="inlineStr">
        <is>
          <t>чел.-ч</t>
        </is>
      </c>
      <c r="F18" s="279" t="n">
        <v>107.3</v>
      </c>
      <c r="G18" s="26" t="n">
        <v>0</v>
      </c>
      <c r="H18" s="284" t="n">
        <v>1442.96</v>
      </c>
    </row>
    <row r="19" customFormat="1" s="144">
      <c r="A19" s="263" t="inlineStr">
        <is>
          <t>Машины и механизмы</t>
        </is>
      </c>
      <c r="B19" s="349" t="n"/>
      <c r="C19" s="349" t="n"/>
      <c r="D19" s="349" t="n"/>
      <c r="E19" s="350" t="n"/>
      <c r="F19" s="263" t="n"/>
      <c r="G19" s="185" t="n"/>
      <c r="H19" s="356">
        <f>SUM(H20:H29)</f>
        <v/>
      </c>
    </row>
    <row r="20">
      <c r="A20" s="279" t="n">
        <v>6</v>
      </c>
      <c r="B20" s="264" t="n"/>
      <c r="C20" s="164" t="inlineStr">
        <is>
          <t>91.19.08-004</t>
        </is>
      </c>
      <c r="D20" s="282" t="inlineStr">
        <is>
          <t>Насосы, мощность 4 кВт</t>
        </is>
      </c>
      <c r="E20" s="279" t="inlineStr">
        <is>
          <t>маш.час</t>
        </is>
      </c>
      <c r="F20" s="164" t="n">
        <v>1575.9</v>
      </c>
      <c r="G20" s="357" t="n">
        <v>2.96</v>
      </c>
      <c r="H20" s="357">
        <f>ROUND(F20*G20,2)</f>
        <v/>
      </c>
      <c r="I20" s="161" t="n"/>
      <c r="J20" s="194" t="n"/>
      <c r="L20" s="161" t="n"/>
    </row>
    <row r="21">
      <c r="A21" s="279" t="n">
        <v>7</v>
      </c>
      <c r="B21" s="264" t="n"/>
      <c r="C21" s="164" t="inlineStr">
        <is>
          <t>91.17.04-031</t>
        </is>
      </c>
      <c r="D21" s="282" t="inlineStr">
        <is>
          <t>Агрегаты для сварки полиэтиленовых труб</t>
        </is>
      </c>
      <c r="E21" s="279" t="inlineStr">
        <is>
          <t>маш.час</t>
        </is>
      </c>
      <c r="F21" s="164" t="n">
        <v>40.6</v>
      </c>
      <c r="G21" s="357" t="n">
        <v>100.1</v>
      </c>
      <c r="H21" s="357">
        <f>ROUND(F21*G21,2)</f>
        <v/>
      </c>
      <c r="I21" s="161" t="n"/>
      <c r="J21" s="194" t="n"/>
      <c r="L21" s="161" t="n"/>
    </row>
    <row r="22">
      <c r="A22" s="279" t="n">
        <v>8</v>
      </c>
      <c r="B22" s="264" t="n"/>
      <c r="C22" s="164" t="inlineStr">
        <is>
          <t>91.01.01-036</t>
        </is>
      </c>
      <c r="D22" s="282" t="inlineStr">
        <is>
          <t>Бульдозеры, мощность 96 кВт (130 л.с.)</t>
        </is>
      </c>
      <c r="E22" s="279" t="inlineStr">
        <is>
          <t>маш.час</t>
        </is>
      </c>
      <c r="F22" s="164" t="n">
        <v>38.81</v>
      </c>
      <c r="G22" s="357" t="n">
        <v>94.05</v>
      </c>
      <c r="H22" s="357">
        <f>ROUND(F22*G22,2)</f>
        <v/>
      </c>
      <c r="I22" s="161" t="n"/>
      <c r="J22" s="194" t="n"/>
      <c r="L22" s="161" t="n"/>
    </row>
    <row r="23" ht="25.5" customHeight="1" s="215">
      <c r="A23" s="279" t="n">
        <v>9</v>
      </c>
      <c r="B23" s="264" t="n"/>
      <c r="C23" s="164" t="inlineStr">
        <is>
          <t>91.01.05-086</t>
        </is>
      </c>
      <c r="D23" s="282" t="inlineStr">
        <is>
          <t>Экскаваторы одноковшовые дизельные на гусеничном ходу, емкость ковша 0,65 м3</t>
        </is>
      </c>
      <c r="E23" s="279" t="inlineStr">
        <is>
          <t>маш.час</t>
        </is>
      </c>
      <c r="F23" s="164" t="n">
        <v>19.58</v>
      </c>
      <c r="G23" s="357" t="n">
        <v>115.27</v>
      </c>
      <c r="H23" s="357">
        <f>ROUND(F23*G23,2)</f>
        <v/>
      </c>
      <c r="I23" s="161" t="n"/>
      <c r="J23" s="194" t="n"/>
      <c r="L23" s="161" t="n"/>
    </row>
    <row r="24" ht="51" customHeight="1" s="215">
      <c r="A24" s="279" t="n">
        <v>10</v>
      </c>
      <c r="B24" s="264" t="n"/>
      <c r="C24" s="164" t="inlineStr">
        <is>
          <t>91.10.09-012</t>
        </is>
      </c>
      <c r="D24" s="282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E24" s="279" t="inlineStr">
        <is>
          <t>маш.час</t>
        </is>
      </c>
      <c r="F24" s="164" t="n">
        <v>24.85</v>
      </c>
      <c r="G24" s="357" t="n">
        <v>26.32</v>
      </c>
      <c r="H24" s="357">
        <f>ROUND(F24*G24,2)</f>
        <v/>
      </c>
      <c r="I24" s="161" t="n"/>
      <c r="J24" s="194" t="n"/>
      <c r="L24" s="161" t="n"/>
    </row>
    <row r="25">
      <c r="A25" s="279" t="n">
        <v>11</v>
      </c>
      <c r="B25" s="264" t="n"/>
      <c r="C25" s="164" t="inlineStr">
        <is>
          <t>91.01.01-035</t>
        </is>
      </c>
      <c r="D25" s="282" t="inlineStr">
        <is>
          <t>Бульдозеры, мощность 79 кВт (108 л.с.)</t>
        </is>
      </c>
      <c r="E25" s="279" t="inlineStr">
        <is>
          <t>маш.час</t>
        </is>
      </c>
      <c r="F25" s="164" t="n">
        <v>4.11</v>
      </c>
      <c r="G25" s="357" t="n">
        <v>79.06999999999999</v>
      </c>
      <c r="H25" s="357">
        <f>ROUND(F25*G25,2)</f>
        <v/>
      </c>
      <c r="I25" s="161" t="n"/>
      <c r="J25" s="194" t="n"/>
      <c r="L25" s="161" t="n"/>
    </row>
    <row r="26" ht="25.5" customHeight="1" s="215">
      <c r="A26" s="279" t="n">
        <v>12</v>
      </c>
      <c r="B26" s="264" t="n"/>
      <c r="C26" s="164" t="inlineStr">
        <is>
          <t>91.05.05-014</t>
        </is>
      </c>
      <c r="D26" s="282" t="inlineStr">
        <is>
          <t>Краны на автомобильном ходу, грузоподъемность 10 т</t>
        </is>
      </c>
      <c r="E26" s="279" t="inlineStr">
        <is>
          <t>маш.час</t>
        </is>
      </c>
      <c r="F26" s="164" t="n">
        <v>1.27</v>
      </c>
      <c r="G26" s="357" t="n">
        <v>111.99</v>
      </c>
      <c r="H26" s="357">
        <f>ROUND(F26*G26,2)</f>
        <v/>
      </c>
      <c r="I26" s="161" t="n"/>
      <c r="J26" s="194" t="n"/>
      <c r="L26" s="161" t="n"/>
    </row>
    <row r="27">
      <c r="A27" s="279" t="n">
        <v>13</v>
      </c>
      <c r="B27" s="264" t="n"/>
      <c r="C27" s="164" t="inlineStr">
        <is>
          <t>91.16.01-002</t>
        </is>
      </c>
      <c r="D27" s="282" t="inlineStr">
        <is>
          <t>Электростанции передвижные, мощность 4 кВт</t>
        </is>
      </c>
      <c r="E27" s="279" t="inlineStr">
        <is>
          <t>маш.час</t>
        </is>
      </c>
      <c r="F27" s="164" t="n">
        <v>2.88</v>
      </c>
      <c r="G27" s="357" t="n">
        <v>27.11</v>
      </c>
      <c r="H27" s="357">
        <f>ROUND(F27*G27,2)</f>
        <v/>
      </c>
      <c r="I27" s="161" t="n"/>
      <c r="J27" s="194" t="n"/>
      <c r="L27" s="161" t="n"/>
    </row>
    <row r="28">
      <c r="A28" s="279" t="n">
        <v>14</v>
      </c>
      <c r="B28" s="264" t="n"/>
      <c r="C28" s="164" t="inlineStr">
        <is>
          <t>91.14.04-002</t>
        </is>
      </c>
      <c r="D28" s="282" t="inlineStr">
        <is>
          <t>Тягачи седельные, грузоподъемность: 15 т</t>
        </is>
      </c>
      <c r="E28" s="279" t="inlineStr">
        <is>
          <t>маш.час</t>
        </is>
      </c>
      <c r="F28" s="164" t="n">
        <v>0.04</v>
      </c>
      <c r="G28" s="357" t="n">
        <v>94.38</v>
      </c>
      <c r="H28" s="357">
        <f>ROUND(F28*G28,2)</f>
        <v/>
      </c>
      <c r="I28" s="161" t="n"/>
      <c r="J28" s="194" t="n"/>
      <c r="L28" s="161" t="n"/>
    </row>
    <row r="29" ht="25.5" customHeight="1" s="215">
      <c r="A29" s="279" t="n">
        <v>15</v>
      </c>
      <c r="B29" s="264" t="n"/>
      <c r="C29" s="164" t="inlineStr">
        <is>
          <t>91.14.05-012</t>
        </is>
      </c>
      <c r="D29" s="282" t="inlineStr">
        <is>
          <t>Полуприцепы общего назначения, грузоподъемность: 15 т</t>
        </is>
      </c>
      <c r="E29" s="279" t="inlineStr">
        <is>
          <t>маш.час</t>
        </is>
      </c>
      <c r="F29" s="164" t="n">
        <v>0.04</v>
      </c>
      <c r="G29" s="357" t="n">
        <v>19.76</v>
      </c>
      <c r="H29" s="357">
        <f>ROUND(F29*G29,2)</f>
        <v/>
      </c>
      <c r="I29" s="161" t="n"/>
      <c r="J29" s="194" t="n"/>
      <c r="L29" s="161" t="n"/>
    </row>
    <row r="30" ht="15" customHeight="1" s="215">
      <c r="A30" s="272" t="inlineStr">
        <is>
          <t>Оборудование</t>
        </is>
      </c>
      <c r="B30" s="349" t="n"/>
      <c r="C30" s="349" t="n"/>
      <c r="D30" s="349" t="n"/>
      <c r="E30" s="350" t="n"/>
      <c r="F30" s="10" t="n"/>
      <c r="G30" s="354" t="n"/>
      <c r="H30" s="10" t="n">
        <v>0</v>
      </c>
    </row>
    <row r="31">
      <c r="A31" s="263" t="inlineStr">
        <is>
          <t>Материалы</t>
        </is>
      </c>
      <c r="B31" s="349" t="n"/>
      <c r="C31" s="349" t="n"/>
      <c r="D31" s="349" t="n"/>
      <c r="E31" s="350" t="n"/>
      <c r="F31" s="263" t="n"/>
      <c r="G31" s="358" t="n"/>
      <c r="H31" s="354">
        <f>SUM(H32:H34)</f>
        <v/>
      </c>
    </row>
    <row r="32" ht="25.5" customHeight="1" s="215">
      <c r="A32" s="180" t="n">
        <v>16</v>
      </c>
      <c r="B32" s="264" t="n"/>
      <c r="C32" s="164" t="inlineStr">
        <is>
          <t>24.3.03.13-0425</t>
        </is>
      </c>
      <c r="D32" s="282" t="inlineStr">
        <is>
          <t>Трубы напорные из полиэтилена низкого давления среднего типа, наружным диаметром: 250 мм</t>
        </is>
      </c>
      <c r="E32" s="279" t="inlineStr">
        <is>
          <t>10 м</t>
        </is>
      </c>
      <c r="F32" s="164" t="inlineStr">
        <is>
          <t>71,64</t>
        </is>
      </c>
      <c r="G32" s="359" t="n">
        <v>355.7</v>
      </c>
      <c r="H32" s="357">
        <f>G32*F32</f>
        <v/>
      </c>
      <c r="J32" s="194" t="n"/>
      <c r="L32" s="161" t="n"/>
    </row>
    <row r="33">
      <c r="A33" s="180" t="n">
        <v>17</v>
      </c>
      <c r="B33" s="264" t="n"/>
      <c r="C33" s="164" t="inlineStr">
        <is>
          <t>01.7.03.01-0001</t>
        </is>
      </c>
      <c r="D33" s="282" t="inlineStr">
        <is>
          <t>Вода</t>
        </is>
      </c>
      <c r="E33" s="279" t="inlineStr">
        <is>
          <t>м3</t>
        </is>
      </c>
      <c r="F33" s="164" t="n">
        <v>35.07</v>
      </c>
      <c r="G33" s="359" t="n">
        <v>2.44</v>
      </c>
      <c r="H33" s="357">
        <f>G33*F33</f>
        <v/>
      </c>
      <c r="J33" s="194" t="n"/>
    </row>
    <row r="34" ht="25.5" customHeight="1" s="215">
      <c r="A34" s="180" t="n">
        <v>18</v>
      </c>
      <c r="B34" s="264" t="n"/>
      <c r="C34" s="164" t="inlineStr">
        <is>
          <t>12.1.02.14-0001</t>
        </is>
      </c>
      <c r="D34" s="282" t="inlineStr">
        <is>
          <t>Толь с крупнозернистой посыпкой гидроизоляционный марки ТГ-350</t>
        </is>
      </c>
      <c r="E34" s="279" t="inlineStr">
        <is>
          <t>м2</t>
        </is>
      </c>
      <c r="F34" s="164" t="n">
        <v>2.435</v>
      </c>
      <c r="G34" s="359" t="n">
        <v>5.71</v>
      </c>
      <c r="H34" s="357">
        <f>G34*F34</f>
        <v/>
      </c>
      <c r="J34" s="194" t="n"/>
    </row>
    <row r="37">
      <c r="B37" s="211" t="inlineStr">
        <is>
          <t>Составил ______________________    Д.А. Самуйленко</t>
        </is>
      </c>
    </row>
    <row r="38">
      <c r="B38" s="133" t="inlineStr">
        <is>
          <t xml:space="preserve">                         (подпись, инициалы, фамилия)</t>
        </is>
      </c>
    </row>
    <row r="40">
      <c r="B40" s="211" t="inlineStr">
        <is>
          <t>Проверил ______________________        А.В. Костянецкая</t>
        </is>
      </c>
    </row>
    <row r="41">
      <c r="B41" s="133" t="inlineStr">
        <is>
          <t xml:space="preserve">                        (подпись, инициалы, фамилия)</t>
        </is>
      </c>
    </row>
  </sheetData>
  <mergeCells count="16">
    <mergeCell ref="A30:E30"/>
    <mergeCell ref="C9:C10"/>
    <mergeCell ref="B9:B10"/>
    <mergeCell ref="A12:E12"/>
    <mergeCell ref="A3:H3"/>
    <mergeCell ref="D9:D10"/>
    <mergeCell ref="E9:E10"/>
    <mergeCell ref="F9:F10"/>
    <mergeCell ref="A9:A10"/>
    <mergeCell ref="A2:H2"/>
    <mergeCell ref="A19:E19"/>
    <mergeCell ref="C4:H4"/>
    <mergeCell ref="A31:E31"/>
    <mergeCell ref="G9:H9"/>
    <mergeCell ref="A17:E17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26" workbookViewId="0">
      <selection activeCell="B43" sqref="B43"/>
    </sheetView>
  </sheetViews>
  <sheetFormatPr baseColWidth="8" defaultRowHeight="15"/>
  <cols>
    <col width="4.140625" customWidth="1" style="215" min="1" max="1"/>
    <col width="36.28515625" customWidth="1" style="215" min="2" max="2"/>
    <col width="18.85546875" customWidth="1" style="215" min="3" max="3"/>
    <col width="18.28515625" customWidth="1" style="215" min="4" max="4"/>
    <col width="18.85546875" customWidth="1" style="215" min="5" max="5"/>
    <col width="9.140625" customWidth="1" style="215" min="6" max="6"/>
    <col width="13.42578125" customWidth="1" style="215" min="7" max="7"/>
    <col width="9.140625" customWidth="1" style="215" min="8" max="11"/>
    <col width="13.5703125" customWidth="1" style="215" min="12" max="12"/>
    <col width="9.140625" customWidth="1" style="215" min="13" max="13"/>
  </cols>
  <sheetData>
    <row r="1">
      <c r="B1" s="197" t="n"/>
      <c r="C1" s="197" t="n"/>
      <c r="D1" s="197" t="n"/>
      <c r="E1" s="197" t="n"/>
    </row>
    <row r="2">
      <c r="B2" s="197" t="n"/>
      <c r="C2" s="197" t="n"/>
      <c r="D2" s="197" t="n"/>
      <c r="E2" s="296" t="inlineStr">
        <is>
          <t>Приложение № 4</t>
        </is>
      </c>
    </row>
    <row r="3">
      <c r="B3" s="197" t="n"/>
      <c r="C3" s="197" t="n"/>
      <c r="D3" s="197" t="n"/>
      <c r="E3" s="197" t="n"/>
    </row>
    <row r="4">
      <c r="B4" s="197" t="n"/>
      <c r="C4" s="197" t="n"/>
      <c r="D4" s="197" t="n"/>
      <c r="E4" s="197" t="n"/>
    </row>
    <row r="5">
      <c r="B5" s="242" t="inlineStr">
        <is>
          <t>Ресурсная модель</t>
        </is>
      </c>
    </row>
    <row r="6">
      <c r="B6" s="156" t="n"/>
      <c r="C6" s="197" t="n"/>
      <c r="D6" s="197" t="n"/>
      <c r="E6" s="197" t="n"/>
    </row>
    <row r="7" ht="57.75" customHeight="1" s="215">
      <c r="B7" s="274" t="inlineStr">
        <is>
          <t>Наименование разрабатываемого показателя УНЦ — Подготовка и устройство территории ПС (ЗПС) г. Москва</t>
        </is>
      </c>
    </row>
    <row r="8">
      <c r="B8" s="275" t="inlineStr">
        <is>
          <t>Единица измерения  — 1 м2</t>
        </is>
      </c>
    </row>
    <row r="9">
      <c r="B9" s="156" t="n"/>
      <c r="C9" s="197" t="n"/>
      <c r="D9" s="197" t="n"/>
      <c r="E9" s="197" t="n"/>
    </row>
    <row r="10" ht="51" customHeight="1" s="215">
      <c r="B10" s="279" t="inlineStr">
        <is>
          <t>Наименование</t>
        </is>
      </c>
      <c r="C10" s="279" t="inlineStr">
        <is>
          <t>Сметная стоимость в ценах на 01.01.2023
 (руб.)</t>
        </is>
      </c>
      <c r="D10" s="279" t="inlineStr">
        <is>
          <t>Удельный вес, 
(в СМР)</t>
        </is>
      </c>
      <c r="E10" s="279" t="inlineStr">
        <is>
          <t>Удельный вес, % 
(от всего по РМ)</t>
        </is>
      </c>
    </row>
    <row r="11">
      <c r="B11" s="99" t="inlineStr">
        <is>
          <t>Оплата труда рабочих</t>
        </is>
      </c>
      <c r="C11" s="150">
        <f>'Прил.5 Расчет СМР и ОБ'!J14</f>
        <v/>
      </c>
      <c r="D11" s="151">
        <f>C11/$C$24</f>
        <v/>
      </c>
      <c r="E11" s="151">
        <f>C11/$C$40</f>
        <v/>
      </c>
    </row>
    <row r="12">
      <c r="B12" s="99" t="inlineStr">
        <is>
          <t>Эксплуатация машин основных</t>
        </is>
      </c>
      <c r="C12" s="150">
        <f>'Прил.5 Расчет СМР и ОБ'!J23</f>
        <v/>
      </c>
      <c r="D12" s="151">
        <f>C12/$C$24</f>
        <v/>
      </c>
      <c r="E12" s="151">
        <f>C12/$C$40</f>
        <v/>
      </c>
    </row>
    <row r="13">
      <c r="B13" s="99" t="inlineStr">
        <is>
          <t>Эксплуатация машин прочих</t>
        </is>
      </c>
      <c r="C13" s="150">
        <f>'Прил.5 Расчет СМР и ОБ'!J30</f>
        <v/>
      </c>
      <c r="D13" s="151">
        <f>C13/$C$24</f>
        <v/>
      </c>
      <c r="E13" s="151">
        <f>C13/$C$40</f>
        <v/>
      </c>
    </row>
    <row r="14">
      <c r="B14" s="99" t="inlineStr">
        <is>
          <t>ЭКСПЛУАТАЦИЯ МАШИН, ВСЕГО:</t>
        </is>
      </c>
      <c r="C14" s="150">
        <f>C13+C12</f>
        <v/>
      </c>
      <c r="D14" s="151">
        <f>C14/$C$24</f>
        <v/>
      </c>
      <c r="E14" s="151">
        <f>C14/$C$40</f>
        <v/>
      </c>
    </row>
    <row r="15">
      <c r="B15" s="99" t="inlineStr">
        <is>
          <t>в том числе зарплата машинистов</t>
        </is>
      </c>
      <c r="C15" s="150">
        <f>'Прил.5 Расчет СМР и ОБ'!J16</f>
        <v/>
      </c>
      <c r="D15" s="151">
        <f>C15/$C$24</f>
        <v/>
      </c>
      <c r="E15" s="151">
        <f>C15/$C$40</f>
        <v/>
      </c>
    </row>
    <row r="16">
      <c r="B16" s="99" t="inlineStr">
        <is>
          <t>Материалы основные</t>
        </is>
      </c>
      <c r="C16" s="150">
        <f>'Прил.5 Расчет СМР и ОБ'!J41</f>
        <v/>
      </c>
      <c r="D16" s="151">
        <f>C16/$C$24</f>
        <v/>
      </c>
      <c r="E16" s="151">
        <f>C16/$C$40</f>
        <v/>
      </c>
    </row>
    <row r="17">
      <c r="B17" s="99" t="inlineStr">
        <is>
          <t>Материалы прочие</t>
        </is>
      </c>
      <c r="C17" s="150">
        <f>'Прил.5 Расчет СМР и ОБ'!J44</f>
        <v/>
      </c>
      <c r="D17" s="151">
        <f>C17/$C$24</f>
        <v/>
      </c>
      <c r="E17" s="151">
        <f>C17/$C$40</f>
        <v/>
      </c>
      <c r="G17" s="360" t="n"/>
    </row>
    <row r="18">
      <c r="B18" s="99" t="inlineStr">
        <is>
          <t>МАТЕРИАЛЫ, ВСЕГО:</t>
        </is>
      </c>
      <c r="C18" s="150">
        <f>C17+C16</f>
        <v/>
      </c>
      <c r="D18" s="151">
        <f>C18/$C$24</f>
        <v/>
      </c>
      <c r="E18" s="151">
        <f>C18/$C$40</f>
        <v/>
      </c>
    </row>
    <row r="19">
      <c r="B19" s="99" t="inlineStr">
        <is>
          <t>ИТОГО</t>
        </is>
      </c>
      <c r="C19" s="150">
        <f>C18+C14+C11</f>
        <v/>
      </c>
      <c r="D19" s="151" t="n"/>
      <c r="E19" s="99" t="n"/>
    </row>
    <row r="20">
      <c r="B20" s="99" t="inlineStr">
        <is>
          <t>Сметная прибыль, руб.</t>
        </is>
      </c>
      <c r="C20" s="150">
        <f>ROUND(C21*(C11+C15),2)</f>
        <v/>
      </c>
      <c r="D20" s="151">
        <f>C20/$C$24</f>
        <v/>
      </c>
      <c r="E20" s="151">
        <f>C20/$C$40</f>
        <v/>
      </c>
    </row>
    <row r="21">
      <c r="B21" s="99" t="inlineStr">
        <is>
          <t>Сметная прибыль, %</t>
        </is>
      </c>
      <c r="C21" s="154">
        <f>'Прил.5 Расчет СМР и ОБ'!D48</f>
        <v/>
      </c>
      <c r="D21" s="151" t="n"/>
      <c r="E21" s="99" t="n"/>
    </row>
    <row r="22">
      <c r="B22" s="99" t="inlineStr">
        <is>
          <t>Накладные расходы, руб.</t>
        </is>
      </c>
      <c r="C22" s="150">
        <f>ROUND(C23*(C11+C15),2)</f>
        <v/>
      </c>
      <c r="D22" s="151">
        <f>C22/$C$24</f>
        <v/>
      </c>
      <c r="E22" s="151">
        <f>C22/$C$40</f>
        <v/>
      </c>
    </row>
    <row r="23">
      <c r="B23" s="99" t="inlineStr">
        <is>
          <t>Накладные расходы, %</t>
        </is>
      </c>
      <c r="C23" s="154">
        <f>'Прил.5 Расчет СМР и ОБ'!D47</f>
        <v/>
      </c>
      <c r="D23" s="151" t="n"/>
      <c r="E23" s="99" t="n"/>
    </row>
    <row r="24">
      <c r="B24" s="99" t="inlineStr">
        <is>
          <t>ВСЕГО СМР с НР и СП</t>
        </is>
      </c>
      <c r="C24" s="150">
        <f>C19+C20+C22</f>
        <v/>
      </c>
      <c r="D24" s="151">
        <f>C24/$C$24</f>
        <v/>
      </c>
      <c r="E24" s="151">
        <f>C24/$C$40</f>
        <v/>
      </c>
    </row>
    <row r="25" ht="25.5" customHeight="1" s="215">
      <c r="B25" s="99" t="inlineStr">
        <is>
          <t>ВСЕГО стоимость оборудования, в том числе</t>
        </is>
      </c>
      <c r="C25" s="150">
        <f>'Прил.5 Расчет СМР и ОБ'!J36</f>
        <v/>
      </c>
      <c r="D25" s="151" t="n"/>
      <c r="E25" s="151">
        <f>C25/$C$40</f>
        <v/>
      </c>
    </row>
    <row r="26" ht="25.5" customHeight="1" s="215">
      <c r="B26" s="99" t="inlineStr">
        <is>
          <t>стоимость оборудования технологического</t>
        </is>
      </c>
      <c r="C26" s="150">
        <f>'Прил.5 Расчет СМР и ОБ'!J37</f>
        <v/>
      </c>
      <c r="D26" s="151" t="n"/>
      <c r="E26" s="151">
        <f>C26/$C$40</f>
        <v/>
      </c>
    </row>
    <row r="27">
      <c r="B27" s="99" t="inlineStr">
        <is>
          <t>ИТОГО (СМР + ОБОРУДОВАНИЕ)</t>
        </is>
      </c>
      <c r="C27" s="153">
        <f>C24+C25</f>
        <v/>
      </c>
      <c r="D27" s="151" t="n"/>
      <c r="E27" s="151">
        <f>C27/$C$40</f>
        <v/>
      </c>
      <c r="G27" s="152" t="n"/>
    </row>
    <row r="28" ht="33" customHeight="1" s="215">
      <c r="B28" s="99" t="inlineStr">
        <is>
          <t>ПРОЧ. ЗАТР., УЧТЕННЫЕ ПОКАЗАТЕЛЕМ,  в том числе</t>
        </is>
      </c>
      <c r="C28" s="99" t="n"/>
      <c r="D28" s="99" t="n"/>
      <c r="E28" s="99" t="n"/>
    </row>
    <row r="29" ht="25.5" customHeight="1" s="215">
      <c r="B29" s="99" t="inlineStr">
        <is>
          <t>Временные здания и сооружения - 3,9%</t>
        </is>
      </c>
      <c r="C29" s="153">
        <f>ROUND(C24*3.9%,2)</f>
        <v/>
      </c>
      <c r="D29" s="99" t="n"/>
      <c r="E29" s="151">
        <f>C29/$C$40</f>
        <v/>
      </c>
    </row>
    <row r="30" ht="38.25" customHeight="1" s="215">
      <c r="B30" s="99" t="inlineStr">
        <is>
          <t>Дополнительные затраты при производстве строительно-монтажных работ в зимнее время - 2,1%</t>
        </is>
      </c>
      <c r="C30" s="153">
        <f>ROUND((C24+C29)*2.1%,2)</f>
        <v/>
      </c>
      <c r="D30" s="99" t="n"/>
      <c r="E30" s="151">
        <f>C30/$C$40</f>
        <v/>
      </c>
    </row>
    <row r="31">
      <c r="B31" s="99" t="inlineStr">
        <is>
          <t>Пусконаладочные работы</t>
        </is>
      </c>
      <c r="C31" s="153" t="n">
        <v>0</v>
      </c>
      <c r="D31" s="99" t="n"/>
      <c r="E31" s="151">
        <f>C31/$C$40</f>
        <v/>
      </c>
    </row>
    <row r="32" ht="25.5" customHeight="1" s="215">
      <c r="B32" s="99" t="inlineStr">
        <is>
          <t>Затраты по перевозке работников к месту работы и обратно</t>
        </is>
      </c>
      <c r="C32" s="153" t="n">
        <v>0</v>
      </c>
      <c r="D32" s="99" t="n"/>
      <c r="E32" s="151">
        <f>C32/$C$40</f>
        <v/>
      </c>
    </row>
    <row r="33" ht="25.5" customHeight="1" s="215">
      <c r="B33" s="99" t="inlineStr">
        <is>
          <t>Затраты, связанные с осуществлением работ вахтовым методом</t>
        </is>
      </c>
      <c r="C33" s="153">
        <f>ROUND(C27*0%,2)</f>
        <v/>
      </c>
      <c r="D33" s="99" t="n"/>
      <c r="E33" s="151">
        <f>C33/$C$40</f>
        <v/>
      </c>
    </row>
    <row r="34" ht="51" customHeight="1" s="215">
      <c r="B34" s="99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53" t="n">
        <v>0</v>
      </c>
      <c r="D34" s="99" t="n"/>
      <c r="E34" s="151">
        <f>C34/$C$40</f>
        <v/>
      </c>
    </row>
    <row r="35" ht="76.5" customHeight="1" s="215">
      <c r="B35" s="99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53">
        <f>ROUND(C27*0%,2)</f>
        <v/>
      </c>
      <c r="D35" s="99" t="n"/>
      <c r="E35" s="151">
        <f>C35/$C$40</f>
        <v/>
      </c>
    </row>
    <row r="36" ht="25.5" customHeight="1" s="215">
      <c r="B36" s="99" t="inlineStr">
        <is>
          <t>Строительный контроль и содержание службы заказчика - 2,14%</t>
        </is>
      </c>
      <c r="C36" s="153">
        <f>ROUND((C27+C32+C33+C34+C35+C29+C31+C30)*2.14%,2)</f>
        <v/>
      </c>
      <c r="D36" s="99" t="n"/>
      <c r="E36" s="151">
        <f>C36/$C$40</f>
        <v/>
      </c>
      <c r="G36" s="186" t="n"/>
      <c r="L36" s="152" t="n"/>
    </row>
    <row r="37">
      <c r="B37" s="99" t="inlineStr">
        <is>
          <t>Авторский надзор - 0,2%</t>
        </is>
      </c>
      <c r="C37" s="153">
        <f>ROUND((C27+C32+C33+C34+C35+C29+C31+C30)*0.2%,2)</f>
        <v/>
      </c>
      <c r="D37" s="99" t="n"/>
      <c r="E37" s="151">
        <f>C37/$C$40</f>
        <v/>
      </c>
      <c r="G37" s="187" t="n"/>
      <c r="L37" s="152" t="n"/>
    </row>
    <row r="38" ht="38.25" customHeight="1" s="215">
      <c r="B38" s="99" t="inlineStr">
        <is>
          <t>ИТОГО (СМР+ОБОРУДОВАНИЕ+ПРОЧ. ЗАТР., УЧТЕННЫЕ ПОКАЗАТЕЛЕМ)</t>
        </is>
      </c>
      <c r="C38" s="150">
        <f>C27+C32+C33+C34+C35+C29+C31+C30+C36+C37</f>
        <v/>
      </c>
      <c r="D38" s="99" t="n"/>
      <c r="E38" s="151">
        <f>C38/$C$40</f>
        <v/>
      </c>
    </row>
    <row r="39" ht="13.5" customHeight="1" s="215">
      <c r="B39" s="99" t="inlineStr">
        <is>
          <t>Непредвиденные расходы</t>
        </is>
      </c>
      <c r="C39" s="150">
        <f>ROUND(C38*3%,2)</f>
        <v/>
      </c>
      <c r="D39" s="99" t="n"/>
      <c r="E39" s="151">
        <f>C39/$C$38</f>
        <v/>
      </c>
    </row>
    <row r="40">
      <c r="B40" s="99" t="inlineStr">
        <is>
          <t>ВСЕГО:</t>
        </is>
      </c>
      <c r="C40" s="150">
        <f>C39+C38</f>
        <v/>
      </c>
      <c r="D40" s="99" t="n"/>
      <c r="E40" s="151">
        <f>C40/$C$40</f>
        <v/>
      </c>
    </row>
    <row r="41">
      <c r="B41" s="99" t="inlineStr">
        <is>
          <t>ИТОГО ПОКАЗАТЕЛЬ НА ЕД. ИЗМ.</t>
        </is>
      </c>
      <c r="C41" s="150">
        <f>C40/'Прил.5 Расчет СМР и ОБ'!E51</f>
        <v/>
      </c>
      <c r="D41" s="99" t="n"/>
      <c r="E41" s="99" t="n"/>
    </row>
    <row r="42">
      <c r="B42" s="149" t="n"/>
      <c r="C42" s="197" t="n"/>
      <c r="D42" s="197" t="n"/>
      <c r="E42" s="197" t="n"/>
    </row>
    <row r="43">
      <c r="B43" s="149" t="inlineStr">
        <is>
          <t>Составил ____________________________  Д.А. Самуйленко</t>
        </is>
      </c>
      <c r="C43" s="197" t="n"/>
      <c r="D43" s="197" t="n"/>
      <c r="E43" s="197" t="n"/>
    </row>
    <row r="44">
      <c r="B44" s="149" t="inlineStr">
        <is>
          <t xml:space="preserve">(должность, подпись, инициалы, фамилия) </t>
        </is>
      </c>
      <c r="C44" s="197" t="n"/>
      <c r="D44" s="197" t="n"/>
      <c r="E44" s="197" t="n"/>
    </row>
    <row r="45">
      <c r="B45" s="149" t="n"/>
      <c r="C45" s="197" t="n"/>
      <c r="D45" s="197" t="n"/>
      <c r="E45" s="197" t="n"/>
    </row>
    <row r="46">
      <c r="B46" s="149" t="inlineStr">
        <is>
          <t>Проверил ____________________________ А.В. Костянецкая</t>
        </is>
      </c>
      <c r="C46" s="197" t="n"/>
      <c r="D46" s="197" t="n"/>
      <c r="E46" s="197" t="n"/>
    </row>
    <row r="47">
      <c r="B47" s="275" t="inlineStr">
        <is>
          <t>(должность, подпись, инициалы, фамилия)</t>
        </is>
      </c>
      <c r="D47" s="197" t="n"/>
      <c r="E47" s="197" t="n"/>
    </row>
    <row r="49">
      <c r="B49" s="197" t="n"/>
      <c r="C49" s="197" t="n"/>
      <c r="D49" s="197" t="n"/>
      <c r="E49" s="197" t="n"/>
    </row>
    <row r="50">
      <c r="B50" s="197" t="n"/>
      <c r="C50" s="197" t="n"/>
      <c r="D50" s="197" t="n"/>
      <c r="E50" s="197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7"/>
  <sheetViews>
    <sheetView view="pageBreakPreview" topLeftCell="A33" workbookViewId="0">
      <selection activeCell="B53" sqref="B53"/>
    </sheetView>
  </sheetViews>
  <sheetFormatPr baseColWidth="8" defaultColWidth="9.140625" defaultRowHeight="15" outlineLevelRow="1"/>
  <cols>
    <col width="5.7109375" customWidth="1" style="208" min="1" max="1"/>
    <col width="22.5703125" customWidth="1" style="208" min="2" max="2"/>
    <col width="39.140625" customWidth="1" style="208" min="3" max="3"/>
    <col width="13.5703125" customWidth="1" style="208" min="4" max="4"/>
    <col width="12.7109375" customWidth="1" style="208" min="5" max="5"/>
    <col width="14.5703125" customWidth="1" style="208" min="6" max="6"/>
    <col width="13.42578125" customWidth="1" style="208" min="7" max="7"/>
    <col width="12.7109375" customWidth="1" style="208" min="8" max="8"/>
    <col width="13.85546875" customWidth="1" style="208" min="9" max="9"/>
    <col width="17.5703125" customWidth="1" style="208" min="10" max="10"/>
    <col width="10.85546875" customWidth="1" style="208" min="11" max="11"/>
    <col width="13.85546875" customWidth="1" style="208" min="12" max="12"/>
  </cols>
  <sheetData>
    <row r="1">
      <c r="M1" s="208" t="n"/>
      <c r="N1" s="208" t="n"/>
    </row>
    <row r="2" ht="15.75" customHeight="1" s="215">
      <c r="H2" s="276" t="inlineStr">
        <is>
          <t>Приложение №5</t>
        </is>
      </c>
      <c r="M2" s="208" t="n"/>
      <c r="N2" s="208" t="n"/>
    </row>
    <row r="3">
      <c r="M3" s="208" t="n"/>
      <c r="N3" s="208" t="n"/>
    </row>
    <row r="4" ht="12.75" customFormat="1" customHeight="1" s="197">
      <c r="A4" s="242" t="inlineStr">
        <is>
          <t>Расчет стоимости СМР и оборудования</t>
        </is>
      </c>
    </row>
    <row r="5" ht="12.75" customFormat="1" customHeight="1" s="197">
      <c r="A5" s="242" t="n"/>
      <c r="B5" s="242" t="n"/>
      <c r="C5" s="305" t="n"/>
      <c r="D5" s="242" t="n"/>
      <c r="E5" s="242" t="n"/>
      <c r="F5" s="242" t="n"/>
      <c r="G5" s="242" t="n"/>
      <c r="H5" s="242" t="n"/>
      <c r="I5" s="242" t="n"/>
      <c r="J5" s="242" t="n"/>
    </row>
    <row r="6" ht="51.75" customFormat="1" customHeight="1" s="197">
      <c r="A6" s="129" t="inlineStr">
        <is>
          <t>Наименование разрабатываемого показателя УНЦ</t>
        </is>
      </c>
      <c r="B6" s="128" t="n"/>
      <c r="C6" s="128" t="n"/>
      <c r="D6" s="245" t="inlineStr">
        <is>
          <t>Подготовка и устройство территории ПС (ЗПС) г. Москва</t>
        </is>
      </c>
    </row>
    <row r="7" ht="12.75" customFormat="1" customHeight="1" s="197">
      <c r="A7" s="245" t="inlineStr">
        <is>
          <t>Единица измерения  — 1 м2</t>
        </is>
      </c>
      <c r="I7" s="274" t="n"/>
      <c r="J7" s="274" t="n"/>
    </row>
    <row r="8" ht="13.5" customFormat="1" customHeight="1" s="197">
      <c r="A8" s="245" t="n"/>
    </row>
    <row r="9" ht="27" customHeight="1" s="215">
      <c r="A9" s="279" t="inlineStr">
        <is>
          <t>№ пп.</t>
        </is>
      </c>
      <c r="B9" s="279" t="inlineStr">
        <is>
          <t>Код ресурса</t>
        </is>
      </c>
      <c r="C9" s="279" t="inlineStr">
        <is>
          <t>Наименование</t>
        </is>
      </c>
      <c r="D9" s="279" t="inlineStr">
        <is>
          <t>Ед. изм.</t>
        </is>
      </c>
      <c r="E9" s="279" t="inlineStr">
        <is>
          <t>Кол-во единиц по проектным данным</t>
        </is>
      </c>
      <c r="F9" s="279" t="inlineStr">
        <is>
          <t>Сметная стоимость в ценах на 01.01.2000 (руб.)</t>
        </is>
      </c>
      <c r="G9" s="350" t="n"/>
      <c r="H9" s="279" t="inlineStr">
        <is>
          <t>Удельный вес, %</t>
        </is>
      </c>
      <c r="I9" s="279" t="inlineStr">
        <is>
          <t>Сметная стоимость в ценах на 01.01.2023 (руб.)</t>
        </is>
      </c>
      <c r="J9" s="350" t="n"/>
      <c r="M9" s="208" t="n"/>
      <c r="N9" s="208" t="n"/>
    </row>
    <row r="10" ht="28.5" customHeight="1" s="215">
      <c r="A10" s="352" t="n"/>
      <c r="B10" s="352" t="n"/>
      <c r="C10" s="352" t="n"/>
      <c r="D10" s="352" t="n"/>
      <c r="E10" s="352" t="n"/>
      <c r="F10" s="279" t="inlineStr">
        <is>
          <t>на ед. изм.</t>
        </is>
      </c>
      <c r="G10" s="279" t="inlineStr">
        <is>
          <t>общая</t>
        </is>
      </c>
      <c r="H10" s="352" t="n"/>
      <c r="I10" s="279" t="inlineStr">
        <is>
          <t>на ед. изм.</t>
        </is>
      </c>
      <c r="J10" s="279" t="inlineStr">
        <is>
          <t>общая</t>
        </is>
      </c>
      <c r="M10" s="208" t="n"/>
      <c r="N10" s="208" t="n"/>
    </row>
    <row r="11">
      <c r="A11" s="279" t="n">
        <v>1</v>
      </c>
      <c r="B11" s="279" t="n">
        <v>2</v>
      </c>
      <c r="C11" s="279" t="n">
        <v>3</v>
      </c>
      <c r="D11" s="279" t="n">
        <v>4</v>
      </c>
      <c r="E11" s="279" t="n">
        <v>5</v>
      </c>
      <c r="F11" s="279" t="n">
        <v>6</v>
      </c>
      <c r="G11" s="279" t="n">
        <v>7</v>
      </c>
      <c r="H11" s="279" t="n">
        <v>8</v>
      </c>
      <c r="I11" s="280" t="n">
        <v>9</v>
      </c>
      <c r="J11" s="280" t="n">
        <v>10</v>
      </c>
      <c r="M11" s="208" t="n"/>
      <c r="N11" s="208" t="n"/>
    </row>
    <row r="12">
      <c r="A12" s="279" t="n"/>
      <c r="B12" s="272" t="inlineStr">
        <is>
          <t>Затраты труда рабочих-строителей</t>
        </is>
      </c>
      <c r="C12" s="349" t="n"/>
      <c r="D12" s="349" t="n"/>
      <c r="E12" s="349" t="n"/>
      <c r="F12" s="349" t="n"/>
      <c r="G12" s="349" t="n"/>
      <c r="H12" s="350" t="n"/>
      <c r="I12" s="120" t="n"/>
      <c r="J12" s="120" t="n"/>
    </row>
    <row r="13" ht="25.5" customHeight="1" s="215">
      <c r="A13" s="279" t="n">
        <v>1</v>
      </c>
      <c r="B13" s="164" t="inlineStr">
        <is>
          <t>1-2-8</t>
        </is>
      </c>
      <c r="C13" s="282" t="inlineStr">
        <is>
          <t>Затраты труда рабочих (средний разряд работы 2,8)</t>
        </is>
      </c>
      <c r="D13" s="279" t="inlineStr">
        <is>
          <t>чел.-ч</t>
        </is>
      </c>
      <c r="E13" s="355">
        <f>G13/F13</f>
        <v/>
      </c>
      <c r="F13" s="279" t="n">
        <v>8.380000000000001</v>
      </c>
      <c r="G13" s="357" t="n">
        <v>26639.4</v>
      </c>
      <c r="H13" s="285">
        <f>G13/G14</f>
        <v/>
      </c>
      <c r="I13" s="26">
        <f>ФОТр.тек.!E13</f>
        <v/>
      </c>
      <c r="J13" s="26">
        <f>ROUND(I13*E13,2)</f>
        <v/>
      </c>
    </row>
    <row r="14" ht="25.5" customFormat="1" customHeight="1" s="208">
      <c r="A14" s="279" t="n"/>
      <c r="B14" s="279" t="n"/>
      <c r="C14" s="272" t="inlineStr">
        <is>
          <t>Итого по разделу "Затраты труда рабочих-строителей"</t>
        </is>
      </c>
      <c r="D14" s="279" t="inlineStr">
        <is>
          <t>чел.-ч.</t>
        </is>
      </c>
      <c r="E14" s="283">
        <f>SUM(E13)</f>
        <v/>
      </c>
      <c r="F14" s="284" t="n"/>
      <c r="G14" s="357">
        <f>SUM(G13)</f>
        <v/>
      </c>
      <c r="H14" s="286" t="n">
        <v>1</v>
      </c>
      <c r="I14" s="120" t="n"/>
      <c r="J14" s="26">
        <f>SUM(J13)</f>
        <v/>
      </c>
    </row>
    <row r="15" ht="14.25" customFormat="1" customHeight="1" s="208">
      <c r="A15" s="279" t="n"/>
      <c r="B15" s="282" t="inlineStr">
        <is>
          <t>Затраты труда машинистов</t>
        </is>
      </c>
      <c r="C15" s="349" t="n"/>
      <c r="D15" s="349" t="n"/>
      <c r="E15" s="349" t="n"/>
      <c r="F15" s="349" t="n"/>
      <c r="G15" s="349" t="n"/>
      <c r="H15" s="350" t="n"/>
      <c r="I15" s="120" t="n"/>
      <c r="J15" s="120" t="n"/>
    </row>
    <row r="16" ht="14.25" customFormat="1" customHeight="1" s="208">
      <c r="A16" s="279" t="n">
        <v>2</v>
      </c>
      <c r="B16" s="279" t="n">
        <v>2</v>
      </c>
      <c r="C16" s="282" t="inlineStr">
        <is>
          <t>Затраты труда машинистов</t>
        </is>
      </c>
      <c r="D16" s="279" t="inlineStr">
        <is>
          <t>чел.-ч.</t>
        </is>
      </c>
      <c r="E16" s="301" t="n">
        <v>107.3</v>
      </c>
      <c r="F16" s="191">
        <f>G16/E16</f>
        <v/>
      </c>
      <c r="G16" s="357" t="n">
        <v>1442.96</v>
      </c>
      <c r="H16" s="286" t="n">
        <v>1</v>
      </c>
      <c r="I16" s="26">
        <f>ROUND(F16*Прил.10!$D$11,2)</f>
        <v/>
      </c>
      <c r="J16" s="26">
        <f>ROUND(I16*E16,2)</f>
        <v/>
      </c>
    </row>
    <row r="17" ht="14.25" customFormat="1" customHeight="1" s="208">
      <c r="A17" s="279" t="n"/>
      <c r="B17" s="272" t="inlineStr">
        <is>
          <t>Машины и механизмы</t>
        </is>
      </c>
      <c r="C17" s="349" t="n"/>
      <c r="D17" s="349" t="n"/>
      <c r="E17" s="349" t="n"/>
      <c r="F17" s="349" t="n"/>
      <c r="G17" s="349" t="n"/>
      <c r="H17" s="350" t="n"/>
      <c r="I17" s="120" t="n"/>
      <c r="J17" s="120" t="n"/>
    </row>
    <row r="18" ht="14.25" customFormat="1" customHeight="1" s="208">
      <c r="A18" s="280" t="n"/>
      <c r="B18" s="287" t="inlineStr">
        <is>
          <t>Основные машины и механизмы</t>
        </is>
      </c>
      <c r="C18" s="361" t="n"/>
      <c r="D18" s="361" t="n"/>
      <c r="E18" s="361" t="n"/>
      <c r="F18" s="361" t="n"/>
      <c r="G18" s="361" t="n"/>
      <c r="H18" s="362" t="n"/>
      <c r="I18" s="175" t="n"/>
      <c r="J18" s="175" t="n"/>
    </row>
    <row r="19" ht="14.25" customFormat="1" customHeight="1" s="208">
      <c r="A19" s="279" t="n">
        <v>3</v>
      </c>
      <c r="B19" s="164" t="inlineStr">
        <is>
          <t>91.19.08-004</t>
        </is>
      </c>
      <c r="C19" s="282" t="inlineStr">
        <is>
          <t>Насосы, мощность 4 кВт</t>
        </is>
      </c>
      <c r="D19" s="279" t="inlineStr">
        <is>
          <t>маш.час</t>
        </is>
      </c>
      <c r="E19" s="164" t="n">
        <v>1575.9</v>
      </c>
      <c r="F19" s="279" t="n">
        <v>2.96</v>
      </c>
      <c r="G19" s="357">
        <f>ROUND(E19*F19,2)</f>
        <v/>
      </c>
      <c r="H19" s="285">
        <f>G19/$G$31</f>
        <v/>
      </c>
      <c r="I19" s="26">
        <f>ROUND(F19*Прил.10!$D$12,2)</f>
        <v/>
      </c>
      <c r="J19" s="26">
        <f>ROUND(I19*E19,2)</f>
        <v/>
      </c>
    </row>
    <row r="20" ht="14.25" customFormat="1" customHeight="1" s="208">
      <c r="A20" s="279" t="n">
        <v>4</v>
      </c>
      <c r="B20" s="164" t="inlineStr">
        <is>
          <t>91.17.04-031</t>
        </is>
      </c>
      <c r="C20" s="282" t="inlineStr">
        <is>
          <t>Агрегаты для сварки полиэтиленовых труб</t>
        </is>
      </c>
      <c r="D20" s="279" t="inlineStr">
        <is>
          <t>маш.час</t>
        </is>
      </c>
      <c r="E20" s="164" t="n">
        <v>40.6</v>
      </c>
      <c r="F20" s="279" t="n">
        <v>100.1</v>
      </c>
      <c r="G20" s="357">
        <f>ROUND(E20*F20,2)</f>
        <v/>
      </c>
      <c r="H20" s="285">
        <f>G20/$G$31</f>
        <v/>
      </c>
      <c r="I20" s="26">
        <f>ROUND(F20*Прил.10!$D$12,2)</f>
        <v/>
      </c>
      <c r="J20" s="26">
        <f>ROUND(I20*E20,2)</f>
        <v/>
      </c>
    </row>
    <row r="21" ht="14.25" customFormat="1" customHeight="1" s="208">
      <c r="A21" s="279" t="n">
        <v>5</v>
      </c>
      <c r="B21" s="164" t="inlineStr">
        <is>
          <t>91.01.01-036</t>
        </is>
      </c>
      <c r="C21" s="282" t="inlineStr">
        <is>
          <t>Бульдозеры, мощность 96 кВт (130 л.с.)</t>
        </is>
      </c>
      <c r="D21" s="279" t="inlineStr">
        <is>
          <t>маш.час</t>
        </is>
      </c>
      <c r="E21" s="164" t="n">
        <v>38.81</v>
      </c>
      <c r="F21" s="279" t="n">
        <v>94.05</v>
      </c>
      <c r="G21" s="357">
        <f>ROUND(E21*F21,2)</f>
        <v/>
      </c>
      <c r="H21" s="285">
        <f>G21/$G$31</f>
        <v/>
      </c>
      <c r="I21" s="26">
        <f>ROUND(F21*Прил.10!$D$12,2)</f>
        <v/>
      </c>
      <c r="J21" s="26">
        <f>ROUND(I21*E21,2)</f>
        <v/>
      </c>
    </row>
    <row r="22" ht="38.25" customFormat="1" customHeight="1" s="208">
      <c r="A22" s="279" t="n">
        <v>6</v>
      </c>
      <c r="B22" s="164" t="inlineStr">
        <is>
          <t>91.01.05-086</t>
        </is>
      </c>
      <c r="C22" s="282" t="inlineStr">
        <is>
          <t>Экскаваторы одноковшовые дизельные на гусеничном ходу, емкость ковша 0,65 м3</t>
        </is>
      </c>
      <c r="D22" s="279" t="inlineStr">
        <is>
          <t>маш.час</t>
        </is>
      </c>
      <c r="E22" s="164" t="n">
        <v>19.58</v>
      </c>
      <c r="F22" s="279" t="n">
        <v>115.27</v>
      </c>
      <c r="G22" s="357">
        <f>ROUND(E22*F22,2)</f>
        <v/>
      </c>
      <c r="H22" s="285">
        <f>G22/$G$31</f>
        <v/>
      </c>
      <c r="I22" s="26">
        <f>ROUND(F22*Прил.10!$D$12,2)</f>
        <v/>
      </c>
      <c r="J22" s="26">
        <f>ROUND(I22*E22,2)</f>
        <v/>
      </c>
    </row>
    <row r="23" ht="14.25" customFormat="1" customHeight="1" s="208">
      <c r="A23" s="279" t="n"/>
      <c r="B23" s="164" t="n"/>
      <c r="C23" s="173" t="inlineStr">
        <is>
          <t>Итого основные машины и механизмы</t>
        </is>
      </c>
      <c r="D23" s="279" t="n"/>
      <c r="E23" s="355" t="n"/>
      <c r="F23" s="279" t="n"/>
      <c r="G23" s="26">
        <f>SUM(G19:G22)</f>
        <v/>
      </c>
      <c r="H23" s="285">
        <f>G23/G31</f>
        <v/>
      </c>
      <c r="I23" s="26" t="n"/>
      <c r="J23" s="26">
        <f>SUM(J19:J22)</f>
        <v/>
      </c>
    </row>
    <row r="24" hidden="1" outlineLevel="1" ht="63.75" customFormat="1" customHeight="1" s="208">
      <c r="A24" s="279" t="n">
        <v>7</v>
      </c>
      <c r="B24" s="164" t="inlineStr">
        <is>
          <t>91.10.09-012</t>
        </is>
      </c>
      <c r="C24" s="282" t="inlineStr">
        <is>
          <t>Установки для гидравлических испытаний трубопроводов, давление нагнетания: низкое 0,1 МПа (1 кгс/см2), высокое 10 МПа (100 кгс/см2) при работе от передвижных электростанций</t>
        </is>
      </c>
      <c r="D24" s="279" t="inlineStr">
        <is>
          <t>маш.час</t>
        </is>
      </c>
      <c r="E24" s="164" t="n">
        <v>24.85</v>
      </c>
      <c r="F24" s="279" t="n">
        <v>26.32</v>
      </c>
      <c r="G24" s="284">
        <f>ROUND(E24*F24,2)</f>
        <v/>
      </c>
      <c r="H24" s="285">
        <f>G24/$G$31</f>
        <v/>
      </c>
      <c r="I24" s="26">
        <f>ROUND(F24*Прил.10!$D$12,2)</f>
        <v/>
      </c>
      <c r="J24" s="26">
        <f>ROUND(I24*E24,2)</f>
        <v/>
      </c>
    </row>
    <row r="25" hidden="1" outlineLevel="1" ht="14.25" customFormat="1" customHeight="1" s="208">
      <c r="A25" s="279" t="n">
        <v>8</v>
      </c>
      <c r="B25" s="164" t="inlineStr">
        <is>
          <t>91.01.01-035</t>
        </is>
      </c>
      <c r="C25" s="282" t="inlineStr">
        <is>
          <t>Бульдозеры, мощность 79 кВт (108 л.с.)</t>
        </is>
      </c>
      <c r="D25" s="279" t="inlineStr">
        <is>
          <t>маш.час</t>
        </is>
      </c>
      <c r="E25" s="164" t="n">
        <v>4.11</v>
      </c>
      <c r="F25" s="279" t="n">
        <v>79.06999999999999</v>
      </c>
      <c r="G25" s="284">
        <f>ROUND(E25*F25,2)</f>
        <v/>
      </c>
      <c r="H25" s="285">
        <f>G25/$G$31</f>
        <v/>
      </c>
      <c r="I25" s="26">
        <f>ROUND(F25*Прил.10!$D$12,2)</f>
        <v/>
      </c>
      <c r="J25" s="26">
        <f>ROUND(I25*E25,2)</f>
        <v/>
      </c>
    </row>
    <row r="26" hidden="1" outlineLevel="1" ht="25.5" customFormat="1" customHeight="1" s="208">
      <c r="A26" s="279" t="n">
        <v>9</v>
      </c>
      <c r="B26" s="164" t="inlineStr">
        <is>
          <t>91.05.05-014</t>
        </is>
      </c>
      <c r="C26" s="282" t="inlineStr">
        <is>
          <t>Краны на автомобильном ходу, грузоподъемность 10 т</t>
        </is>
      </c>
      <c r="D26" s="279" t="inlineStr">
        <is>
          <t>маш.час</t>
        </is>
      </c>
      <c r="E26" s="164" t="n">
        <v>1.27</v>
      </c>
      <c r="F26" s="279" t="n">
        <v>111.99</v>
      </c>
      <c r="G26" s="284">
        <f>ROUND(E26*F26,2)</f>
        <v/>
      </c>
      <c r="H26" s="285">
        <f>G26/$G$31</f>
        <v/>
      </c>
      <c r="I26" s="26">
        <f>ROUND(F26*Прил.10!$D$12,2)</f>
        <v/>
      </c>
      <c r="J26" s="26">
        <f>ROUND(I26*E26,2)</f>
        <v/>
      </c>
    </row>
    <row r="27" hidden="1" outlineLevel="1" ht="25.5" customFormat="1" customHeight="1" s="208">
      <c r="A27" s="279" t="n">
        <v>10</v>
      </c>
      <c r="B27" s="164" t="inlineStr">
        <is>
          <t>91.16.01-002</t>
        </is>
      </c>
      <c r="C27" s="282" t="inlineStr">
        <is>
          <t>Электростанции передвижные, мощность 4 кВт</t>
        </is>
      </c>
      <c r="D27" s="279" t="inlineStr">
        <is>
          <t>маш.час</t>
        </is>
      </c>
      <c r="E27" s="164" t="n">
        <v>2.88</v>
      </c>
      <c r="F27" s="279" t="n">
        <v>27.11</v>
      </c>
      <c r="G27" s="284">
        <f>ROUND(E27*F27,2)</f>
        <v/>
      </c>
      <c r="H27" s="285">
        <f>G27/$G$31</f>
        <v/>
      </c>
      <c r="I27" s="26">
        <f>ROUND(F27*Прил.10!$D$12,2)</f>
        <v/>
      </c>
      <c r="J27" s="26">
        <f>ROUND(I27*E27,2)</f>
        <v/>
      </c>
    </row>
    <row r="28" hidden="1" outlineLevel="1" ht="25.5" customFormat="1" customHeight="1" s="208">
      <c r="A28" s="279" t="n">
        <v>11</v>
      </c>
      <c r="B28" s="164" t="inlineStr">
        <is>
          <t>91.14.04-002</t>
        </is>
      </c>
      <c r="C28" s="282" t="inlineStr">
        <is>
          <t>Тягачи седельные, грузоподъемность: 15 т</t>
        </is>
      </c>
      <c r="D28" s="279" t="inlineStr">
        <is>
          <t>маш.час</t>
        </is>
      </c>
      <c r="E28" s="164" t="n">
        <v>0.04</v>
      </c>
      <c r="F28" s="279" t="n">
        <v>94.38</v>
      </c>
      <c r="G28" s="284">
        <f>ROUND(E28*F28,2)</f>
        <v/>
      </c>
      <c r="H28" s="285">
        <f>G28/$G$31</f>
        <v/>
      </c>
      <c r="I28" s="26">
        <f>ROUND(F28*Прил.10!$D$12,2)</f>
        <v/>
      </c>
      <c r="J28" s="26">
        <f>ROUND(I28*E28,2)</f>
        <v/>
      </c>
    </row>
    <row r="29" hidden="1" outlineLevel="1" ht="25.5" customFormat="1" customHeight="1" s="208">
      <c r="A29" s="279" t="n">
        <v>12</v>
      </c>
      <c r="B29" s="164" t="inlineStr">
        <is>
          <t>91.14.05-012</t>
        </is>
      </c>
      <c r="C29" s="282" t="inlineStr">
        <is>
          <t>Полуприцепы общего назначения, грузоподъемность: 15 т</t>
        </is>
      </c>
      <c r="D29" s="279" t="inlineStr">
        <is>
          <t>маш.час</t>
        </is>
      </c>
      <c r="E29" s="164" t="n">
        <v>0.04</v>
      </c>
      <c r="F29" s="279" t="n">
        <v>19.76</v>
      </c>
      <c r="G29" s="284">
        <f>ROUND(E29*F29,2)</f>
        <v/>
      </c>
      <c r="H29" s="285">
        <f>G29/$G$31</f>
        <v/>
      </c>
      <c r="I29" s="26">
        <f>ROUND(F29*Прил.10!$D$12,2)</f>
        <v/>
      </c>
      <c r="J29" s="26">
        <f>ROUND(I29*E29,2)</f>
        <v/>
      </c>
    </row>
    <row r="30" collapsed="1" ht="14.25" customFormat="1" customHeight="1" s="208">
      <c r="A30" s="279" t="n"/>
      <c r="B30" s="279" t="n"/>
      <c r="C30" s="282" t="inlineStr">
        <is>
          <t>Итого прочие машины и механизмы</t>
        </is>
      </c>
      <c r="D30" s="279" t="n"/>
      <c r="E30" s="283" t="n"/>
      <c r="F30" s="26" t="n"/>
      <c r="G30" s="26">
        <f>SUM(G24:G29)</f>
        <v/>
      </c>
      <c r="H30" s="285">
        <f>G30/G31</f>
        <v/>
      </c>
      <c r="I30" s="26" t="n"/>
      <c r="J30" s="26">
        <f>SUM(J24:J29)</f>
        <v/>
      </c>
    </row>
    <row r="31" ht="25.5" customFormat="1" customHeight="1" s="208">
      <c r="A31" s="279" t="n"/>
      <c r="B31" s="281" t="n"/>
      <c r="C31" s="177" t="inlineStr">
        <is>
          <t>Итого по разделу «Машины и механизмы»</t>
        </is>
      </c>
      <c r="D31" s="281" t="n"/>
      <c r="E31" s="178" t="n"/>
      <c r="F31" s="130" t="n"/>
      <c r="G31" s="130">
        <f>G23+G30</f>
        <v/>
      </c>
      <c r="H31" s="123">
        <f>H23+H30</f>
        <v/>
      </c>
      <c r="I31" s="124" t="n"/>
      <c r="J31" s="130">
        <f>J23+J30</f>
        <v/>
      </c>
    </row>
    <row r="32" ht="14.25" customFormat="1" customHeight="1" s="208">
      <c r="A32" s="279" t="n"/>
      <c r="B32" s="272" t="inlineStr">
        <is>
          <t>Оборудование</t>
        </is>
      </c>
      <c r="C32" s="349" t="n"/>
      <c r="D32" s="349" t="n"/>
      <c r="E32" s="349" t="n"/>
      <c r="F32" s="349" t="n"/>
      <c r="G32" s="349" t="n"/>
      <c r="H32" s="350" t="n"/>
      <c r="I32" s="120" t="n"/>
      <c r="J32" s="120" t="n"/>
    </row>
    <row r="33">
      <c r="A33" s="279" t="n"/>
      <c r="B33" s="282" t="inlineStr">
        <is>
          <t>Основное оборудование</t>
        </is>
      </c>
      <c r="C33" s="349" t="n"/>
      <c r="D33" s="349" t="n"/>
      <c r="E33" s="349" t="n"/>
      <c r="F33" s="349" t="n"/>
      <c r="G33" s="349" t="n"/>
      <c r="H33" s="350" t="n"/>
      <c r="I33" s="120" t="n"/>
      <c r="J33" s="120" t="n"/>
    </row>
    <row r="34">
      <c r="A34" s="279" t="n"/>
      <c r="B34" s="279" t="n"/>
      <c r="C34" s="282" t="inlineStr">
        <is>
          <t>Итого основное оборудование</t>
        </is>
      </c>
      <c r="D34" s="279" t="n"/>
      <c r="E34" s="363" t="n"/>
      <c r="F34" s="284" t="n"/>
      <c r="G34" s="26" t="n">
        <v>0</v>
      </c>
      <c r="H34" s="286" t="n">
        <v>0</v>
      </c>
      <c r="I34" s="125" t="n"/>
      <c r="J34" s="26" t="n">
        <v>0</v>
      </c>
    </row>
    <row r="35">
      <c r="A35" s="279" t="n"/>
      <c r="B35" s="279" t="n"/>
      <c r="C35" s="282" t="inlineStr">
        <is>
          <t>Итого прочее оборудование</t>
        </is>
      </c>
      <c r="D35" s="279" t="n"/>
      <c r="E35" s="355" t="n"/>
      <c r="F35" s="284" t="n"/>
      <c r="G35" s="26" t="n">
        <v>0</v>
      </c>
      <c r="H35" s="285" t="n">
        <v>0</v>
      </c>
      <c r="I35" s="171" t="n"/>
      <c r="J35" s="170" t="n">
        <v>0</v>
      </c>
    </row>
    <row r="36">
      <c r="A36" s="279" t="n"/>
      <c r="B36" s="280" t="n"/>
      <c r="C36" s="167" t="inlineStr">
        <is>
          <t>Итого по разделу «Оборудование»</t>
        </is>
      </c>
      <c r="D36" s="280" t="n"/>
      <c r="E36" s="288" t="n"/>
      <c r="F36" s="289" t="n"/>
      <c r="G36" s="170">
        <f>G34</f>
        <v/>
      </c>
      <c r="H36" s="290" t="n">
        <v>0</v>
      </c>
      <c r="I36" s="171" t="n"/>
      <c r="J36" s="170">
        <f>J34</f>
        <v/>
      </c>
    </row>
    <row r="37" ht="25.5" customHeight="1" s="215">
      <c r="A37" s="279" t="n"/>
      <c r="B37" s="279" t="n"/>
      <c r="C37" s="282" t="inlineStr">
        <is>
          <t>в том числе технологическое оборудование</t>
        </is>
      </c>
      <c r="D37" s="279" t="n"/>
      <c r="E37" s="355" t="n"/>
      <c r="F37" s="284" t="n"/>
      <c r="G37" s="26">
        <f>G36</f>
        <v/>
      </c>
      <c r="H37" s="285" t="n"/>
      <c r="I37" s="26" t="n"/>
      <c r="J37" s="26">
        <f>J36</f>
        <v/>
      </c>
    </row>
    <row r="38" ht="14.25" customFormat="1" customHeight="1" s="208">
      <c r="A38" s="279" t="n"/>
      <c r="B38" s="272" t="inlineStr">
        <is>
          <t>Материалы</t>
        </is>
      </c>
      <c r="C38" s="349" t="n"/>
      <c r="D38" s="349" t="n"/>
      <c r="E38" s="349" t="n"/>
      <c r="F38" s="349" t="n"/>
      <c r="G38" s="349" t="n"/>
      <c r="H38" s="350" t="n"/>
      <c r="I38" s="120" t="n"/>
      <c r="J38" s="120" t="n"/>
    </row>
    <row r="39" ht="14.25" customFormat="1" customHeight="1" s="208">
      <c r="A39" s="279" t="n"/>
      <c r="B39" s="282" t="inlineStr">
        <is>
          <t>Основные материалы</t>
        </is>
      </c>
      <c r="C39" s="349" t="n"/>
      <c r="D39" s="349" t="n"/>
      <c r="E39" s="349" t="n"/>
      <c r="F39" s="349" t="n"/>
      <c r="G39" s="349" t="n"/>
      <c r="H39" s="350" t="n"/>
      <c r="I39" s="120" t="n"/>
      <c r="J39" s="120" t="n"/>
    </row>
    <row r="40" ht="38.25" customFormat="1" customHeight="1" s="208">
      <c r="A40" s="279" t="n">
        <v>13</v>
      </c>
      <c r="B40" s="164" t="inlineStr">
        <is>
          <t>24.3.03.13-0425</t>
        </is>
      </c>
      <c r="C40" s="282" t="inlineStr">
        <is>
          <t>Трубы напорные из полиэтилена низкого давления среднего типа, наружным диаметром: 250 мм</t>
        </is>
      </c>
      <c r="D40" s="279" t="inlineStr">
        <is>
          <t>10 м</t>
        </is>
      </c>
      <c r="E40" s="279" t="n">
        <v>71.64</v>
      </c>
      <c r="F40" s="279" t="n">
        <v>355.7</v>
      </c>
      <c r="G40" s="357">
        <f>F40*E40</f>
        <v/>
      </c>
      <c r="H40" s="285">
        <f>G40/$G$45</f>
        <v/>
      </c>
      <c r="I40" s="181">
        <f>ROUND(F40*Прил.10!$D$13,2)</f>
        <v/>
      </c>
      <c r="J40" s="364">
        <f>ROUND(I40*E40,2)</f>
        <v/>
      </c>
    </row>
    <row r="41" ht="14.25" customFormat="1" customHeight="1" s="208">
      <c r="A41" s="279" t="n"/>
      <c r="B41" s="164" t="n"/>
      <c r="C41" s="282" t="inlineStr">
        <is>
          <t>Итого основные материалы</t>
        </is>
      </c>
      <c r="D41" s="279" t="n"/>
      <c r="E41" s="283" t="n"/>
      <c r="F41" s="283" t="n"/>
      <c r="G41" s="26">
        <f>SUM(G40:G40)</f>
        <v/>
      </c>
      <c r="H41" s="285">
        <f>G41/$G$45</f>
        <v/>
      </c>
      <c r="I41" s="182" t="n"/>
      <c r="J41" s="357">
        <f>SUM(J40:J40)</f>
        <v/>
      </c>
    </row>
    <row r="42" outlineLevel="1" ht="14.25" customFormat="1" customHeight="1" s="208">
      <c r="A42" s="279" t="n">
        <v>14</v>
      </c>
      <c r="B42" s="164" t="inlineStr">
        <is>
          <t>01.7.03.01-0001</t>
        </is>
      </c>
      <c r="C42" s="282" t="inlineStr">
        <is>
          <t>Вода</t>
        </is>
      </c>
      <c r="D42" s="279" t="inlineStr">
        <is>
          <t>м3</t>
        </is>
      </c>
      <c r="E42" s="164" t="n">
        <v>35.07</v>
      </c>
      <c r="F42" s="279" t="n">
        <v>2.44</v>
      </c>
      <c r="G42" s="284">
        <f>F42*E42</f>
        <v/>
      </c>
      <c r="H42" s="285">
        <f>G42/$G$45</f>
        <v/>
      </c>
      <c r="I42" s="181">
        <f>ROUND(F42*Прил.10!$D$13,2)</f>
        <v/>
      </c>
      <c r="J42" s="364">
        <f>ROUND(I42*E42,2)</f>
        <v/>
      </c>
    </row>
    <row r="43" outlineLevel="1" ht="25.5" customFormat="1" customHeight="1" s="208">
      <c r="A43" s="279" t="n">
        <v>15</v>
      </c>
      <c r="B43" s="164" t="inlineStr">
        <is>
          <t>12.1.02.14-0001</t>
        </is>
      </c>
      <c r="C43" s="282" t="inlineStr">
        <is>
          <t>Толь с крупнозернистой посыпкой гидроизоляционный марки ТГ-350</t>
        </is>
      </c>
      <c r="D43" s="279" t="inlineStr">
        <is>
          <t>м2</t>
        </is>
      </c>
      <c r="E43" s="164" t="n">
        <v>2.435</v>
      </c>
      <c r="F43" s="279" t="n">
        <v>5.71</v>
      </c>
      <c r="G43" s="284">
        <f>F43*E43</f>
        <v/>
      </c>
      <c r="H43" s="285">
        <f>G43/$G$45</f>
        <v/>
      </c>
      <c r="I43" s="181">
        <f>ROUND(F43*Прил.10!$D$13,2)</f>
        <v/>
      </c>
      <c r="J43" s="181">
        <f>ROUND(I43*E43,2)</f>
        <v/>
      </c>
    </row>
    <row r="44" ht="14.25" customFormat="1" customHeight="1" s="208">
      <c r="A44" s="279" t="n"/>
      <c r="B44" s="279" t="n"/>
      <c r="C44" s="282" t="inlineStr">
        <is>
          <t>Итого прочие материалы</t>
        </is>
      </c>
      <c r="D44" s="279" t="n"/>
      <c r="E44" s="283" t="n"/>
      <c r="F44" s="284" t="n"/>
      <c r="G44" s="130">
        <f>SUM(G42:G43)</f>
        <v/>
      </c>
      <c r="H44" s="285">
        <f>G44/$G$45</f>
        <v/>
      </c>
      <c r="I44" s="26" t="n"/>
      <c r="J44" s="130">
        <f>SUM(J42:J43)</f>
        <v/>
      </c>
    </row>
    <row r="45" ht="14.25" customFormat="1" customHeight="1" s="208">
      <c r="A45" s="279" t="n"/>
      <c r="B45" s="279" t="n"/>
      <c r="C45" s="272" t="inlineStr">
        <is>
          <t>Итого по разделу «Материалы»</t>
        </is>
      </c>
      <c r="D45" s="279" t="n"/>
      <c r="E45" s="283" t="n"/>
      <c r="F45" s="284" t="n"/>
      <c r="G45" s="26">
        <f>G41+G44</f>
        <v/>
      </c>
      <c r="H45" s="285">
        <f>H41+H44</f>
        <v/>
      </c>
      <c r="I45" s="26" t="n"/>
      <c r="J45" s="26">
        <f>J41+J44</f>
        <v/>
      </c>
    </row>
    <row r="46" ht="14.25" customFormat="1" customHeight="1" s="208">
      <c r="A46" s="279" t="n"/>
      <c r="B46" s="279" t="n"/>
      <c r="C46" s="282" t="inlineStr">
        <is>
          <t>ИТОГО ПО РМ</t>
        </is>
      </c>
      <c r="D46" s="279" t="n"/>
      <c r="E46" s="283" t="n"/>
      <c r="F46" s="284" t="n"/>
      <c r="G46" s="26">
        <f>G14+G31+G45</f>
        <v/>
      </c>
      <c r="H46" s="286" t="n"/>
      <c r="I46" s="26" t="n"/>
      <c r="J46" s="26">
        <f>J14+J31+J45</f>
        <v/>
      </c>
    </row>
    <row r="47" ht="14.25" customFormat="1" customHeight="1" s="208">
      <c r="A47" s="279" t="n"/>
      <c r="B47" s="279" t="n"/>
      <c r="C47" s="282" t="inlineStr">
        <is>
          <t>Накладные расходы</t>
        </is>
      </c>
      <c r="D47" s="126">
        <f>ROUND(G47/(G$16+$G$14),2)</f>
        <v/>
      </c>
      <c r="E47" s="283" t="n"/>
      <c r="F47" s="284" t="n"/>
      <c r="G47" s="26" t="n">
        <v>26431</v>
      </c>
      <c r="H47" s="286" t="n"/>
      <c r="I47" s="26" t="n"/>
      <c r="J47" s="26">
        <f>ROUND(D47*(J14+J16),2)</f>
        <v/>
      </c>
    </row>
    <row r="48" ht="14.25" customFormat="1" customHeight="1" s="208">
      <c r="A48" s="279" t="n"/>
      <c r="B48" s="279" t="n"/>
      <c r="C48" s="282" t="inlineStr">
        <is>
          <t>Сметная прибыль</t>
        </is>
      </c>
      <c r="D48" s="126">
        <f>ROUND(G48/(G$14+G$16),2)</f>
        <v/>
      </c>
      <c r="E48" s="283" t="n"/>
      <c r="F48" s="284" t="n"/>
      <c r="G48" s="26" t="n">
        <v>14878</v>
      </c>
      <c r="H48" s="286" t="n"/>
      <c r="I48" s="26" t="n"/>
      <c r="J48" s="26">
        <f>ROUND(D48*(J14+J16),2)</f>
        <v/>
      </c>
    </row>
    <row r="49" ht="14.25" customFormat="1" customHeight="1" s="208">
      <c r="A49" s="279" t="n"/>
      <c r="B49" s="279" t="n"/>
      <c r="C49" s="282" t="inlineStr">
        <is>
          <t>Итого СМР (с НР и СП)</t>
        </is>
      </c>
      <c r="D49" s="279" t="n"/>
      <c r="E49" s="283" t="n"/>
      <c r="F49" s="284" t="n"/>
      <c r="G49" s="26">
        <f>ROUND((G14+G31+G45+G47+G48),2)</f>
        <v/>
      </c>
      <c r="H49" s="286" t="n"/>
      <c r="I49" s="26" t="n"/>
      <c r="J49" s="26">
        <f>ROUND((J14+J31+J45+J47+J48),2)</f>
        <v/>
      </c>
    </row>
    <row r="50" ht="14.25" customFormat="1" customHeight="1" s="208">
      <c r="A50" s="279" t="n"/>
      <c r="B50" s="279" t="n"/>
      <c r="C50" s="282" t="inlineStr">
        <is>
          <t>ВСЕГО СМР + ОБОРУДОВАНИЕ</t>
        </is>
      </c>
      <c r="D50" s="279" t="n"/>
      <c r="E50" s="283" t="n"/>
      <c r="F50" s="284" t="n"/>
      <c r="G50" s="26">
        <f>G49+G36</f>
        <v/>
      </c>
      <c r="H50" s="286" t="n"/>
      <c r="I50" s="26" t="n"/>
      <c r="J50" s="26">
        <f>J49+J36</f>
        <v/>
      </c>
    </row>
    <row r="51" ht="34.5" customFormat="1" customHeight="1" s="208">
      <c r="A51" s="279" t="n"/>
      <c r="B51" s="279" t="n"/>
      <c r="C51" s="282" t="inlineStr">
        <is>
          <t>ИТОГО ПОКАЗАТЕЛЬ НА ЕД. ИЗМ.</t>
        </is>
      </c>
      <c r="D51" s="279" t="inlineStr">
        <is>
          <t>1 м2</t>
        </is>
      </c>
      <c r="E51" s="283" t="n">
        <v>39040</v>
      </c>
      <c r="F51" s="284" t="n"/>
      <c r="G51" s="26">
        <f>G50/E51</f>
        <v/>
      </c>
      <c r="H51" s="286" t="n"/>
      <c r="I51" s="26" t="n"/>
      <c r="J51" s="26">
        <f>J50/E51</f>
        <v/>
      </c>
    </row>
    <row r="53" ht="14.25" customFormat="1" customHeight="1" s="208">
      <c r="A53" s="197" t="inlineStr">
        <is>
          <t>Составил ______________________     Д.А. Самуйленко</t>
        </is>
      </c>
    </row>
    <row r="54" ht="14.25" customFormat="1" customHeight="1" s="208">
      <c r="A54" s="207" t="inlineStr">
        <is>
          <t xml:space="preserve">                         (подпись, инициалы, фамилия)</t>
        </is>
      </c>
    </row>
    <row r="55" ht="14.25" customFormat="1" customHeight="1" s="208">
      <c r="A55" s="197" t="n"/>
    </row>
    <row r="56" ht="14.25" customFormat="1" customHeight="1" s="208">
      <c r="A56" s="197" t="inlineStr">
        <is>
          <t>Проверил ______________________        А.В. Костянецкая</t>
        </is>
      </c>
    </row>
    <row r="57" ht="14.25" customFormat="1" customHeight="1" s="208">
      <c r="A57" s="207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A7:H7"/>
    <mergeCell ref="B9:B10"/>
    <mergeCell ref="D9:D10"/>
    <mergeCell ref="B18:H18"/>
    <mergeCell ref="B12:H12"/>
    <mergeCell ref="B39:H39"/>
    <mergeCell ref="D6:J6"/>
    <mergeCell ref="A8:H8"/>
    <mergeCell ref="F9:G9"/>
    <mergeCell ref="B17:H17"/>
    <mergeCell ref="A9:A10"/>
    <mergeCell ref="B38:H38"/>
    <mergeCell ref="I9:J9"/>
  </mergeCells>
  <pageMargins left="0.62992125984252" right="0.23622047244094" top="0.74803149606299" bottom="0.74803149606299" header="0.31496062992126" footer="0.31496062992126"/>
  <pageSetup orientation="portrait" paperSize="9" scale="56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I34" sqref="I34:J34"/>
    </sheetView>
  </sheetViews>
  <sheetFormatPr baseColWidth="8" defaultRowHeight="15"/>
  <cols>
    <col width="5.7109375" customWidth="1" style="215" min="1" max="1"/>
    <col width="17.5703125" customWidth="1" style="215" min="2" max="2"/>
    <col width="39.140625" customWidth="1" style="215" min="3" max="3"/>
    <col width="10.7109375" customWidth="1" style="215" min="4" max="4"/>
    <col width="13.85546875" customWidth="1" style="215" min="5" max="5"/>
    <col width="13.28515625" customWidth="1" style="215" min="6" max="6"/>
    <col width="14.140625" customWidth="1" style="215" min="7" max="7"/>
  </cols>
  <sheetData>
    <row r="1">
      <c r="A1" s="296" t="inlineStr">
        <is>
          <t>Приложение №6</t>
        </is>
      </c>
    </row>
    <row r="2" ht="21.75" customHeight="1" s="215">
      <c r="A2" s="296" t="n"/>
      <c r="B2" s="296" t="n"/>
      <c r="C2" s="296" t="n"/>
      <c r="D2" s="296" t="n"/>
      <c r="E2" s="296" t="n"/>
      <c r="F2" s="296" t="n"/>
      <c r="G2" s="296" t="n"/>
    </row>
    <row r="3">
      <c r="A3" s="242" t="inlineStr">
        <is>
          <t>Расчет стоимости оборудования</t>
        </is>
      </c>
    </row>
    <row r="4" ht="40.5" customHeight="1" s="215">
      <c r="A4" s="245" t="inlineStr">
        <is>
          <t>Наименование разрабатываемого показателя УНЦ — Подготовка и устройство территории ПС (ЗПС) г. Москва</t>
        </is>
      </c>
    </row>
    <row r="5">
      <c r="A5" s="197" t="n"/>
      <c r="B5" s="197" t="n"/>
      <c r="C5" s="197" t="n"/>
      <c r="D5" s="197" t="n"/>
      <c r="E5" s="197" t="n"/>
      <c r="F5" s="197" t="n"/>
      <c r="G5" s="197" t="n"/>
    </row>
    <row r="6" ht="30" customHeight="1" s="215">
      <c r="A6" s="301" t="inlineStr">
        <is>
          <t>№ пп.</t>
        </is>
      </c>
      <c r="B6" s="301" t="inlineStr">
        <is>
          <t>Код ресурса</t>
        </is>
      </c>
      <c r="C6" s="301" t="inlineStr">
        <is>
          <t>Наименование</t>
        </is>
      </c>
      <c r="D6" s="301" t="inlineStr">
        <is>
          <t>Ед. изм.</t>
        </is>
      </c>
      <c r="E6" s="279" t="inlineStr">
        <is>
          <t>Кол-во единиц по проектным данным</t>
        </is>
      </c>
      <c r="F6" s="301" t="inlineStr">
        <is>
          <t>Сметная стоимость в ценах на 01.01.2000 (руб.)</t>
        </is>
      </c>
      <c r="G6" s="350" t="n"/>
    </row>
    <row r="7">
      <c r="A7" s="352" t="n"/>
      <c r="B7" s="352" t="n"/>
      <c r="C7" s="352" t="n"/>
      <c r="D7" s="352" t="n"/>
      <c r="E7" s="352" t="n"/>
      <c r="F7" s="279" t="inlineStr">
        <is>
          <t>на ед. изм.</t>
        </is>
      </c>
      <c r="G7" s="279" t="inlineStr">
        <is>
          <t>общая</t>
        </is>
      </c>
    </row>
    <row r="8">
      <c r="A8" s="279" t="n">
        <v>1</v>
      </c>
      <c r="B8" s="279" t="n">
        <v>2</v>
      </c>
      <c r="C8" s="279" t="n">
        <v>3</v>
      </c>
      <c r="D8" s="279" t="n">
        <v>4</v>
      </c>
      <c r="E8" s="279" t="n">
        <v>5</v>
      </c>
      <c r="F8" s="279" t="n">
        <v>6</v>
      </c>
      <c r="G8" s="279" t="n">
        <v>7</v>
      </c>
    </row>
    <row r="9" ht="15" customHeight="1" s="215">
      <c r="A9" s="99" t="n"/>
      <c r="B9" s="282" t="inlineStr">
        <is>
          <t>ИНЖЕНЕРНОЕ ОБОРУДОВАНИЕ</t>
        </is>
      </c>
      <c r="C9" s="349" t="n"/>
      <c r="D9" s="349" t="n"/>
      <c r="E9" s="349" t="n"/>
      <c r="F9" s="349" t="n"/>
      <c r="G9" s="350" t="n"/>
    </row>
    <row r="10" ht="27" customHeight="1" s="215">
      <c r="A10" s="279" t="n"/>
      <c r="B10" s="272" t="n"/>
      <c r="C10" s="282" t="inlineStr">
        <is>
          <t>ИТОГО ИНЖЕНЕРНОЕ ОБОРУДОВАНИЕ</t>
        </is>
      </c>
      <c r="D10" s="272" t="n"/>
      <c r="E10" s="100" t="n"/>
      <c r="F10" s="284" t="n"/>
      <c r="G10" s="284" t="n">
        <v>0</v>
      </c>
    </row>
    <row r="11">
      <c r="A11" s="279" t="n"/>
      <c r="B11" s="282" t="inlineStr">
        <is>
          <t>ТЕХНОЛОГИЧЕСКОЕ ОБОРУДОВАНИЕ</t>
        </is>
      </c>
      <c r="C11" s="349" t="n"/>
      <c r="D11" s="349" t="n"/>
      <c r="E11" s="349" t="n"/>
      <c r="F11" s="349" t="n"/>
      <c r="G11" s="350" t="n"/>
    </row>
    <row r="12" ht="25.5" customHeight="1" s="215">
      <c r="A12" s="279" t="n"/>
      <c r="B12" s="282" t="n"/>
      <c r="C12" s="282" t="inlineStr">
        <is>
          <t>ИТОГО ТЕХНОЛОГИЧЕСКОЕ ОБОРУДОВАНИЕ</t>
        </is>
      </c>
      <c r="D12" s="282" t="n"/>
      <c r="E12" s="300" t="n"/>
      <c r="F12" s="284" t="n"/>
      <c r="G12" s="26" t="n">
        <v>0</v>
      </c>
    </row>
    <row r="13" ht="19.5" customHeight="1" s="215">
      <c r="A13" s="279" t="n"/>
      <c r="B13" s="282" t="n"/>
      <c r="C13" s="282" t="inlineStr">
        <is>
          <t>Всего по разделу «Оборудование»</t>
        </is>
      </c>
      <c r="D13" s="282" t="n"/>
      <c r="E13" s="300" t="n"/>
      <c r="F13" s="284" t="n"/>
      <c r="G13" s="26" t="n">
        <v>0</v>
      </c>
    </row>
    <row r="14">
      <c r="A14" s="205" t="n"/>
      <c r="B14" s="206" t="n"/>
      <c r="C14" s="205" t="n"/>
      <c r="D14" s="205" t="n"/>
      <c r="E14" s="205" t="n"/>
      <c r="F14" s="205" t="n"/>
      <c r="G14" s="205" t="n"/>
    </row>
    <row r="15">
      <c r="A15" s="197" t="inlineStr">
        <is>
          <t>Составил ______________________    Д.А. Самуйленко</t>
        </is>
      </c>
      <c r="B15" s="208" t="n"/>
      <c r="C15" s="208" t="n"/>
      <c r="D15" s="205" t="n"/>
      <c r="E15" s="205" t="n"/>
      <c r="F15" s="205" t="n"/>
      <c r="G15" s="205" t="n"/>
    </row>
    <row r="16">
      <c r="A16" s="207" t="inlineStr">
        <is>
          <t xml:space="preserve">                         (подпись, инициалы, фамилия)</t>
        </is>
      </c>
      <c r="B16" s="208" t="n"/>
      <c r="C16" s="208" t="n"/>
      <c r="D16" s="205" t="n"/>
      <c r="E16" s="205" t="n"/>
      <c r="F16" s="205" t="n"/>
      <c r="G16" s="205" t="n"/>
    </row>
    <row r="17">
      <c r="A17" s="197" t="n"/>
      <c r="B17" s="208" t="n"/>
      <c r="C17" s="208" t="n"/>
      <c r="D17" s="205" t="n"/>
      <c r="E17" s="205" t="n"/>
      <c r="F17" s="205" t="n"/>
      <c r="G17" s="205" t="n"/>
    </row>
    <row r="18">
      <c r="A18" s="197" t="inlineStr">
        <is>
          <t>Проверил ______________________        А.В. Костянецкая</t>
        </is>
      </c>
      <c r="B18" s="208" t="n"/>
      <c r="C18" s="208" t="n"/>
      <c r="D18" s="205" t="n"/>
      <c r="E18" s="205" t="n"/>
      <c r="F18" s="205" t="n"/>
      <c r="G18" s="205" t="n"/>
    </row>
    <row r="19">
      <c r="A19" s="207" t="inlineStr">
        <is>
          <t xml:space="preserve">                        (подпись, инициалы, фамилия)</t>
        </is>
      </c>
      <c r="B19" s="208" t="n"/>
      <c r="C19" s="208" t="n"/>
      <c r="D19" s="205" t="n"/>
      <c r="E19" s="205" t="n"/>
      <c r="F19" s="205" t="n"/>
      <c r="G19" s="20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view="pageBreakPreview" zoomScale="115" workbookViewId="0">
      <selection activeCell="A13" sqref="A13"/>
    </sheetView>
  </sheetViews>
  <sheetFormatPr baseColWidth="8" defaultRowHeight="15"/>
  <cols>
    <col width="14.42578125" customWidth="1" style="215" min="1" max="1"/>
    <col width="29.7109375" customWidth="1" style="215" min="2" max="2"/>
    <col width="39.140625" customWidth="1" style="215" min="3" max="3"/>
    <col width="24.5703125" customWidth="1" style="215" min="4" max="4"/>
  </cols>
  <sheetData>
    <row r="1">
      <c r="B1" s="197" t="n"/>
      <c r="C1" s="197" t="n"/>
      <c r="D1" s="296" t="inlineStr">
        <is>
          <t>Приложение №7</t>
        </is>
      </c>
    </row>
    <row r="2">
      <c r="A2" s="296" t="n"/>
      <c r="B2" s="296" t="n"/>
      <c r="C2" s="296" t="n"/>
      <c r="D2" s="296" t="n"/>
    </row>
    <row r="3">
      <c r="A3" s="242" t="inlineStr">
        <is>
          <t>Расчет показателя УНЦ</t>
        </is>
      </c>
    </row>
    <row r="4">
      <c r="A4" s="242" t="n"/>
      <c r="B4" s="242" t="n"/>
      <c r="C4" s="242" t="n"/>
      <c r="D4" s="242" t="n"/>
    </row>
    <row r="5" ht="15" customHeight="1" s="215">
      <c r="A5" s="245">
        <f>'Прил.4 РМ'!B7</f>
        <v/>
      </c>
    </row>
    <row r="6" ht="15" customHeight="1" s="215">
      <c r="A6" s="197" t="inlineStr">
        <is>
          <t>Единица измерения  — м2</t>
        </is>
      </c>
      <c r="B6" s="197" t="n"/>
      <c r="C6" s="197" t="n"/>
      <c r="D6" s="245" t="n"/>
    </row>
    <row r="7">
      <c r="A7" s="197" t="n"/>
      <c r="B7" s="197" t="n"/>
      <c r="C7" s="197" t="n"/>
      <c r="D7" s="197" t="n"/>
    </row>
    <row r="8" ht="15" customHeight="1" s="215">
      <c r="A8" s="255" t="inlineStr">
        <is>
          <t>Код показателя</t>
        </is>
      </c>
      <c r="B8" s="255" t="inlineStr">
        <is>
          <t>Наименование показателя</t>
        </is>
      </c>
      <c r="C8" s="255" t="inlineStr">
        <is>
          <t>Наименование РМ, входящих в состав показателя</t>
        </is>
      </c>
      <c r="D8" s="255" t="inlineStr">
        <is>
          <t>Норматив цены на 01.01.2023, тыс.руб.</t>
        </is>
      </c>
    </row>
    <row r="9" ht="15" customHeight="1" s="215">
      <c r="A9" s="352" t="n"/>
      <c r="B9" s="352" t="n"/>
      <c r="C9" s="352" t="n"/>
      <c r="D9" s="352" t="n"/>
    </row>
    <row r="10">
      <c r="A10" s="279" t="n">
        <v>1</v>
      </c>
      <c r="B10" s="279" t="n">
        <v>2</v>
      </c>
      <c r="C10" s="279" t="n">
        <v>3</v>
      </c>
      <c r="D10" s="279" t="n">
        <v>4</v>
      </c>
    </row>
    <row r="11" ht="25.5" customHeight="1" s="215">
      <c r="A11" s="202" t="inlineStr">
        <is>
          <t>Б1-01</t>
        </is>
      </c>
      <c r="B11" s="202" t="inlineStr">
        <is>
          <t xml:space="preserve">УНЦ подготовки и устройства территории ПС </t>
        </is>
      </c>
      <c r="C11" s="203" t="inlineStr">
        <is>
          <t>Б1 РМ Подготовка и устройство территории ПС (ЗПС) г. Москва</t>
        </is>
      </c>
      <c r="D11" s="204">
        <f>'Прил.4 РМ'!C41/1000</f>
        <v/>
      </c>
    </row>
    <row r="12">
      <c r="A12" s="205" t="n"/>
      <c r="B12" s="206" t="n"/>
      <c r="C12" s="205" t="n"/>
      <c r="D12" s="205" t="n"/>
    </row>
    <row r="13">
      <c r="A13" s="228" t="inlineStr">
        <is>
          <t>Составил ______________________      Д.А. Самуйленко</t>
        </is>
      </c>
      <c r="B13" s="197" t="n"/>
      <c r="C13" s="197" t="n"/>
      <c r="D13" s="205" t="n"/>
    </row>
    <row r="14">
      <c r="A14" s="207" t="inlineStr">
        <is>
          <t xml:space="preserve">                         (подпись, инициалы, фамилия)</t>
        </is>
      </c>
      <c r="B14" s="207" t="n"/>
      <c r="C14" s="207" t="n"/>
      <c r="D14" s="205" t="n"/>
    </row>
    <row r="15">
      <c r="A15" s="207" t="n"/>
      <c r="B15" s="207" t="n"/>
      <c r="C15" s="207" t="n"/>
      <c r="D15" s="205" t="n"/>
    </row>
    <row r="16">
      <c r="A16" s="197" t="inlineStr">
        <is>
          <t>Проверил ______________________        А.В. Костянецкая</t>
        </is>
      </c>
      <c r="B16" s="208" t="n"/>
      <c r="C16" s="208" t="n"/>
      <c r="D16" s="205" t="n"/>
    </row>
    <row r="17">
      <c r="A17" s="207" t="inlineStr">
        <is>
          <t xml:space="preserve">                        (подпись, инициалы, фамилия)</t>
        </is>
      </c>
      <c r="B17" s="208" t="n"/>
      <c r="C17" s="208" t="n"/>
      <c r="D17" s="205" t="n"/>
    </row>
  </sheetData>
  <mergeCells count="6">
    <mergeCell ref="A5:D5"/>
    <mergeCell ref="A8:A9"/>
    <mergeCell ref="C8:C9"/>
    <mergeCell ref="A3:D3"/>
    <mergeCell ref="D8:D9"/>
    <mergeCell ref="B8:B9"/>
  </mergeCells>
  <pageMargins left="0.7" right="0.7" top="0.75" bottom="0.75" header="0.3" footer="0.3"/>
  <pageSetup orientation="portrait" paperSize="9" scale="8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zoomScale="60" zoomScaleNormal="85" workbookViewId="0">
      <selection activeCell="L37" sqref="K37:L37"/>
    </sheetView>
  </sheetViews>
  <sheetFormatPr baseColWidth="8" defaultRowHeight="15"/>
  <cols>
    <col width="9.140625" customWidth="1" style="215" min="1" max="1"/>
    <col width="40.7109375" customWidth="1" style="215" min="2" max="2"/>
    <col width="37" customWidth="1" style="215" min="3" max="3"/>
    <col width="32" customWidth="1" style="215" min="4" max="4"/>
    <col width="9.140625" customWidth="1" style="215" min="5" max="5"/>
  </cols>
  <sheetData>
    <row r="4" ht="15.75" customHeight="1" s="215">
      <c r="B4" s="249" t="inlineStr">
        <is>
          <t>Приложение № 10</t>
        </is>
      </c>
    </row>
    <row r="5" ht="18.75" customHeight="1" s="215">
      <c r="B5" s="112" t="n"/>
    </row>
    <row r="6" ht="15.75" customHeight="1" s="215">
      <c r="B6" s="250" t="inlineStr">
        <is>
          <t>Используемые индексы изменений сметной стоимости и нормы сопутствующих затрат</t>
        </is>
      </c>
    </row>
    <row r="7">
      <c r="B7" s="304" t="n"/>
    </row>
    <row r="8">
      <c r="B8" s="304" t="n"/>
      <c r="C8" s="304" t="n"/>
      <c r="D8" s="304" t="n"/>
      <c r="E8" s="304" t="n"/>
    </row>
    <row r="9" ht="47.25" customHeight="1" s="215">
      <c r="B9" s="255" t="inlineStr">
        <is>
          <t>Наименование индекса / норм сопутствующих затрат</t>
        </is>
      </c>
      <c r="C9" s="255" t="inlineStr">
        <is>
          <t>Дата применения и обоснование индекса / норм сопутствующих затрат</t>
        </is>
      </c>
      <c r="D9" s="255" t="inlineStr">
        <is>
          <t>Размер индекса / норма сопутствующих затрат</t>
        </is>
      </c>
    </row>
    <row r="10" ht="15.75" customHeight="1" s="215">
      <c r="B10" s="255" t="n">
        <v>1</v>
      </c>
      <c r="C10" s="255" t="n">
        <v>2</v>
      </c>
      <c r="D10" s="255" t="n">
        <v>3</v>
      </c>
    </row>
    <row r="11" ht="45" customHeight="1" s="215">
      <c r="B11" s="255" t="inlineStr">
        <is>
          <t xml:space="preserve">Индекс изменения сметной стоимости на 1 квартал 2023 года. ОЗП </t>
        </is>
      </c>
      <c r="C11" s="255" t="inlineStr">
        <is>
          <t>Письмо Минстроя России от 30.03.2023г. №17106-ИФ/09  прил.1</t>
        </is>
      </c>
      <c r="D11" s="255" t="n">
        <v>44.29</v>
      </c>
    </row>
    <row r="12" ht="29.25" customHeight="1" s="215">
      <c r="B12" s="255" t="inlineStr">
        <is>
          <t>Индекс изменения сметной стоимости на 1 квартал 2023 года. ЭМ</t>
        </is>
      </c>
      <c r="C12" s="255" t="inlineStr">
        <is>
          <t>Письмо Минстроя России от 30.03.2023г. №17106-ИФ/09  прил.1</t>
        </is>
      </c>
      <c r="D12" s="255" t="n">
        <v>13.47</v>
      </c>
    </row>
    <row r="13" ht="29.25" customHeight="1" s="215">
      <c r="B13" s="255" t="inlineStr">
        <is>
          <t>Индекс изменения сметной стоимости на 1 квартал 2023 года. МАТ</t>
        </is>
      </c>
      <c r="C13" s="255" t="inlineStr">
        <is>
          <t>Письмо Минстроя России от 30.03.2023г. №17106-ИФ/09  прил.1</t>
        </is>
      </c>
      <c r="D13" s="255" t="n">
        <v>8.039999999999999</v>
      </c>
    </row>
    <row r="14" ht="30.75" customHeight="1" s="215">
      <c r="B14" s="255" t="inlineStr">
        <is>
          <t>Индекс изменения сметной стоимости на 1 квартал 2023 года. ОБ</t>
        </is>
      </c>
      <c r="C14" s="111" t="inlineStr">
        <is>
          <t>Письмо Минстроя России от 23.02.2023г. №9791-ИФ/09 прил.6</t>
        </is>
      </c>
      <c r="D14" s="255" t="n">
        <v>6.26</v>
      </c>
    </row>
    <row r="15" ht="89.25" customHeight="1" s="215">
      <c r="B15" s="255" t="inlineStr">
        <is>
          <t>Временные здания и сооружения</t>
        </is>
      </c>
      <c r="C15" s="255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15" t="n">
        <v>0.039</v>
      </c>
    </row>
    <row r="16" ht="78.75" customHeight="1" s="215">
      <c r="B16" s="255" t="inlineStr">
        <is>
          <t>Дополнительные затраты при производстве строительно-монтажных работ в зимнее время</t>
        </is>
      </c>
      <c r="C16" s="25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15" t="n">
        <v>0.021</v>
      </c>
    </row>
    <row r="17" ht="31.5" customHeight="1" s="215">
      <c r="B17" s="255" t="inlineStr">
        <is>
          <t>Строительный контроль</t>
        </is>
      </c>
      <c r="C17" s="255" t="inlineStr">
        <is>
          <t>Постановление Правительства РФ от 21.06.10 г. № 468</t>
        </is>
      </c>
      <c r="D17" s="115" t="n">
        <v>0.0214</v>
      </c>
    </row>
    <row r="18" ht="31.5" customHeight="1" s="215">
      <c r="B18" s="255" t="inlineStr">
        <is>
          <t>Авторский надзор - 0,2%</t>
        </is>
      </c>
      <c r="C18" s="255" t="inlineStr">
        <is>
          <t>Приказ от 4.08.2020 № 421/пр п.173</t>
        </is>
      </c>
      <c r="D18" s="115" t="n">
        <v>0.002</v>
      </c>
    </row>
    <row r="19" ht="24" customHeight="1" s="215">
      <c r="B19" s="255" t="inlineStr">
        <is>
          <t>Непредвиденные расходы</t>
        </is>
      </c>
      <c r="C19" s="255" t="inlineStr">
        <is>
          <t>Приказ от 4.08.2020 № 421/пр п.179</t>
        </is>
      </c>
      <c r="D19" s="115" t="n">
        <v>0.03</v>
      </c>
    </row>
    <row r="20" ht="18.75" customHeight="1" s="215">
      <c r="B20" s="113" t="n"/>
    </row>
    <row r="21" ht="18.75" customHeight="1" s="215">
      <c r="B21" s="113" t="n"/>
    </row>
    <row r="22" ht="18.75" customHeight="1" s="215">
      <c r="B22" s="113" t="n"/>
    </row>
    <row r="23" ht="18.75" customHeight="1" s="215">
      <c r="B23" s="113" t="n"/>
    </row>
    <row r="26">
      <c r="B26" s="197" t="inlineStr">
        <is>
          <t>Составил ______________________        Д.А. Самуйленко</t>
        </is>
      </c>
      <c r="C26" s="208" t="n"/>
    </row>
    <row r="27">
      <c r="B27" s="207" t="inlineStr">
        <is>
          <t xml:space="preserve">                         (подпись, инициалы, фамилия)</t>
        </is>
      </c>
      <c r="C27" s="208" t="n"/>
    </row>
    <row r="28">
      <c r="B28" s="197" t="n"/>
      <c r="C28" s="208" t="n"/>
    </row>
    <row r="29">
      <c r="B29" s="197" t="inlineStr">
        <is>
          <t>Проверил ______________________        А.В. Костянецкая</t>
        </is>
      </c>
      <c r="C29" s="208" t="n"/>
    </row>
    <row r="30">
      <c r="B30" s="207" t="inlineStr">
        <is>
          <t xml:space="preserve">                        (подпись, инициалы, фамилия)</t>
        </is>
      </c>
      <c r="C30" s="20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215" min="2" max="2"/>
    <col width="13" customWidth="1" style="215" min="3" max="3"/>
    <col width="22.85546875" customWidth="1" style="215" min="4" max="4"/>
    <col width="21.5703125" customWidth="1" style="215" min="5" max="5"/>
    <col width="43.85546875" customWidth="1" style="215" min="6" max="6"/>
  </cols>
  <sheetData>
    <row r="1" s="215"/>
    <row r="2" ht="17.25" customHeight="1" s="215">
      <c r="A2" s="250" t="inlineStr">
        <is>
          <t>Расчет размера средств на оплату труда рабочих-строителей в текущем уровне цен (ФОТр.тек.)</t>
        </is>
      </c>
    </row>
    <row r="3" s="215"/>
    <row r="4" ht="18" customHeight="1" s="215">
      <c r="A4" s="210" t="inlineStr">
        <is>
          <t>Составлен в уровне цен на 01.01.2023 г.</t>
        </is>
      </c>
      <c r="B4" s="211" t="n"/>
      <c r="C4" s="211" t="n"/>
      <c r="D4" s="211" t="n"/>
      <c r="E4" s="211" t="n"/>
      <c r="F4" s="211" t="n"/>
      <c r="G4" s="211" t="n"/>
    </row>
    <row r="5" ht="15.75" customHeight="1" s="215">
      <c r="A5" s="229" t="inlineStr">
        <is>
          <t>№ пп.</t>
        </is>
      </c>
      <c r="B5" s="229" t="inlineStr">
        <is>
          <t>Наименование элемента</t>
        </is>
      </c>
      <c r="C5" s="229" t="inlineStr">
        <is>
          <t>Обозначение</t>
        </is>
      </c>
      <c r="D5" s="229" t="inlineStr">
        <is>
          <t>Формула</t>
        </is>
      </c>
      <c r="E5" s="229" t="inlineStr">
        <is>
          <t>Величина элемента</t>
        </is>
      </c>
      <c r="F5" s="229" t="inlineStr">
        <is>
          <t>Наименования обосновывающих документов</t>
        </is>
      </c>
      <c r="G5" s="211" t="n"/>
    </row>
    <row r="6" ht="15.75" customHeight="1" s="215">
      <c r="A6" s="229" t="n">
        <v>1</v>
      </c>
      <c r="B6" s="229" t="n">
        <v>2</v>
      </c>
      <c r="C6" s="229" t="n">
        <v>3</v>
      </c>
      <c r="D6" s="229" t="n">
        <v>4</v>
      </c>
      <c r="E6" s="229" t="n">
        <v>5</v>
      </c>
      <c r="F6" s="229" t="n">
        <v>6</v>
      </c>
      <c r="G6" s="211" t="n"/>
    </row>
    <row r="7" ht="110.25" customHeight="1" s="215">
      <c r="A7" s="230" t="inlineStr">
        <is>
          <t>1.1</t>
        </is>
      </c>
      <c r="B7" s="2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2" t="inlineStr">
        <is>
          <t>С1ср</t>
        </is>
      </c>
      <c r="D7" s="232" t="inlineStr">
        <is>
          <t>-</t>
        </is>
      </c>
      <c r="E7" s="233" t="n">
        <v>47872.94</v>
      </c>
      <c r="F7" s="2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11" t="n"/>
    </row>
    <row r="8" ht="31.5" customHeight="1" s="215">
      <c r="A8" s="230" t="inlineStr">
        <is>
          <t>1.2</t>
        </is>
      </c>
      <c r="B8" s="231" t="inlineStr">
        <is>
          <t>Среднегодовое нормативное число часов работы одного рабочего в месяц, часы (ч.)</t>
        </is>
      </c>
      <c r="C8" s="232" t="inlineStr">
        <is>
          <t>tср</t>
        </is>
      </c>
      <c r="D8" s="232" t="inlineStr">
        <is>
          <t>1973ч/12мес.</t>
        </is>
      </c>
      <c r="E8" s="234">
        <f>1973/12</f>
        <v/>
      </c>
      <c r="F8" s="231" t="inlineStr">
        <is>
          <t>Производственный календарь 2023 год
(40-часов.неделя)</t>
        </is>
      </c>
      <c r="G8" s="213" t="n"/>
    </row>
    <row r="9" ht="15.75" customHeight="1" s="215">
      <c r="A9" s="230" t="inlineStr">
        <is>
          <t>1.3</t>
        </is>
      </c>
      <c r="B9" s="231" t="inlineStr">
        <is>
          <t>Коэффициент увеличения</t>
        </is>
      </c>
      <c r="C9" s="232" t="inlineStr">
        <is>
          <t>Кув</t>
        </is>
      </c>
      <c r="D9" s="232" t="inlineStr">
        <is>
          <t>-</t>
        </is>
      </c>
      <c r="E9" s="234" t="n">
        <v>1</v>
      </c>
      <c r="F9" s="231" t="n"/>
      <c r="G9" s="213" t="n"/>
    </row>
    <row r="10" ht="15.75" customHeight="1" s="215">
      <c r="A10" s="230" t="inlineStr">
        <is>
          <t>1.4</t>
        </is>
      </c>
      <c r="B10" s="231" t="inlineStr">
        <is>
          <t>Средний разряд работ</t>
        </is>
      </c>
      <c r="C10" s="232" t="n"/>
      <c r="D10" s="232" t="n"/>
      <c r="E10" s="365" t="n">
        <v>2.8</v>
      </c>
      <c r="F10" s="231" t="inlineStr">
        <is>
          <t>РТМ</t>
        </is>
      </c>
      <c r="G10" s="213" t="n"/>
    </row>
    <row r="11" ht="78.75" customHeight="1" s="215">
      <c r="A11" s="230" t="inlineStr">
        <is>
          <t>1.5</t>
        </is>
      </c>
      <c r="B11" s="231" t="inlineStr">
        <is>
          <t>Тарифный коэффициент среднего разряда работ</t>
        </is>
      </c>
      <c r="C11" s="232" t="inlineStr">
        <is>
          <t>КТ</t>
        </is>
      </c>
      <c r="D11" s="232" t="inlineStr">
        <is>
          <t>-</t>
        </is>
      </c>
      <c r="E11" s="366" t="n">
        <v>1.166</v>
      </c>
      <c r="F11" s="2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11" t="n"/>
    </row>
    <row r="12" ht="78.75" customHeight="1" s="215">
      <c r="A12" s="230" t="inlineStr">
        <is>
          <t>1.6</t>
        </is>
      </c>
      <c r="B12" s="237" t="inlineStr">
        <is>
          <t>Коэффициент инфляции, определяемый поквартально</t>
        </is>
      </c>
      <c r="C12" s="232" t="inlineStr">
        <is>
          <t>Кинф</t>
        </is>
      </c>
      <c r="D12" s="232" t="inlineStr">
        <is>
          <t>-</t>
        </is>
      </c>
      <c r="E12" s="367" t="n">
        <v>1.139</v>
      </c>
      <c r="F12" s="23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13" t="n"/>
    </row>
    <row r="13" ht="63" customHeight="1" s="215">
      <c r="A13" s="230" t="inlineStr">
        <is>
          <t>1.7</t>
        </is>
      </c>
      <c r="B13" s="240" t="inlineStr">
        <is>
          <t>Размер средств на оплату труда рабочих-строителей в текущем уровне цен (ФОТр.тек.), руб/чел.-ч</t>
        </is>
      </c>
      <c r="C13" s="232" t="inlineStr">
        <is>
          <t>ФОТр.тек.</t>
        </is>
      </c>
      <c r="D13" s="232" t="inlineStr">
        <is>
          <t>(С1ср/tср*КТ*Т*Кув)*Кинф</t>
        </is>
      </c>
      <c r="E13" s="241">
        <f>((E7*E9/E8)*E11)*E12</f>
        <v/>
      </c>
      <c r="F13" s="23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11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2025-01-24T11:53:24Z</dcterms:modified>
  <cp:lastModifiedBy>Nikolay Ivanov</cp:lastModifiedBy>
  <cp:lastPrinted>2023-11-29T12:36:27Z</cp:lastPrinted>
</cp:coreProperties>
</file>