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10" fontId="16" fillId="0" borderId="0" applyAlignment="1" pivotButton="0" quotePrefix="0" xfId="0">
      <alignment vertical="center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4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1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58" t="n"/>
      <c r="C6" s="158" t="n"/>
      <c r="D6" s="158" t="n"/>
    </row>
    <row r="7" ht="64.5" customHeight="1" s="214">
      <c r="B7" s="237" t="inlineStr">
        <is>
          <t>Наименование разрабатываемого показателя УНЦ -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8" ht="31.5" customHeight="1" s="214">
      <c r="B8" s="133" t="inlineStr">
        <is>
          <t xml:space="preserve">Сопоставимый уровень цен: </t>
        </is>
      </c>
      <c r="C8" s="133" t="n"/>
      <c r="D8" s="224">
        <f>D22</f>
        <v/>
      </c>
    </row>
    <row r="9" ht="15.75" customHeight="1" s="214">
      <c r="B9" s="237" t="inlineStr">
        <is>
          <t>Единица измерения  — 1 м2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1" t="n"/>
    </row>
    <row r="12" ht="104.25" customHeight="1" s="214">
      <c r="B12" s="241" t="n">
        <v>1</v>
      </c>
      <c r="C12" s="251" t="inlineStr">
        <is>
          <t>Наименование объекта-представителя</t>
        </is>
      </c>
      <c r="D12" s="241" t="inlineStr">
        <is>
          <t>Строительство ПС 500 кВ Белобережская с заходами ВЛ 500 кВ Новобрянская – Елецкая, строительство ВЛ 220кВ Белобережская -Цементная,  ВЛ200 кВ Белобережская -Машзавод,  ВЛ 220 кВ Белобережская  -Брянская. Корректировка</t>
        </is>
      </c>
    </row>
    <row r="13">
      <c r="B13" s="241" t="n">
        <v>2</v>
      </c>
      <c r="C13" s="251" t="inlineStr">
        <is>
          <t>Наименование субъекта Российской Федерации</t>
        </is>
      </c>
      <c r="D13" s="241" t="inlineStr">
        <is>
          <t>Брянская область</t>
        </is>
      </c>
    </row>
    <row r="14">
      <c r="B14" s="241" t="n">
        <v>3</v>
      </c>
      <c r="C14" s="251" t="inlineStr">
        <is>
          <t>Климатический район и подрайон</t>
        </is>
      </c>
      <c r="D14" s="241" t="inlineStr">
        <is>
          <t>IIВ</t>
        </is>
      </c>
    </row>
    <row r="15">
      <c r="B15" s="241" t="n">
        <v>4</v>
      </c>
      <c r="C15" s="251" t="inlineStr">
        <is>
          <t>Мощность объекта</t>
        </is>
      </c>
      <c r="D15" s="241" t="n">
        <v>39040</v>
      </c>
    </row>
    <row r="16" ht="63" customHeight="1" s="214">
      <c r="B16" s="241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Трубы напорные из полиэтилена низкого давления среднего типа, наружным диаметром: 250 мм</t>
        </is>
      </c>
    </row>
    <row r="17" ht="63" customHeight="1" s="214">
      <c r="B17" s="241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5">
        <f>D18+D19+D20+D21</f>
        <v/>
      </c>
      <c r="E17" s="157" t="n"/>
    </row>
    <row r="18">
      <c r="B18" s="140" t="inlineStr">
        <is>
          <t>6.1</t>
        </is>
      </c>
      <c r="C18" s="251" t="inlineStr">
        <is>
          <t>строительно-монтажные работы</t>
        </is>
      </c>
      <c r="D18" s="225">
        <f>'Прил.2 Расч стоим'!F12</f>
        <v/>
      </c>
    </row>
    <row r="19">
      <c r="B19" s="140" t="inlineStr">
        <is>
          <t>6.2</t>
        </is>
      </c>
      <c r="C19" s="251" t="inlineStr">
        <is>
          <t>оборудование и инвентарь</t>
        </is>
      </c>
      <c r="D19" s="225">
        <f>'Прил.2 Расч стоим'!H14</f>
        <v/>
      </c>
    </row>
    <row r="20">
      <c r="B20" s="140" t="inlineStr">
        <is>
          <t>6.3</t>
        </is>
      </c>
      <c r="C20" s="251" t="inlineStr">
        <is>
          <t>пусконаладочные работы</t>
        </is>
      </c>
      <c r="D20" s="241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225">
        <f>D18*0.039+(D18*0.039+D18)*0.021</f>
        <v/>
      </c>
    </row>
    <row r="22">
      <c r="B22" s="241" t="n">
        <v>7</v>
      </c>
      <c r="C22" s="139" t="inlineStr">
        <is>
          <t>Сопоставимый уровень цен</t>
        </is>
      </c>
      <c r="D22" s="162" t="inlineStr">
        <is>
          <t>4 кв. 2018 г.</t>
        </is>
      </c>
      <c r="E22" s="137" t="n"/>
    </row>
    <row r="23" ht="78.75" customHeight="1" s="214">
      <c r="B23" s="241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5">
        <f>D17</f>
        <v/>
      </c>
      <c r="E23" s="157" t="n"/>
    </row>
    <row r="24" ht="31.5" customHeight="1" s="214">
      <c r="B24" s="241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25">
        <f>D23/D15</f>
        <v/>
      </c>
      <c r="E24" s="137" t="n"/>
    </row>
    <row r="25">
      <c r="B25" s="241" t="n">
        <v>10</v>
      </c>
      <c r="C25" s="251" t="inlineStr">
        <is>
          <t>Примечание</t>
        </is>
      </c>
      <c r="D25" s="241" t="n"/>
    </row>
    <row r="26">
      <c r="B26" s="135" t="n"/>
      <c r="C26" s="134" t="n"/>
      <c r="D26" s="134" t="n"/>
    </row>
    <row r="27">
      <c r="B27" s="133" t="n"/>
    </row>
    <row r="28">
      <c r="B28" s="211" t="inlineStr">
        <is>
          <t>Составил ______________________    Д.А. Самуйленко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5" t="inlineStr">
        <is>
          <t>Приложение № 2</t>
        </is>
      </c>
      <c r="K3" s="133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66" customHeight="1" s="214">
      <c r="B6" s="242">
        <f>'Прил.1 Сравнит табл'!B7:D7</f>
        <v/>
      </c>
      <c r="K6" s="188" t="n"/>
    </row>
    <row r="7">
      <c r="B7" s="237">
        <f>'Прил.1 Сравнит табл'!B9:D9</f>
        <v/>
      </c>
    </row>
    <row r="8" ht="18.75" customHeight="1" s="214">
      <c r="B8" s="113" t="n"/>
    </row>
    <row r="9" ht="15.75" customHeight="1" s="214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48" t="n"/>
      <c r="F9" s="348" t="n"/>
      <c r="G9" s="348" t="n"/>
      <c r="H9" s="348" t="n"/>
      <c r="I9" s="348" t="n"/>
      <c r="J9" s="349" t="n"/>
    </row>
    <row r="10" ht="15.75" customHeight="1" s="214">
      <c r="B10" s="350" t="n"/>
      <c r="C10" s="350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2018 г., тыс. руб.</t>
        </is>
      </c>
      <c r="G10" s="348" t="n"/>
      <c r="H10" s="348" t="n"/>
      <c r="I10" s="348" t="n"/>
      <c r="J10" s="349" t="n"/>
    </row>
    <row r="11" ht="31.5" customHeight="1" s="214">
      <c r="B11" s="351" t="n"/>
      <c r="C11" s="351" t="n"/>
      <c r="D11" s="351" t="n"/>
      <c r="E11" s="351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47.25" customHeight="1" s="214">
      <c r="B12" s="215" t="n">
        <v>1</v>
      </c>
      <c r="C12" s="288" t="inlineStr">
        <is>
          <t>Трубы напорные из полиэтилена низкого давления среднего типа, наружным диаметром: 250 мм</t>
        </is>
      </c>
      <c r="D12" s="217" t="n"/>
      <c r="E12" s="251" t="n"/>
      <c r="F12" s="219" t="n">
        <v>857.4601728</v>
      </c>
      <c r="G12" s="349" t="n"/>
      <c r="H12" s="219" t="n"/>
      <c r="I12" s="219" t="n"/>
      <c r="J12" s="220">
        <f>SUM(F12:I12)</f>
        <v/>
      </c>
    </row>
    <row r="13" ht="15" customHeight="1" s="214">
      <c r="B13" s="245" t="inlineStr">
        <is>
          <t>Всего по объекту:</t>
        </is>
      </c>
      <c r="C13" s="348" t="n"/>
      <c r="D13" s="348" t="n"/>
      <c r="E13" s="349" t="n"/>
      <c r="F13" s="222" t="n"/>
      <c r="G13" s="222" t="n"/>
      <c r="H13" s="222" t="n"/>
      <c r="I13" s="222" t="n"/>
      <c r="J13" s="222" t="n"/>
      <c r="K13" s="223" t="n"/>
    </row>
    <row r="14" ht="15.75" customHeight="1" s="214">
      <c r="B14" s="245" t="inlineStr">
        <is>
          <t>Всего по объекту в сопоставимом уровне цен 4 кв. 2018 г. :</t>
        </is>
      </c>
      <c r="C14" s="348" t="n"/>
      <c r="D14" s="348" t="n"/>
      <c r="E14" s="349" t="n"/>
      <c r="F14" s="352">
        <f>F12</f>
        <v/>
      </c>
      <c r="G14" s="349" t="n"/>
      <c r="H14" s="222">
        <f>H12</f>
        <v/>
      </c>
      <c r="I14" s="222">
        <f>'Прил.1 Сравнит табл'!D21</f>
        <v/>
      </c>
      <c r="J14" s="222">
        <f>SUM(F14:I14)</f>
        <v/>
      </c>
    </row>
    <row r="15" ht="15" customHeight="1" s="214"/>
    <row r="16" ht="15" customHeight="1" s="214"/>
    <row r="17" ht="15" customHeight="1" s="214"/>
    <row r="18" ht="15" customHeight="1" s="214">
      <c r="C18" s="197" t="inlineStr">
        <is>
          <t>Составил ______________________     Д.А. Самуйленко</t>
        </is>
      </c>
      <c r="D18" s="208" t="n"/>
      <c r="E18" s="208" t="n"/>
    </row>
    <row r="19" ht="15" customHeight="1" s="214">
      <c r="C19" s="207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14">
      <c r="C20" s="197" t="n"/>
      <c r="D20" s="208" t="n"/>
      <c r="E20" s="208" t="n"/>
    </row>
    <row r="21" ht="15" customHeight="1" s="214">
      <c r="C21" s="197" t="inlineStr">
        <is>
          <t>Проверил ______________________        А.В. Костянецкая</t>
        </is>
      </c>
      <c r="D21" s="208" t="n"/>
      <c r="E21" s="208" t="n"/>
    </row>
    <row r="22" ht="15" customHeight="1" s="214">
      <c r="C22" s="207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1"/>
  <sheetViews>
    <sheetView view="pageBreakPreview" topLeftCell="A19" zoomScale="85" workbookViewId="0">
      <selection activeCell="C37" sqref="C37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9"/>
    <col width="11.28515625" customWidth="1" style="211" min="10" max="10"/>
    <col width="15" customWidth="1" style="211" min="11" max="11"/>
    <col width="9.140625" customWidth="1" style="211" min="12" max="12"/>
    <col width="13.5703125" customWidth="1" style="211" min="13" max="13"/>
    <col width="9.140625" customWidth="1" style="211" min="14" max="14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14">
      <c r="A4" s="160" t="n"/>
      <c r="B4" s="160" t="n"/>
      <c r="C4" s="2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 ht="48" customHeight="1" s="214">
      <c r="A6" s="242" t="inlineStr">
        <is>
          <t>Наименование разрабатываемого показателя УНЦ - 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7" ht="16.5" customHeight="1" s="214">
      <c r="A7" s="242" t="n"/>
      <c r="B7" s="242" t="n"/>
      <c r="C7" s="242" t="n"/>
      <c r="D7" s="242" t="n"/>
      <c r="E7" s="242" t="n"/>
      <c r="F7" s="242" t="n"/>
      <c r="G7" s="242" t="n"/>
      <c r="H7" s="242" t="n"/>
      <c r="I7" s="211" t="n"/>
      <c r="J7" s="211" t="n"/>
      <c r="K7" s="211" t="n"/>
      <c r="L7" s="211" t="n"/>
      <c r="M7" s="211" t="n"/>
      <c r="N7" s="211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38.25" customHeight="1" s="214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49" t="n"/>
    </row>
    <row r="10" ht="40.5" customHeight="1" s="214">
      <c r="A10" s="351" t="n"/>
      <c r="B10" s="351" t="n"/>
      <c r="C10" s="351" t="n"/>
      <c r="D10" s="351" t="n"/>
      <c r="E10" s="351" t="n"/>
      <c r="F10" s="351" t="n"/>
      <c r="G10" s="241" t="inlineStr">
        <is>
          <t>на ед.изм.</t>
        </is>
      </c>
      <c r="H10" s="241" t="inlineStr">
        <is>
          <t>общая</t>
        </is>
      </c>
    </row>
    <row r="11">
      <c r="A11" s="288" t="n">
        <v>1</v>
      </c>
      <c r="B11" s="288" t="n"/>
      <c r="C11" s="288" t="n">
        <v>2</v>
      </c>
      <c r="D11" s="288" t="inlineStr">
        <is>
          <t>З</t>
        </is>
      </c>
      <c r="E11" s="288" t="n">
        <v>4</v>
      </c>
      <c r="F11" s="288" t="n">
        <v>5</v>
      </c>
      <c r="G11" s="288" t="n">
        <v>6</v>
      </c>
      <c r="H11" s="288" t="n">
        <v>7</v>
      </c>
    </row>
    <row r="12" customFormat="1" s="144">
      <c r="A12" s="252" t="inlineStr">
        <is>
          <t>Затраты труда рабочих</t>
        </is>
      </c>
      <c r="B12" s="348" t="n"/>
      <c r="C12" s="348" t="n"/>
      <c r="D12" s="348" t="n"/>
      <c r="E12" s="349" t="n"/>
      <c r="F12" s="353" t="n">
        <v>3263.81</v>
      </c>
      <c r="G12" s="10" t="n"/>
      <c r="H12" s="353">
        <f>SUM(H13:H16)</f>
        <v/>
      </c>
      <c r="K12" s="174" t="n"/>
      <c r="M12" s="192" t="n"/>
      <c r="N12" s="174" t="n"/>
    </row>
    <row r="13">
      <c r="A13" s="164" t="inlineStr">
        <is>
          <t>1</t>
        </is>
      </c>
      <c r="B13" s="165" t="n"/>
      <c r="C13" s="164" t="inlineStr">
        <is>
          <t>1-3-0</t>
        </is>
      </c>
      <c r="D13" s="268" t="inlineStr">
        <is>
          <t>Затраты труда рабочих (средний разряд работы 3,0)</t>
        </is>
      </c>
      <c r="E13" s="265" t="inlineStr">
        <is>
          <t>чел.-ч</t>
        </is>
      </c>
      <c r="F13" s="354" t="n">
        <v>1392.99</v>
      </c>
      <c r="G13" s="286" t="n">
        <v>8.529999999999999</v>
      </c>
      <c r="H13" s="26">
        <f>ROUND(F13*G13,2)</f>
        <v/>
      </c>
      <c r="J13" s="142" t="n"/>
      <c r="K13" s="210" t="n"/>
    </row>
    <row r="14">
      <c r="A14" s="164" t="inlineStr">
        <is>
          <t>2</t>
        </is>
      </c>
      <c r="B14" s="165" t="n"/>
      <c r="C14" s="164" t="inlineStr">
        <is>
          <t>1-2-8</t>
        </is>
      </c>
      <c r="D14" s="268" t="inlineStr">
        <is>
          <t>Затраты труда рабочих (средний разряд работы 2,8)</t>
        </is>
      </c>
      <c r="E14" s="265" t="inlineStr">
        <is>
          <t>чел.-ч</t>
        </is>
      </c>
      <c r="F14" s="354" t="n">
        <v>1103.85</v>
      </c>
      <c r="G14" s="286" t="n">
        <v>8.380000000000001</v>
      </c>
      <c r="H14" s="26">
        <f>ROUND(F14*G14,2)</f>
        <v/>
      </c>
      <c r="J14" s="142" t="n"/>
      <c r="K14" s="210" t="n"/>
    </row>
    <row r="15">
      <c r="A15" s="164" t="inlineStr">
        <is>
          <t>3</t>
        </is>
      </c>
      <c r="B15" s="165" t="n"/>
      <c r="C15" s="164" t="inlineStr">
        <is>
          <t>1-2-0</t>
        </is>
      </c>
      <c r="D15" s="268" t="inlineStr">
        <is>
          <t>Затраты труда рабочих (средний разряд работы 2,0)</t>
        </is>
      </c>
      <c r="E15" s="265" t="inlineStr">
        <is>
          <t>чел.-ч</t>
        </is>
      </c>
      <c r="F15" s="354" t="n">
        <v>525.29</v>
      </c>
      <c r="G15" s="286" t="n">
        <v>6.26</v>
      </c>
      <c r="H15" s="26">
        <f>ROUND(F15*G15,2)</f>
        <v/>
      </c>
      <c r="J15" s="142" t="n"/>
      <c r="K15" s="210" t="n"/>
    </row>
    <row r="16">
      <c r="A16" s="164" t="inlineStr">
        <is>
          <t>4</t>
        </is>
      </c>
      <c r="B16" s="165" t="n"/>
      <c r="C16" s="164" t="inlineStr">
        <is>
          <t>1-3-6</t>
        </is>
      </c>
      <c r="D16" s="268" t="inlineStr">
        <is>
          <t>Затраты труда рабочих (средний разряд работы 3,6)</t>
        </is>
      </c>
      <c r="E16" s="265" t="inlineStr">
        <is>
          <t>чел.-ч</t>
        </is>
      </c>
      <c r="F16" s="354" t="n">
        <v>241.68</v>
      </c>
      <c r="G16" s="286" t="n">
        <v>9.18</v>
      </c>
      <c r="H16" s="26">
        <f>ROUND(F16*G16,2)</f>
        <v/>
      </c>
      <c r="J16" s="142" t="n"/>
      <c r="K16" s="210" t="n"/>
    </row>
    <row r="17" ht="15.75" customHeight="1" s="214">
      <c r="A17" s="258" t="inlineStr">
        <is>
          <t>Затраты труда машинистов</t>
        </is>
      </c>
      <c r="B17" s="348" t="n"/>
      <c r="C17" s="348" t="n"/>
      <c r="D17" s="348" t="n"/>
      <c r="E17" s="349" t="n"/>
      <c r="F17" s="252" t="n"/>
      <c r="G17" s="145" t="n"/>
      <c r="H17" s="353">
        <f>H18</f>
        <v/>
      </c>
      <c r="J17" s="133" t="n"/>
      <c r="K17" s="133" t="n"/>
    </row>
    <row r="18">
      <c r="A18" s="265" t="n">
        <v>5</v>
      </c>
      <c r="B18" s="250" t="n"/>
      <c r="C18" s="164" t="n">
        <v>2</v>
      </c>
      <c r="D18" s="268" t="inlineStr">
        <is>
          <t>Затраты труда машинистов</t>
        </is>
      </c>
      <c r="E18" s="265" t="inlineStr">
        <is>
          <t>чел.-ч</t>
        </is>
      </c>
      <c r="F18" s="265" t="n">
        <v>107.3</v>
      </c>
      <c r="G18" s="26" t="n">
        <v>0</v>
      </c>
      <c r="H18" s="270" t="n">
        <v>1442.96</v>
      </c>
    </row>
    <row r="19" customFormat="1" s="144">
      <c r="A19" s="249" t="inlineStr">
        <is>
          <t>Машины и механизмы</t>
        </is>
      </c>
      <c r="B19" s="348" t="n"/>
      <c r="C19" s="348" t="n"/>
      <c r="D19" s="348" t="n"/>
      <c r="E19" s="349" t="n"/>
      <c r="F19" s="249" t="n"/>
      <c r="G19" s="185" t="n"/>
      <c r="H19" s="355">
        <f>SUM(H20:H29)</f>
        <v/>
      </c>
    </row>
    <row r="20">
      <c r="A20" s="265" t="n">
        <v>6</v>
      </c>
      <c r="B20" s="250" t="n"/>
      <c r="C20" s="164" t="inlineStr">
        <is>
          <t>91.19.08-004</t>
        </is>
      </c>
      <c r="D20" s="268" t="inlineStr">
        <is>
          <t>Насосы, мощность 4 кВт</t>
        </is>
      </c>
      <c r="E20" s="265" t="inlineStr">
        <is>
          <t>маш.час</t>
        </is>
      </c>
      <c r="F20" s="164" t="n">
        <v>1575.9</v>
      </c>
      <c r="G20" s="356" t="n">
        <v>2.96</v>
      </c>
      <c r="H20" s="356">
        <f>ROUND(F20*G20,2)</f>
        <v/>
      </c>
      <c r="I20" s="161" t="n"/>
      <c r="J20" s="194" t="n"/>
      <c r="L20" s="161" t="n"/>
    </row>
    <row r="21">
      <c r="A21" s="265" t="n">
        <v>7</v>
      </c>
      <c r="B21" s="250" t="n"/>
      <c r="C21" s="164" t="inlineStr">
        <is>
          <t>91.17.04-031</t>
        </is>
      </c>
      <c r="D21" s="268" t="inlineStr">
        <is>
          <t>Агрегаты для сварки полиэтиленовых труб</t>
        </is>
      </c>
      <c r="E21" s="265" t="inlineStr">
        <is>
          <t>маш.час</t>
        </is>
      </c>
      <c r="F21" s="164" t="n">
        <v>40.6</v>
      </c>
      <c r="G21" s="356" t="n">
        <v>100.1</v>
      </c>
      <c r="H21" s="356">
        <f>ROUND(F21*G21,2)</f>
        <v/>
      </c>
      <c r="I21" s="161" t="n"/>
      <c r="J21" s="194" t="n"/>
      <c r="L21" s="161" t="n"/>
    </row>
    <row r="22">
      <c r="A22" s="265" t="n">
        <v>8</v>
      </c>
      <c r="B22" s="250" t="n"/>
      <c r="C22" s="164" t="inlineStr">
        <is>
          <t>91.01.01-036</t>
        </is>
      </c>
      <c r="D22" s="268" t="inlineStr">
        <is>
          <t>Бульдозеры, мощность 96 кВт (130 л.с.)</t>
        </is>
      </c>
      <c r="E22" s="265" t="inlineStr">
        <is>
          <t>маш.час</t>
        </is>
      </c>
      <c r="F22" s="164" t="n">
        <v>38.81</v>
      </c>
      <c r="G22" s="356" t="n">
        <v>94.05</v>
      </c>
      <c r="H22" s="356">
        <f>ROUND(F22*G22,2)</f>
        <v/>
      </c>
      <c r="I22" s="161" t="n"/>
      <c r="J22" s="194" t="n"/>
      <c r="L22" s="161" t="n"/>
    </row>
    <row r="23" ht="25.5" customHeight="1" s="214">
      <c r="A23" s="265" t="n">
        <v>9</v>
      </c>
      <c r="B23" s="250" t="n"/>
      <c r="C23" s="164" t="inlineStr">
        <is>
          <t>91.01.05-086</t>
        </is>
      </c>
      <c r="D23" s="268" t="inlineStr">
        <is>
          <t>Экскаваторы одноковшовые дизельные на гусеничном ходу, емкость ковша 0,65 м3</t>
        </is>
      </c>
      <c r="E23" s="265" t="inlineStr">
        <is>
          <t>маш.час</t>
        </is>
      </c>
      <c r="F23" s="164" t="n">
        <v>19.58</v>
      </c>
      <c r="G23" s="356" t="n">
        <v>115.27</v>
      </c>
      <c r="H23" s="356">
        <f>ROUND(F23*G23,2)</f>
        <v/>
      </c>
      <c r="I23" s="161" t="n"/>
      <c r="J23" s="194" t="n"/>
      <c r="L23" s="161" t="n"/>
    </row>
    <row r="24" ht="51" customHeight="1" s="214">
      <c r="A24" s="265" t="n">
        <v>10</v>
      </c>
      <c r="B24" s="250" t="n"/>
      <c r="C24" s="164" t="inlineStr">
        <is>
          <t>91.10.09-012</t>
        </is>
      </c>
      <c r="D24" s="26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24" s="265" t="inlineStr">
        <is>
          <t>маш.час</t>
        </is>
      </c>
      <c r="F24" s="164" t="n">
        <v>24.85</v>
      </c>
      <c r="G24" s="356" t="n">
        <v>26.32</v>
      </c>
      <c r="H24" s="356">
        <f>ROUND(F24*G24,2)</f>
        <v/>
      </c>
      <c r="I24" s="161" t="n"/>
      <c r="J24" s="194" t="n"/>
      <c r="L24" s="161" t="n"/>
    </row>
    <row r="25">
      <c r="A25" s="265" t="n">
        <v>11</v>
      </c>
      <c r="B25" s="250" t="n"/>
      <c r="C25" s="164" t="inlineStr">
        <is>
          <t>91.01.01-035</t>
        </is>
      </c>
      <c r="D25" s="268" t="inlineStr">
        <is>
          <t>Бульдозеры, мощность 79 кВт (108 л.с.)</t>
        </is>
      </c>
      <c r="E25" s="265" t="inlineStr">
        <is>
          <t>маш.час</t>
        </is>
      </c>
      <c r="F25" s="164" t="n">
        <v>4.11</v>
      </c>
      <c r="G25" s="356" t="n">
        <v>79.06999999999999</v>
      </c>
      <c r="H25" s="356">
        <f>ROUND(F25*G25,2)</f>
        <v/>
      </c>
      <c r="I25" s="161" t="n"/>
      <c r="J25" s="194" t="n"/>
      <c r="L25" s="161" t="n"/>
    </row>
    <row r="26" ht="25.5" customHeight="1" s="214">
      <c r="A26" s="265" t="n">
        <v>12</v>
      </c>
      <c r="B26" s="250" t="n"/>
      <c r="C26" s="164" t="inlineStr">
        <is>
          <t>91.05.05-014</t>
        </is>
      </c>
      <c r="D26" s="268" t="inlineStr">
        <is>
          <t>Краны на автомобильном ходу, грузоподъемность 10 т</t>
        </is>
      </c>
      <c r="E26" s="265" t="inlineStr">
        <is>
          <t>маш.час</t>
        </is>
      </c>
      <c r="F26" s="164" t="n">
        <v>1.27</v>
      </c>
      <c r="G26" s="356" t="n">
        <v>111.99</v>
      </c>
      <c r="H26" s="356">
        <f>ROUND(F26*G26,2)</f>
        <v/>
      </c>
      <c r="I26" s="161" t="n"/>
      <c r="J26" s="194" t="n"/>
      <c r="L26" s="161" t="n"/>
    </row>
    <row r="27">
      <c r="A27" s="265" t="n">
        <v>13</v>
      </c>
      <c r="B27" s="250" t="n"/>
      <c r="C27" s="164" t="inlineStr">
        <is>
          <t>91.16.01-002</t>
        </is>
      </c>
      <c r="D27" s="268" t="inlineStr">
        <is>
          <t>Электростанции передвижные, мощность 4 кВт</t>
        </is>
      </c>
      <c r="E27" s="265" t="inlineStr">
        <is>
          <t>маш.час</t>
        </is>
      </c>
      <c r="F27" s="164" t="n">
        <v>2.88</v>
      </c>
      <c r="G27" s="356" t="n">
        <v>27.11</v>
      </c>
      <c r="H27" s="356">
        <f>ROUND(F27*G27,2)</f>
        <v/>
      </c>
      <c r="I27" s="161" t="n"/>
      <c r="J27" s="194" t="n"/>
      <c r="L27" s="161" t="n"/>
    </row>
    <row r="28">
      <c r="A28" s="265" t="n">
        <v>14</v>
      </c>
      <c r="B28" s="250" t="n"/>
      <c r="C28" s="164" t="inlineStr">
        <is>
          <t>91.14.04-002</t>
        </is>
      </c>
      <c r="D28" s="268" t="inlineStr">
        <is>
          <t>Тягачи седельные, грузоподъемность: 15 т</t>
        </is>
      </c>
      <c r="E28" s="265" t="inlineStr">
        <is>
          <t>маш.час</t>
        </is>
      </c>
      <c r="F28" s="164" t="n">
        <v>0.04</v>
      </c>
      <c r="G28" s="356" t="n">
        <v>94.38</v>
      </c>
      <c r="H28" s="356">
        <f>ROUND(F28*G28,2)</f>
        <v/>
      </c>
      <c r="I28" s="161" t="n"/>
      <c r="J28" s="194" t="n"/>
      <c r="L28" s="161" t="n"/>
    </row>
    <row r="29" ht="25.5" customHeight="1" s="214">
      <c r="A29" s="265" t="n">
        <v>15</v>
      </c>
      <c r="B29" s="250" t="n"/>
      <c r="C29" s="164" t="inlineStr">
        <is>
          <t>91.14.05-012</t>
        </is>
      </c>
      <c r="D29" s="268" t="inlineStr">
        <is>
          <t>Полуприцепы общего назначения, грузоподъемность: 15 т</t>
        </is>
      </c>
      <c r="E29" s="265" t="inlineStr">
        <is>
          <t>маш.час</t>
        </is>
      </c>
      <c r="F29" s="164" t="n">
        <v>0.04</v>
      </c>
      <c r="G29" s="356" t="n">
        <v>19.76</v>
      </c>
      <c r="H29" s="356">
        <f>ROUND(F29*G29,2)</f>
        <v/>
      </c>
      <c r="I29" s="161" t="n"/>
      <c r="J29" s="194" t="n"/>
      <c r="L29" s="161" t="n"/>
    </row>
    <row r="30" ht="15" customHeight="1" s="214">
      <c r="A30" s="258" t="inlineStr">
        <is>
          <t>Оборудование</t>
        </is>
      </c>
      <c r="B30" s="348" t="n"/>
      <c r="C30" s="348" t="n"/>
      <c r="D30" s="348" t="n"/>
      <c r="E30" s="349" t="n"/>
      <c r="F30" s="10" t="n"/>
      <c r="G30" s="353" t="n"/>
      <c r="H30" s="10" t="n">
        <v>0</v>
      </c>
    </row>
    <row r="31">
      <c r="A31" s="249" t="inlineStr">
        <is>
          <t>Материалы</t>
        </is>
      </c>
      <c r="B31" s="348" t="n"/>
      <c r="C31" s="348" t="n"/>
      <c r="D31" s="348" t="n"/>
      <c r="E31" s="349" t="n"/>
      <c r="F31" s="249" t="n"/>
      <c r="G31" s="357" t="n"/>
      <c r="H31" s="353">
        <f>SUM(H32:H34)</f>
        <v/>
      </c>
    </row>
    <row r="32" ht="25.5" customHeight="1" s="214">
      <c r="A32" s="180" t="n">
        <v>16</v>
      </c>
      <c r="B32" s="250" t="n"/>
      <c r="C32" s="164" t="inlineStr">
        <is>
          <t>24.3.03.13-0425</t>
        </is>
      </c>
      <c r="D32" s="268" t="inlineStr">
        <is>
          <t>Трубы напорные из полиэтилена низкого давления среднего типа, наружным диаметром: 250 мм</t>
        </is>
      </c>
      <c r="E32" s="265" t="inlineStr">
        <is>
          <t>10 м</t>
        </is>
      </c>
      <c r="F32" s="164" t="inlineStr">
        <is>
          <t>71,64</t>
        </is>
      </c>
      <c r="G32" s="358" t="n">
        <v>355.7</v>
      </c>
      <c r="H32" s="356">
        <f>G32*F32</f>
        <v/>
      </c>
      <c r="J32" s="194" t="n"/>
      <c r="L32" s="161" t="n"/>
    </row>
    <row r="33">
      <c r="A33" s="180" t="n">
        <v>17</v>
      </c>
      <c r="B33" s="250" t="n"/>
      <c r="C33" s="164" t="inlineStr">
        <is>
          <t>01.7.03.01-0001</t>
        </is>
      </c>
      <c r="D33" s="268" t="inlineStr">
        <is>
          <t>Вода</t>
        </is>
      </c>
      <c r="E33" s="265" t="inlineStr">
        <is>
          <t>м3</t>
        </is>
      </c>
      <c r="F33" s="164" t="n">
        <v>35.07</v>
      </c>
      <c r="G33" s="358" t="n">
        <v>2.44</v>
      </c>
      <c r="H33" s="356">
        <f>G33*F33</f>
        <v/>
      </c>
      <c r="J33" s="194" t="n"/>
    </row>
    <row r="34" ht="25.5" customHeight="1" s="214">
      <c r="A34" s="180" t="n">
        <v>18</v>
      </c>
      <c r="B34" s="250" t="n"/>
      <c r="C34" s="164" t="inlineStr">
        <is>
          <t>12.1.02.14-0001</t>
        </is>
      </c>
      <c r="D34" s="268" t="inlineStr">
        <is>
          <t>Толь с крупнозернистой посыпкой гидроизоляционный марки ТГ-350</t>
        </is>
      </c>
      <c r="E34" s="265" t="inlineStr">
        <is>
          <t>м2</t>
        </is>
      </c>
      <c r="F34" s="164" t="n">
        <v>2.435</v>
      </c>
      <c r="G34" s="358" t="n">
        <v>5.71</v>
      </c>
      <c r="H34" s="356">
        <f>G34*F34</f>
        <v/>
      </c>
      <c r="J34" s="194" t="n"/>
    </row>
    <row r="37">
      <c r="B37" s="211" t="inlineStr">
        <is>
          <t>Составил ______________________    Д.А. Самуйленко</t>
        </is>
      </c>
    </row>
    <row r="38">
      <c r="B38" s="133" t="inlineStr">
        <is>
          <t xml:space="preserve">                         (подпись, инициалы, фамилия)</t>
        </is>
      </c>
    </row>
    <row r="40">
      <c r="B40" s="211" t="inlineStr">
        <is>
          <t>Проверил ______________________        А.В. Костянецкая</t>
        </is>
      </c>
    </row>
    <row r="41">
      <c r="B41" s="133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9.140625" customWidth="1" style="214" min="6" max="6"/>
    <col width="13.42578125" customWidth="1" style="214" min="7" max="7"/>
    <col width="9.140625" customWidth="1" style="214" min="8" max="11"/>
    <col width="13.5703125" customWidth="1" style="214" min="12" max="12"/>
    <col width="9.140625" customWidth="1" style="214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82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8" t="inlineStr">
        <is>
          <t>Ресурсная модель</t>
        </is>
      </c>
    </row>
    <row r="6">
      <c r="B6" s="156" t="n"/>
      <c r="C6" s="197" t="n"/>
      <c r="D6" s="197" t="n"/>
      <c r="E6" s="197" t="n"/>
    </row>
    <row r="7" ht="57.75" customHeight="1" s="214">
      <c r="B7" s="260" t="inlineStr">
        <is>
          <t>Наименование разрабатываемого показателя УНЦ —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8">
      <c r="B8" s="261" t="inlineStr">
        <is>
          <t>Единица измерения  — 1 м2</t>
        </is>
      </c>
    </row>
    <row r="9">
      <c r="B9" s="156" t="n"/>
      <c r="C9" s="197" t="n"/>
      <c r="D9" s="197" t="n"/>
      <c r="E9" s="197" t="n"/>
    </row>
    <row r="10" ht="51" customHeight="1" s="214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ОБ'!J23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ОБ'!J30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ОБ'!J41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ОБ'!J44</f>
        <v/>
      </c>
      <c r="D17" s="151">
        <f>C17/$C$24</f>
        <v/>
      </c>
      <c r="E17" s="151">
        <f>C17/$C$40</f>
        <v/>
      </c>
      <c r="G17" s="359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14">
      <c r="B25" s="99" t="inlineStr">
        <is>
          <t>ВСЕГО стоимость оборудования, в том числе</t>
        </is>
      </c>
      <c r="C25" s="150">
        <f>'Прил.5 Расчет СМР и ОБ'!J36</f>
        <v/>
      </c>
      <c r="D25" s="151" t="n"/>
      <c r="E25" s="151">
        <f>C25/$C$40</f>
        <v/>
      </c>
    </row>
    <row r="26" ht="25.5" customHeight="1" s="214">
      <c r="B26" s="99" t="inlineStr">
        <is>
          <t>стоимость оборудования технологического</t>
        </is>
      </c>
      <c r="C26" s="150">
        <f>'Прил.5 Расчет СМР и ОБ'!J37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1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14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14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14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1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1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14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86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87" t="n"/>
      <c r="L37" s="152" t="n"/>
    </row>
    <row r="38" ht="38.25" customHeight="1" s="214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5" customHeight="1" s="214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ОБ'!E51</f>
        <v/>
      </c>
      <c r="D41" s="99" t="n"/>
      <c r="E41" s="99" t="n"/>
    </row>
    <row r="42">
      <c r="B42" s="149" t="n"/>
      <c r="C42" s="197" t="n"/>
      <c r="D42" s="197" t="n"/>
      <c r="E42" s="197" t="n"/>
    </row>
    <row r="43">
      <c r="B43" s="149" t="inlineStr">
        <is>
          <t>Составил ____________________________  Д.А. Самуйленко</t>
        </is>
      </c>
      <c r="C43" s="197" t="n"/>
      <c r="D43" s="197" t="n"/>
      <c r="E43" s="197" t="n"/>
    </row>
    <row r="44">
      <c r="B44" s="149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49" t="n"/>
      <c r="C45" s="197" t="n"/>
      <c r="D45" s="197" t="n"/>
      <c r="E45" s="197" t="n"/>
    </row>
    <row r="46">
      <c r="B46" s="149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6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3" workbookViewId="0">
      <selection activeCell="B53" sqref="B53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14">
      <c r="H2" s="262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7">
      <c r="A4" s="228" t="inlineStr">
        <is>
          <t>Расчет стоимости СМР и оборудования</t>
        </is>
      </c>
    </row>
    <row r="5" ht="12.75" customFormat="1" customHeight="1" s="197">
      <c r="A5" s="228" t="n"/>
      <c r="B5" s="228" t="n"/>
      <c r="C5" s="291" t="n"/>
      <c r="D5" s="228" t="n"/>
      <c r="E5" s="228" t="n"/>
      <c r="F5" s="228" t="n"/>
      <c r="G5" s="228" t="n"/>
      <c r="H5" s="228" t="n"/>
      <c r="I5" s="228" t="n"/>
      <c r="J5" s="228" t="n"/>
    </row>
    <row r="6" ht="51.75" customFormat="1" customHeight="1" s="197">
      <c r="A6" s="129" t="inlineStr">
        <is>
          <t>Наименование разрабатываемого показателя УНЦ</t>
        </is>
      </c>
      <c r="B6" s="128" t="n"/>
      <c r="C6" s="128" t="n"/>
      <c r="D6" s="231" t="inlineStr">
        <is>
          <t>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7" ht="12.75" customFormat="1" customHeight="1" s="197">
      <c r="A7" s="231" t="inlineStr">
        <is>
          <t>Единица измерения  — 1 м2</t>
        </is>
      </c>
      <c r="I7" s="260" t="n"/>
      <c r="J7" s="260" t="n"/>
    </row>
    <row r="8" ht="13.5" customFormat="1" customHeight="1" s="197">
      <c r="A8" s="231" t="n"/>
    </row>
    <row r="9" ht="27" customHeight="1" s="214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49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49" t="n"/>
      <c r="M9" s="208" t="n"/>
      <c r="N9" s="208" t="n"/>
    </row>
    <row r="10" ht="28.5" customHeight="1" s="214">
      <c r="A10" s="351" t="n"/>
      <c r="B10" s="351" t="n"/>
      <c r="C10" s="351" t="n"/>
      <c r="D10" s="351" t="n"/>
      <c r="E10" s="351" t="n"/>
      <c r="F10" s="265" t="inlineStr">
        <is>
          <t>на ед. изм.</t>
        </is>
      </c>
      <c r="G10" s="265" t="inlineStr">
        <is>
          <t>общая</t>
        </is>
      </c>
      <c r="H10" s="351" t="n"/>
      <c r="I10" s="265" t="inlineStr">
        <is>
          <t>на ед. изм.</t>
        </is>
      </c>
      <c r="J10" s="265" t="inlineStr">
        <is>
          <t>общая</t>
        </is>
      </c>
      <c r="M10" s="208" t="n"/>
      <c r="N10" s="208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66" t="n">
        <v>9</v>
      </c>
      <c r="J11" s="266" t="n">
        <v>10</v>
      </c>
      <c r="M11" s="208" t="n"/>
      <c r="N11" s="208" t="n"/>
    </row>
    <row r="12">
      <c r="A12" s="265" t="n"/>
      <c r="B12" s="258" t="inlineStr">
        <is>
          <t>Затраты труда рабочих-строителей</t>
        </is>
      </c>
      <c r="C12" s="348" t="n"/>
      <c r="D12" s="348" t="n"/>
      <c r="E12" s="348" t="n"/>
      <c r="F12" s="348" t="n"/>
      <c r="G12" s="348" t="n"/>
      <c r="H12" s="349" t="n"/>
      <c r="I12" s="120" t="n"/>
      <c r="J12" s="120" t="n"/>
    </row>
    <row r="13" ht="25.5" customHeight="1" s="214">
      <c r="A13" s="265" t="n">
        <v>1</v>
      </c>
      <c r="B13" s="164" t="inlineStr">
        <is>
          <t>1-2-8</t>
        </is>
      </c>
      <c r="C13" s="268" t="inlineStr">
        <is>
          <t>Затраты труда рабочих (средний разряд работы 2,8)</t>
        </is>
      </c>
      <c r="D13" s="265" t="inlineStr">
        <is>
          <t>чел.-ч</t>
        </is>
      </c>
      <c r="E13" s="354">
        <f>G13/F13</f>
        <v/>
      </c>
      <c r="F13" s="265" t="n">
        <v>8.380000000000001</v>
      </c>
      <c r="G13" s="356" t="n">
        <v>26639.4</v>
      </c>
      <c r="H13" s="271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8">
      <c r="A14" s="265" t="n"/>
      <c r="B14" s="265" t="n"/>
      <c r="C14" s="258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269">
        <f>SUM(E13)</f>
        <v/>
      </c>
      <c r="F14" s="270" t="n"/>
      <c r="G14" s="356">
        <f>SUM(G13)</f>
        <v/>
      </c>
      <c r="H14" s="272" t="n">
        <v>1</v>
      </c>
      <c r="I14" s="120" t="n"/>
      <c r="J14" s="26">
        <f>SUM(J13)</f>
        <v/>
      </c>
    </row>
    <row r="15" ht="14.25" customFormat="1" customHeight="1" s="208">
      <c r="A15" s="265" t="n"/>
      <c r="B15" s="268" t="inlineStr">
        <is>
          <t>Затраты труда машинистов</t>
        </is>
      </c>
      <c r="C15" s="348" t="n"/>
      <c r="D15" s="348" t="n"/>
      <c r="E15" s="348" t="n"/>
      <c r="F15" s="348" t="n"/>
      <c r="G15" s="348" t="n"/>
      <c r="H15" s="349" t="n"/>
      <c r="I15" s="120" t="n"/>
      <c r="J15" s="120" t="n"/>
    </row>
    <row r="16" ht="14.25" customFormat="1" customHeight="1" s="208">
      <c r="A16" s="265" t="n">
        <v>2</v>
      </c>
      <c r="B16" s="265" t="n">
        <v>2</v>
      </c>
      <c r="C16" s="268" t="inlineStr">
        <is>
          <t>Затраты труда машинистов</t>
        </is>
      </c>
      <c r="D16" s="265" t="inlineStr">
        <is>
          <t>чел.-ч.</t>
        </is>
      </c>
      <c r="E16" s="287" t="n">
        <v>107.3</v>
      </c>
      <c r="F16" s="191">
        <f>G16/E16</f>
        <v/>
      </c>
      <c r="G16" s="356" t="n">
        <v>1442.96</v>
      </c>
      <c r="H16" s="272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8">
      <c r="A17" s="265" t="n"/>
      <c r="B17" s="258" t="inlineStr">
        <is>
          <t>Машины и механизмы</t>
        </is>
      </c>
      <c r="C17" s="348" t="n"/>
      <c r="D17" s="348" t="n"/>
      <c r="E17" s="348" t="n"/>
      <c r="F17" s="348" t="n"/>
      <c r="G17" s="348" t="n"/>
      <c r="H17" s="349" t="n"/>
      <c r="I17" s="120" t="n"/>
      <c r="J17" s="120" t="n"/>
    </row>
    <row r="18" ht="14.25" customFormat="1" customHeight="1" s="208">
      <c r="A18" s="266" t="n"/>
      <c r="B18" s="273" t="inlineStr">
        <is>
          <t>Основные машины и механизмы</t>
        </is>
      </c>
      <c r="C18" s="360" t="n"/>
      <c r="D18" s="360" t="n"/>
      <c r="E18" s="360" t="n"/>
      <c r="F18" s="360" t="n"/>
      <c r="G18" s="360" t="n"/>
      <c r="H18" s="361" t="n"/>
      <c r="I18" s="175" t="n"/>
      <c r="J18" s="175" t="n"/>
    </row>
    <row r="19" ht="14.25" customFormat="1" customHeight="1" s="208">
      <c r="A19" s="265" t="n">
        <v>3</v>
      </c>
      <c r="B19" s="164" t="inlineStr">
        <is>
          <t>91.19.08-004</t>
        </is>
      </c>
      <c r="C19" s="268" t="inlineStr">
        <is>
          <t>Насосы, мощность 4 кВт</t>
        </is>
      </c>
      <c r="D19" s="265" t="inlineStr">
        <is>
          <t>маш.час</t>
        </is>
      </c>
      <c r="E19" s="164" t="n">
        <v>1575.9</v>
      </c>
      <c r="F19" s="265" t="n">
        <v>2.96</v>
      </c>
      <c r="G19" s="356">
        <f>ROUND(E19*F19,2)</f>
        <v/>
      </c>
      <c r="H19" s="271">
        <f>G19/$G$31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8">
      <c r="A20" s="265" t="n">
        <v>4</v>
      </c>
      <c r="B20" s="164" t="inlineStr">
        <is>
          <t>91.17.04-031</t>
        </is>
      </c>
      <c r="C20" s="268" t="inlineStr">
        <is>
          <t>Агрегаты для сварки полиэтиленовых труб</t>
        </is>
      </c>
      <c r="D20" s="265" t="inlineStr">
        <is>
          <t>маш.час</t>
        </is>
      </c>
      <c r="E20" s="164" t="n">
        <v>40.6</v>
      </c>
      <c r="F20" s="265" t="n">
        <v>100.1</v>
      </c>
      <c r="G20" s="356">
        <f>ROUND(E20*F20,2)</f>
        <v/>
      </c>
      <c r="H20" s="271">
        <f>G20/$G$31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8">
      <c r="A21" s="265" t="n">
        <v>5</v>
      </c>
      <c r="B21" s="164" t="inlineStr">
        <is>
          <t>91.01.01-036</t>
        </is>
      </c>
      <c r="C21" s="268" t="inlineStr">
        <is>
          <t>Бульдозеры, мощность 96 кВт (130 л.с.)</t>
        </is>
      </c>
      <c r="D21" s="265" t="inlineStr">
        <is>
          <t>маш.час</t>
        </is>
      </c>
      <c r="E21" s="164" t="n">
        <v>38.81</v>
      </c>
      <c r="F21" s="265" t="n">
        <v>94.05</v>
      </c>
      <c r="G21" s="356">
        <f>ROUND(E21*F21,2)</f>
        <v/>
      </c>
      <c r="H21" s="271">
        <f>G21/$G$31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08">
      <c r="A22" s="265" t="n">
        <v>6</v>
      </c>
      <c r="B22" s="164" t="inlineStr">
        <is>
          <t>91.01.05-086</t>
        </is>
      </c>
      <c r="C22" s="268" t="inlineStr">
        <is>
          <t>Экскаваторы одноковшовые дизельные на гусеничном ходу, емкость ковша 0,65 м3</t>
        </is>
      </c>
      <c r="D22" s="265" t="inlineStr">
        <is>
          <t>маш.час</t>
        </is>
      </c>
      <c r="E22" s="164" t="n">
        <v>19.58</v>
      </c>
      <c r="F22" s="265" t="n">
        <v>115.27</v>
      </c>
      <c r="G22" s="356">
        <f>ROUND(E22*F22,2)</f>
        <v/>
      </c>
      <c r="H22" s="271">
        <f>G22/$G$31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8">
      <c r="A23" s="265" t="n"/>
      <c r="B23" s="164" t="n"/>
      <c r="C23" s="173" t="inlineStr">
        <is>
          <t>Итого основные машины и механизмы</t>
        </is>
      </c>
      <c r="D23" s="265" t="n"/>
      <c r="E23" s="354" t="n"/>
      <c r="F23" s="265" t="n"/>
      <c r="G23" s="26">
        <f>SUM(G19:G22)</f>
        <v/>
      </c>
      <c r="H23" s="271">
        <f>G23/G31</f>
        <v/>
      </c>
      <c r="I23" s="26" t="n"/>
      <c r="J23" s="26">
        <f>SUM(J19:J22)</f>
        <v/>
      </c>
    </row>
    <row r="24" outlineLevel="1" ht="63.75" customFormat="1" customHeight="1" s="208">
      <c r="A24" s="265" t="n">
        <v>7</v>
      </c>
      <c r="B24" s="164" t="inlineStr">
        <is>
          <t>91.10.09-012</t>
        </is>
      </c>
      <c r="C24" s="26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24" s="265" t="inlineStr">
        <is>
          <t>маш.час</t>
        </is>
      </c>
      <c r="E24" s="164" t="n">
        <v>24.85</v>
      </c>
      <c r="F24" s="265" t="n">
        <v>26.32</v>
      </c>
      <c r="G24" s="270">
        <f>ROUND(E24*F24,2)</f>
        <v/>
      </c>
      <c r="H24" s="271">
        <f>G24/$G$31</f>
        <v/>
      </c>
      <c r="I24" s="26">
        <f>ROUND(F24*Прил.10!$D$12,2)</f>
        <v/>
      </c>
      <c r="J24" s="26">
        <f>ROUND(I24*E24,2)</f>
        <v/>
      </c>
    </row>
    <row r="25" outlineLevel="1" ht="14.25" customFormat="1" customHeight="1" s="208">
      <c r="A25" s="265" t="n">
        <v>8</v>
      </c>
      <c r="B25" s="164" t="inlineStr">
        <is>
          <t>91.01.01-035</t>
        </is>
      </c>
      <c r="C25" s="268" t="inlineStr">
        <is>
          <t>Бульдозеры, мощность 79 кВт (108 л.с.)</t>
        </is>
      </c>
      <c r="D25" s="265" t="inlineStr">
        <is>
          <t>маш.час</t>
        </is>
      </c>
      <c r="E25" s="164" t="n">
        <v>4.11</v>
      </c>
      <c r="F25" s="265" t="n">
        <v>79.06999999999999</v>
      </c>
      <c r="G25" s="270">
        <f>ROUND(E25*F25,2)</f>
        <v/>
      </c>
      <c r="H25" s="271">
        <f>G25/$G$31</f>
        <v/>
      </c>
      <c r="I25" s="26">
        <f>ROUND(F25*Прил.10!$D$12,2)</f>
        <v/>
      </c>
      <c r="J25" s="26">
        <f>ROUND(I25*E25,2)</f>
        <v/>
      </c>
    </row>
    <row r="26" outlineLevel="1" ht="25.5" customFormat="1" customHeight="1" s="208">
      <c r="A26" s="265" t="n">
        <v>9</v>
      </c>
      <c r="B26" s="164" t="inlineStr">
        <is>
          <t>91.05.05-014</t>
        </is>
      </c>
      <c r="C26" s="268" t="inlineStr">
        <is>
          <t>Краны на автомобильном ходу, грузоподъемность 10 т</t>
        </is>
      </c>
      <c r="D26" s="265" t="inlineStr">
        <is>
          <t>маш.час</t>
        </is>
      </c>
      <c r="E26" s="164" t="n">
        <v>1.27</v>
      </c>
      <c r="F26" s="265" t="n">
        <v>111.99</v>
      </c>
      <c r="G26" s="270">
        <f>ROUND(E26*F26,2)</f>
        <v/>
      </c>
      <c r="H26" s="271">
        <f>G26/$G$31</f>
        <v/>
      </c>
      <c r="I26" s="26">
        <f>ROUND(F26*Прил.10!$D$12,2)</f>
        <v/>
      </c>
      <c r="J26" s="26">
        <f>ROUND(I26*E26,2)</f>
        <v/>
      </c>
    </row>
    <row r="27" outlineLevel="1" ht="25.5" customFormat="1" customHeight="1" s="208">
      <c r="A27" s="265" t="n">
        <v>10</v>
      </c>
      <c r="B27" s="164" t="inlineStr">
        <is>
          <t>91.16.01-002</t>
        </is>
      </c>
      <c r="C27" s="268" t="inlineStr">
        <is>
          <t>Электростанции передвижные, мощность 4 кВт</t>
        </is>
      </c>
      <c r="D27" s="265" t="inlineStr">
        <is>
          <t>маш.час</t>
        </is>
      </c>
      <c r="E27" s="164" t="n">
        <v>2.88</v>
      </c>
      <c r="F27" s="265" t="n">
        <v>27.11</v>
      </c>
      <c r="G27" s="270">
        <f>ROUND(E27*F27,2)</f>
        <v/>
      </c>
      <c r="H27" s="271">
        <f>G27/$G$31</f>
        <v/>
      </c>
      <c r="I27" s="26">
        <f>ROUND(F27*Прил.10!$D$12,2)</f>
        <v/>
      </c>
      <c r="J27" s="26">
        <f>ROUND(I27*E27,2)</f>
        <v/>
      </c>
    </row>
    <row r="28" outlineLevel="1" ht="25.5" customFormat="1" customHeight="1" s="208">
      <c r="A28" s="265" t="n">
        <v>11</v>
      </c>
      <c r="B28" s="164" t="inlineStr">
        <is>
          <t>91.14.04-002</t>
        </is>
      </c>
      <c r="C28" s="268" t="inlineStr">
        <is>
          <t>Тягачи седельные, грузоподъемность: 15 т</t>
        </is>
      </c>
      <c r="D28" s="265" t="inlineStr">
        <is>
          <t>маш.час</t>
        </is>
      </c>
      <c r="E28" s="164" t="n">
        <v>0.04</v>
      </c>
      <c r="F28" s="265" t="n">
        <v>94.38</v>
      </c>
      <c r="G28" s="270">
        <f>ROUND(E28*F28,2)</f>
        <v/>
      </c>
      <c r="H28" s="271">
        <f>G28/$G$31</f>
        <v/>
      </c>
      <c r="I28" s="26">
        <f>ROUND(F28*Прил.10!$D$12,2)</f>
        <v/>
      </c>
      <c r="J28" s="26">
        <f>ROUND(I28*E28,2)</f>
        <v/>
      </c>
    </row>
    <row r="29" outlineLevel="1" ht="25.5" customFormat="1" customHeight="1" s="208">
      <c r="A29" s="265" t="n">
        <v>12</v>
      </c>
      <c r="B29" s="164" t="inlineStr">
        <is>
          <t>91.14.05-012</t>
        </is>
      </c>
      <c r="C29" s="268" t="inlineStr">
        <is>
          <t>Полуприцепы общего назначения, грузоподъемность: 15 т</t>
        </is>
      </c>
      <c r="D29" s="265" t="inlineStr">
        <is>
          <t>маш.час</t>
        </is>
      </c>
      <c r="E29" s="164" t="n">
        <v>0.04</v>
      </c>
      <c r="F29" s="265" t="n">
        <v>19.76</v>
      </c>
      <c r="G29" s="270">
        <f>ROUND(E29*F29,2)</f>
        <v/>
      </c>
      <c r="H29" s="271">
        <f>G29/$G$31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08">
      <c r="A30" s="265" t="n"/>
      <c r="B30" s="265" t="n"/>
      <c r="C30" s="268" t="inlineStr">
        <is>
          <t>Итого прочие машины и механизмы</t>
        </is>
      </c>
      <c r="D30" s="265" t="n"/>
      <c r="E30" s="269" t="n"/>
      <c r="F30" s="26" t="n"/>
      <c r="G30" s="26">
        <f>SUM(G24:G29)</f>
        <v/>
      </c>
      <c r="H30" s="271">
        <f>G30/G31</f>
        <v/>
      </c>
      <c r="I30" s="26" t="n"/>
      <c r="J30" s="26">
        <f>SUM(J24:J29)</f>
        <v/>
      </c>
    </row>
    <row r="31" ht="25.5" customFormat="1" customHeight="1" s="208">
      <c r="A31" s="265" t="n"/>
      <c r="B31" s="267" t="n"/>
      <c r="C31" s="177" t="inlineStr">
        <is>
          <t>Итого по разделу «Машины и механизмы»</t>
        </is>
      </c>
      <c r="D31" s="267" t="n"/>
      <c r="E31" s="178" t="n"/>
      <c r="F31" s="130" t="n"/>
      <c r="G31" s="130">
        <f>G23+G30</f>
        <v/>
      </c>
      <c r="H31" s="123">
        <f>H23+H30</f>
        <v/>
      </c>
      <c r="I31" s="124" t="n"/>
      <c r="J31" s="130">
        <f>J23+J30</f>
        <v/>
      </c>
    </row>
    <row r="32" ht="14.25" customFormat="1" customHeight="1" s="208">
      <c r="A32" s="265" t="n"/>
      <c r="B32" s="258" t="inlineStr">
        <is>
          <t>Оборудование</t>
        </is>
      </c>
      <c r="C32" s="348" t="n"/>
      <c r="D32" s="348" t="n"/>
      <c r="E32" s="348" t="n"/>
      <c r="F32" s="348" t="n"/>
      <c r="G32" s="348" t="n"/>
      <c r="H32" s="349" t="n"/>
      <c r="I32" s="120" t="n"/>
      <c r="J32" s="120" t="n"/>
    </row>
    <row r="33">
      <c r="A33" s="265" t="n"/>
      <c r="B33" s="268" t="inlineStr">
        <is>
          <t>Основное оборудование</t>
        </is>
      </c>
      <c r="C33" s="348" t="n"/>
      <c r="D33" s="348" t="n"/>
      <c r="E33" s="348" t="n"/>
      <c r="F33" s="348" t="n"/>
      <c r="G33" s="348" t="n"/>
      <c r="H33" s="349" t="n"/>
      <c r="I33" s="120" t="n"/>
      <c r="J33" s="120" t="n"/>
    </row>
    <row r="34">
      <c r="A34" s="265" t="n"/>
      <c r="B34" s="265" t="n"/>
      <c r="C34" s="268" t="inlineStr">
        <is>
          <t>Итого основное оборудование</t>
        </is>
      </c>
      <c r="D34" s="265" t="n"/>
      <c r="E34" s="362" t="n"/>
      <c r="F34" s="270" t="n"/>
      <c r="G34" s="26" t="n">
        <v>0</v>
      </c>
      <c r="H34" s="272" t="n">
        <v>0</v>
      </c>
      <c r="I34" s="125" t="n"/>
      <c r="J34" s="26" t="n">
        <v>0</v>
      </c>
    </row>
    <row r="35">
      <c r="A35" s="265" t="n"/>
      <c r="B35" s="265" t="n"/>
      <c r="C35" s="268" t="inlineStr">
        <is>
          <t>Итого прочее оборудование</t>
        </is>
      </c>
      <c r="D35" s="265" t="n"/>
      <c r="E35" s="354" t="n"/>
      <c r="F35" s="270" t="n"/>
      <c r="G35" s="26" t="n">
        <v>0</v>
      </c>
      <c r="H35" s="271" t="n">
        <v>0</v>
      </c>
      <c r="I35" s="171" t="n"/>
      <c r="J35" s="170" t="n">
        <v>0</v>
      </c>
    </row>
    <row r="36">
      <c r="A36" s="265" t="n"/>
      <c r="B36" s="266" t="n"/>
      <c r="C36" s="167" t="inlineStr">
        <is>
          <t>Итого по разделу «Оборудование»</t>
        </is>
      </c>
      <c r="D36" s="266" t="n"/>
      <c r="E36" s="274" t="n"/>
      <c r="F36" s="275" t="n"/>
      <c r="G36" s="170">
        <f>G34</f>
        <v/>
      </c>
      <c r="H36" s="276" t="n">
        <v>0</v>
      </c>
      <c r="I36" s="171" t="n"/>
      <c r="J36" s="170">
        <f>J34</f>
        <v/>
      </c>
    </row>
    <row r="37" ht="25.5" customHeight="1" s="214">
      <c r="A37" s="265" t="n"/>
      <c r="B37" s="265" t="n"/>
      <c r="C37" s="268" t="inlineStr">
        <is>
          <t>в том числе технологическое оборудование</t>
        </is>
      </c>
      <c r="D37" s="265" t="n"/>
      <c r="E37" s="354" t="n"/>
      <c r="F37" s="270" t="n"/>
      <c r="G37" s="26">
        <f>G36</f>
        <v/>
      </c>
      <c r="H37" s="271" t="n"/>
      <c r="I37" s="26" t="n"/>
      <c r="J37" s="26">
        <f>J36</f>
        <v/>
      </c>
    </row>
    <row r="38" ht="14.25" customFormat="1" customHeight="1" s="208">
      <c r="A38" s="265" t="n"/>
      <c r="B38" s="258" t="inlineStr">
        <is>
          <t>Материалы</t>
        </is>
      </c>
      <c r="C38" s="348" t="n"/>
      <c r="D38" s="348" t="n"/>
      <c r="E38" s="348" t="n"/>
      <c r="F38" s="348" t="n"/>
      <c r="G38" s="348" t="n"/>
      <c r="H38" s="349" t="n"/>
      <c r="I38" s="120" t="n"/>
      <c r="J38" s="120" t="n"/>
    </row>
    <row r="39" ht="14.25" customFormat="1" customHeight="1" s="208">
      <c r="A39" s="265" t="n"/>
      <c r="B39" s="268" t="inlineStr">
        <is>
          <t>Основные материалы</t>
        </is>
      </c>
      <c r="C39" s="348" t="n"/>
      <c r="D39" s="348" t="n"/>
      <c r="E39" s="348" t="n"/>
      <c r="F39" s="348" t="n"/>
      <c r="G39" s="348" t="n"/>
      <c r="H39" s="349" t="n"/>
      <c r="I39" s="120" t="n"/>
      <c r="J39" s="120" t="n"/>
    </row>
    <row r="40" ht="38.25" customFormat="1" customHeight="1" s="208">
      <c r="A40" s="265" t="n">
        <v>13</v>
      </c>
      <c r="B40" s="164" t="inlineStr">
        <is>
          <t>24.3.03.13-0425</t>
        </is>
      </c>
      <c r="C40" s="268" t="inlineStr">
        <is>
          <t>Трубы напорные из полиэтилена низкого давления среднего типа, наружным диаметром: 250 мм</t>
        </is>
      </c>
      <c r="D40" s="265" t="inlineStr">
        <is>
          <t>10 м</t>
        </is>
      </c>
      <c r="E40" s="265" t="n">
        <v>71.64</v>
      </c>
      <c r="F40" s="265" t="n">
        <v>355.7</v>
      </c>
      <c r="G40" s="356">
        <f>F40*E40</f>
        <v/>
      </c>
      <c r="H40" s="271">
        <f>G40/$G$45</f>
        <v/>
      </c>
      <c r="I40" s="181">
        <f>ROUND(F40*Прил.10!$D$13,2)</f>
        <v/>
      </c>
      <c r="J40" s="363">
        <f>ROUND(I40*E40,2)</f>
        <v/>
      </c>
    </row>
    <row r="41" ht="14.25" customFormat="1" customHeight="1" s="208">
      <c r="A41" s="265" t="n"/>
      <c r="B41" s="164" t="n"/>
      <c r="C41" s="268" t="inlineStr">
        <is>
          <t>Итого основные материалы</t>
        </is>
      </c>
      <c r="D41" s="265" t="n"/>
      <c r="E41" s="269" t="n"/>
      <c r="F41" s="269" t="n"/>
      <c r="G41" s="26">
        <f>SUM(G40:G40)</f>
        <v/>
      </c>
      <c r="H41" s="271">
        <f>G41/$G$45</f>
        <v/>
      </c>
      <c r="I41" s="182" t="n"/>
      <c r="J41" s="356">
        <f>SUM(J40:J40)</f>
        <v/>
      </c>
    </row>
    <row r="42" outlineLevel="1" ht="14.25" customFormat="1" customHeight="1" s="208">
      <c r="A42" s="265" t="n">
        <v>14</v>
      </c>
      <c r="B42" s="164" t="inlineStr">
        <is>
          <t>01.7.03.01-0001</t>
        </is>
      </c>
      <c r="C42" s="268" t="inlineStr">
        <is>
          <t>Вода</t>
        </is>
      </c>
      <c r="D42" s="265" t="inlineStr">
        <is>
          <t>м3</t>
        </is>
      </c>
      <c r="E42" s="164" t="n">
        <v>35.07</v>
      </c>
      <c r="F42" s="265" t="n">
        <v>2.44</v>
      </c>
      <c r="G42" s="270">
        <f>F42*E42</f>
        <v/>
      </c>
      <c r="H42" s="271">
        <f>G42/$G$45</f>
        <v/>
      </c>
      <c r="I42" s="181">
        <f>ROUND(F42*Прил.10!$D$13,2)</f>
        <v/>
      </c>
      <c r="J42" s="363">
        <f>ROUND(I42*E42,2)</f>
        <v/>
      </c>
    </row>
    <row r="43" outlineLevel="1" ht="25.5" customFormat="1" customHeight="1" s="208">
      <c r="A43" s="265" t="n">
        <v>15</v>
      </c>
      <c r="B43" s="164" t="inlineStr">
        <is>
          <t>12.1.02.14-0001</t>
        </is>
      </c>
      <c r="C43" s="268" t="inlineStr">
        <is>
          <t>Толь с крупнозернистой посыпкой гидроизоляционный марки ТГ-350</t>
        </is>
      </c>
      <c r="D43" s="265" t="inlineStr">
        <is>
          <t>м2</t>
        </is>
      </c>
      <c r="E43" s="164" t="n">
        <v>2.435</v>
      </c>
      <c r="F43" s="265" t="n">
        <v>5.71</v>
      </c>
      <c r="G43" s="270">
        <f>F43*E43</f>
        <v/>
      </c>
      <c r="H43" s="271">
        <f>G43/$G$45</f>
        <v/>
      </c>
      <c r="I43" s="181">
        <f>ROUND(F43*Прил.10!$D$13,2)</f>
        <v/>
      </c>
      <c r="J43" s="181">
        <f>ROUND(I43*E43,2)</f>
        <v/>
      </c>
    </row>
    <row r="44" ht="14.25" customFormat="1" customHeight="1" s="208">
      <c r="A44" s="265" t="n"/>
      <c r="B44" s="265" t="n"/>
      <c r="C44" s="268" t="inlineStr">
        <is>
          <t>Итого прочие материалы</t>
        </is>
      </c>
      <c r="D44" s="265" t="n"/>
      <c r="E44" s="269" t="n"/>
      <c r="F44" s="270" t="n"/>
      <c r="G44" s="130">
        <f>SUM(G42:G43)</f>
        <v/>
      </c>
      <c r="H44" s="271">
        <f>G44/$G$45</f>
        <v/>
      </c>
      <c r="I44" s="26" t="n"/>
      <c r="J44" s="130">
        <f>SUM(J42:J43)</f>
        <v/>
      </c>
    </row>
    <row r="45" ht="14.25" customFormat="1" customHeight="1" s="208">
      <c r="A45" s="265" t="n"/>
      <c r="B45" s="265" t="n"/>
      <c r="C45" s="258" t="inlineStr">
        <is>
          <t>Итого по разделу «Материалы»</t>
        </is>
      </c>
      <c r="D45" s="265" t="n"/>
      <c r="E45" s="269" t="n"/>
      <c r="F45" s="270" t="n"/>
      <c r="G45" s="26">
        <f>G41+G44</f>
        <v/>
      </c>
      <c r="H45" s="271">
        <f>H41+H44</f>
        <v/>
      </c>
      <c r="I45" s="26" t="n"/>
      <c r="J45" s="26">
        <f>J41+J44</f>
        <v/>
      </c>
    </row>
    <row r="46" ht="14.25" customFormat="1" customHeight="1" s="208">
      <c r="A46" s="265" t="n"/>
      <c r="B46" s="265" t="n"/>
      <c r="C46" s="268" t="inlineStr">
        <is>
          <t>ИТОГО ПО РМ</t>
        </is>
      </c>
      <c r="D46" s="265" t="n"/>
      <c r="E46" s="269" t="n"/>
      <c r="F46" s="270" t="n"/>
      <c r="G46" s="26">
        <f>G14+G31+G45</f>
        <v/>
      </c>
      <c r="H46" s="272" t="n"/>
      <c r="I46" s="26" t="n"/>
      <c r="J46" s="26">
        <f>J14+J31+J45</f>
        <v/>
      </c>
    </row>
    <row r="47" ht="14.25" customFormat="1" customHeight="1" s="208">
      <c r="A47" s="265" t="n"/>
      <c r="B47" s="265" t="n"/>
      <c r="C47" s="268" t="inlineStr">
        <is>
          <t>Накладные расходы</t>
        </is>
      </c>
      <c r="D47" s="126">
        <f>ROUND(G47/(G$16+$G$14),2)</f>
        <v/>
      </c>
      <c r="E47" s="269" t="n"/>
      <c r="F47" s="270" t="n"/>
      <c r="G47" s="26" t="n">
        <v>26431</v>
      </c>
      <c r="H47" s="272" t="n"/>
      <c r="I47" s="26" t="n"/>
      <c r="J47" s="26">
        <f>ROUND(D47*(J14+J16),2)</f>
        <v/>
      </c>
    </row>
    <row r="48" ht="14.25" customFormat="1" customHeight="1" s="208">
      <c r="A48" s="265" t="n"/>
      <c r="B48" s="265" t="n"/>
      <c r="C48" s="268" t="inlineStr">
        <is>
          <t>Сметная прибыль</t>
        </is>
      </c>
      <c r="D48" s="126">
        <f>ROUND(G48/(G$14+G$16),2)</f>
        <v/>
      </c>
      <c r="E48" s="269" t="n"/>
      <c r="F48" s="270" t="n"/>
      <c r="G48" s="26" t="n">
        <v>14878</v>
      </c>
      <c r="H48" s="272" t="n"/>
      <c r="I48" s="26" t="n"/>
      <c r="J48" s="26">
        <f>ROUND(D48*(J14+J16),2)</f>
        <v/>
      </c>
    </row>
    <row r="49" ht="14.25" customFormat="1" customHeight="1" s="208">
      <c r="A49" s="265" t="n"/>
      <c r="B49" s="265" t="n"/>
      <c r="C49" s="268" t="inlineStr">
        <is>
          <t>Итого СМР (с НР и СП)</t>
        </is>
      </c>
      <c r="D49" s="265" t="n"/>
      <c r="E49" s="269" t="n"/>
      <c r="F49" s="270" t="n"/>
      <c r="G49" s="26">
        <f>ROUND((G14+G31+G45+G47+G48),2)</f>
        <v/>
      </c>
      <c r="H49" s="272" t="n"/>
      <c r="I49" s="26" t="n"/>
      <c r="J49" s="26">
        <f>ROUND((J14+J31+J45+J47+J48),2)</f>
        <v/>
      </c>
    </row>
    <row r="50" ht="14.25" customFormat="1" customHeight="1" s="208">
      <c r="A50" s="265" t="n"/>
      <c r="B50" s="265" t="n"/>
      <c r="C50" s="268" t="inlineStr">
        <is>
          <t>ВСЕГО СМР + ОБОРУДОВАНИЕ</t>
        </is>
      </c>
      <c r="D50" s="265" t="n"/>
      <c r="E50" s="269" t="n"/>
      <c r="F50" s="270" t="n"/>
      <c r="G50" s="26">
        <f>G49+G36</f>
        <v/>
      </c>
      <c r="H50" s="272" t="n"/>
      <c r="I50" s="26" t="n"/>
      <c r="J50" s="26">
        <f>J49+J36</f>
        <v/>
      </c>
    </row>
    <row r="51" ht="34.5" customFormat="1" customHeight="1" s="208">
      <c r="A51" s="265" t="n"/>
      <c r="B51" s="265" t="n"/>
      <c r="C51" s="268" t="inlineStr">
        <is>
          <t>ИТОГО ПОКАЗАТЕЛЬ НА ЕД. ИЗМ.</t>
        </is>
      </c>
      <c r="D51" s="265" t="inlineStr">
        <is>
          <t>1 м2</t>
        </is>
      </c>
      <c r="E51" s="269" t="n">
        <v>39040</v>
      </c>
      <c r="F51" s="270" t="n"/>
      <c r="G51" s="26">
        <f>G50/E51</f>
        <v/>
      </c>
      <c r="H51" s="272" t="n"/>
      <c r="I51" s="26" t="n"/>
      <c r="J51" s="26">
        <f>J50/E51</f>
        <v/>
      </c>
    </row>
    <row r="53" ht="14.25" customFormat="1" customHeight="1" s="208">
      <c r="A53" s="197" t="inlineStr">
        <is>
          <t>Составил ______________________     Д.А. Самуйленко</t>
        </is>
      </c>
    </row>
    <row r="54" ht="14.25" customFormat="1" customHeight="1" s="208">
      <c r="A54" s="207" t="inlineStr">
        <is>
          <t xml:space="preserve">                         (подпись, инициалы, фамилия)</t>
        </is>
      </c>
    </row>
    <row r="55" ht="14.25" customFormat="1" customHeight="1" s="208">
      <c r="A55" s="197" t="n"/>
    </row>
    <row r="56" ht="14.25" customFormat="1" customHeight="1" s="208">
      <c r="A56" s="197" t="inlineStr">
        <is>
          <t>Проверил ______________________        А.В. Костянецкая</t>
        </is>
      </c>
    </row>
    <row r="57" ht="14.25" customFormat="1" customHeight="1" s="208">
      <c r="A57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C15" sqref="C1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2" t="inlineStr">
        <is>
          <t>Приложение №6</t>
        </is>
      </c>
    </row>
    <row r="2" ht="21.75" customHeight="1" s="214">
      <c r="A2" s="282" t="n"/>
      <c r="B2" s="282" t="n"/>
      <c r="C2" s="282" t="n"/>
      <c r="D2" s="282" t="n"/>
      <c r="E2" s="282" t="n"/>
      <c r="F2" s="282" t="n"/>
      <c r="G2" s="282" t="n"/>
    </row>
    <row r="3">
      <c r="A3" s="228" t="inlineStr">
        <is>
          <t>Расчет стоимости оборудования</t>
        </is>
      </c>
    </row>
    <row r="4" ht="40.5" customHeight="1" s="214">
      <c r="A4" s="231" t="inlineStr">
        <is>
          <t>Наименование разрабатываемого показателя УНЦ —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4">
      <c r="A6" s="287" t="inlineStr">
        <is>
          <t>№ пп.</t>
        </is>
      </c>
      <c r="B6" s="287" t="inlineStr">
        <is>
          <t>Код ресурса</t>
        </is>
      </c>
      <c r="C6" s="287" t="inlineStr">
        <is>
          <t>Наименование</t>
        </is>
      </c>
      <c r="D6" s="287" t="inlineStr">
        <is>
          <t>Ед. изм.</t>
        </is>
      </c>
      <c r="E6" s="265" t="inlineStr">
        <is>
          <t>Кол-во единиц по проектным данным</t>
        </is>
      </c>
      <c r="F6" s="287" t="inlineStr">
        <is>
          <t>Сметная стоимость в ценах на 01.01.2000 (руб.)</t>
        </is>
      </c>
      <c r="G6" s="349" t="n"/>
    </row>
    <row r="7">
      <c r="A7" s="351" t="n"/>
      <c r="B7" s="351" t="n"/>
      <c r="C7" s="351" t="n"/>
      <c r="D7" s="351" t="n"/>
      <c r="E7" s="351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14">
      <c r="A9" s="99" t="n"/>
      <c r="B9" s="268" t="inlineStr">
        <is>
          <t>ИНЖЕНЕРНОЕ ОБОРУДОВАНИЕ</t>
        </is>
      </c>
      <c r="C9" s="348" t="n"/>
      <c r="D9" s="348" t="n"/>
      <c r="E9" s="348" t="n"/>
      <c r="F9" s="348" t="n"/>
      <c r="G9" s="349" t="n"/>
    </row>
    <row r="10" ht="27" customHeight="1" s="214">
      <c r="A10" s="265" t="n"/>
      <c r="B10" s="258" t="n"/>
      <c r="C10" s="268" t="inlineStr">
        <is>
          <t>ИТОГО ИНЖЕНЕРНОЕ ОБОРУДОВАНИЕ</t>
        </is>
      </c>
      <c r="D10" s="258" t="n"/>
      <c r="E10" s="100" t="n"/>
      <c r="F10" s="270" t="n"/>
      <c r="G10" s="270" t="n">
        <v>0</v>
      </c>
    </row>
    <row r="11">
      <c r="A11" s="265" t="n"/>
      <c r="B11" s="268" t="inlineStr">
        <is>
          <t>ТЕХНОЛОГИЧЕСКОЕ ОБОРУДОВАНИЕ</t>
        </is>
      </c>
      <c r="C11" s="348" t="n"/>
      <c r="D11" s="348" t="n"/>
      <c r="E11" s="348" t="n"/>
      <c r="F11" s="348" t="n"/>
      <c r="G11" s="349" t="n"/>
    </row>
    <row r="12" ht="25.5" customHeight="1" s="214">
      <c r="A12" s="265" t="n"/>
      <c r="B12" s="268" t="n"/>
      <c r="C12" s="268" t="inlineStr">
        <is>
          <t>ИТОГО ТЕХНОЛОГИЧЕСКОЕ ОБОРУДОВАНИЕ</t>
        </is>
      </c>
      <c r="D12" s="268" t="n"/>
      <c r="E12" s="286" t="n"/>
      <c r="F12" s="270" t="n"/>
      <c r="G12" s="26" t="n">
        <v>0</v>
      </c>
    </row>
    <row r="13" ht="19.5" customHeight="1" s="214">
      <c r="A13" s="265" t="n"/>
      <c r="B13" s="268" t="n"/>
      <c r="C13" s="268" t="inlineStr">
        <is>
          <t>Всего по разделу «Оборудование»</t>
        </is>
      </c>
      <c r="D13" s="268" t="n"/>
      <c r="E13" s="286" t="n"/>
      <c r="F13" s="270" t="n"/>
      <c r="G13" s="26" t="n">
        <v>0</v>
      </c>
    </row>
    <row r="14">
      <c r="A14" s="205" t="n"/>
      <c r="B14" s="206" t="n"/>
      <c r="C14" s="205" t="n"/>
      <c r="D14" s="205" t="n"/>
      <c r="E14" s="205" t="n"/>
      <c r="F14" s="205" t="n"/>
      <c r="G14" s="205" t="n"/>
    </row>
    <row r="15">
      <c r="A15" s="197" t="inlineStr">
        <is>
          <t>Составил ______________________    Д.А. Самуйленко</t>
        </is>
      </c>
      <c r="B15" s="208" t="n"/>
      <c r="C15" s="208" t="n"/>
      <c r="D15" s="205" t="n"/>
      <c r="E15" s="205" t="n"/>
      <c r="F15" s="205" t="n"/>
      <c r="G15" s="205" t="n"/>
    </row>
    <row r="16">
      <c r="A16" s="207" t="inlineStr">
        <is>
          <t xml:space="preserve">                         (подпись, инициалы, фамилия)</t>
        </is>
      </c>
      <c r="B16" s="208" t="n"/>
      <c r="C16" s="208" t="n"/>
      <c r="D16" s="205" t="n"/>
      <c r="E16" s="205" t="n"/>
      <c r="F16" s="205" t="n"/>
      <c r="G16" s="205" t="n"/>
    </row>
    <row r="17">
      <c r="A17" s="197" t="n"/>
      <c r="B17" s="208" t="n"/>
      <c r="C17" s="208" t="n"/>
      <c r="D17" s="205" t="n"/>
      <c r="E17" s="205" t="n"/>
      <c r="F17" s="205" t="n"/>
      <c r="G17" s="205" t="n"/>
    </row>
    <row r="18">
      <c r="A18" s="197" t="inlineStr">
        <is>
          <t>Проверил ______________________        А.В. Костянецкая</t>
        </is>
      </c>
      <c r="B18" s="208" t="n"/>
      <c r="C18" s="208" t="n"/>
      <c r="D18" s="205" t="n"/>
      <c r="E18" s="205" t="n"/>
      <c r="F18" s="205" t="n"/>
      <c r="G18" s="205" t="n"/>
    </row>
    <row r="19">
      <c r="A19" s="207" t="inlineStr">
        <is>
          <t xml:space="preserve">                        (подпись, инициалы, фамилия)</t>
        </is>
      </c>
      <c r="B19" s="208" t="n"/>
      <c r="C19" s="208" t="n"/>
      <c r="D19" s="205" t="n"/>
      <c r="E19" s="205" t="n"/>
      <c r="F19" s="205" t="n"/>
      <c r="G19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</cols>
  <sheetData>
    <row r="1">
      <c r="B1" s="197" t="n"/>
      <c r="C1" s="197" t="n"/>
      <c r="D1" s="282" t="inlineStr">
        <is>
          <t>Приложение №7</t>
        </is>
      </c>
    </row>
    <row r="2">
      <c r="A2" s="282" t="n"/>
      <c r="B2" s="282" t="n"/>
      <c r="C2" s="282" t="n"/>
      <c r="D2" s="282" t="n"/>
    </row>
    <row r="3">
      <c r="A3" s="228" t="inlineStr">
        <is>
          <t>Расчет показателя УНЦ</t>
        </is>
      </c>
    </row>
    <row r="4">
      <c r="A4" s="228" t="n"/>
      <c r="B4" s="228" t="n"/>
      <c r="C4" s="228" t="n"/>
      <c r="D4" s="228" t="n"/>
    </row>
    <row r="5" ht="45" customHeight="1" s="214">
      <c r="A5" s="231">
        <f>'Прил.4 РМ'!B7</f>
        <v/>
      </c>
    </row>
    <row r="6" ht="15" customHeight="1" s="214">
      <c r="A6" s="197" t="inlineStr">
        <is>
          <t>Единица измерения  — м2</t>
        </is>
      </c>
      <c r="B6" s="197" t="n"/>
      <c r="C6" s="197" t="n"/>
      <c r="D6" s="231" t="n"/>
    </row>
    <row r="7">
      <c r="A7" s="197" t="n"/>
      <c r="B7" s="197" t="n"/>
      <c r="C7" s="197" t="n"/>
      <c r="D7" s="197" t="n"/>
    </row>
    <row r="8" ht="15" customHeight="1" s="214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 ht="15" customHeight="1" s="214">
      <c r="A9" s="351" t="n"/>
      <c r="B9" s="351" t="n"/>
      <c r="C9" s="351" t="n"/>
      <c r="D9" s="351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89.25" customHeight="1" s="214">
      <c r="A11" s="202" t="inlineStr">
        <is>
          <t>Б1-02</t>
        </is>
      </c>
      <c r="B11" s="202" t="inlineStr">
        <is>
          <t xml:space="preserve">УНЦ подготовки и устройства территории ПС </t>
        </is>
      </c>
      <c r="C11" s="203" t="inlineStr">
        <is>
          <t>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  <c r="D11" s="204">
        <f>'Прил.4 РМ'!C41/1000</f>
        <v/>
      </c>
    </row>
    <row r="12">
      <c r="A12" s="205" t="n"/>
      <c r="B12" s="206" t="n"/>
      <c r="C12" s="205" t="n"/>
      <c r="D12" s="205" t="n"/>
    </row>
    <row r="13">
      <c r="A13" s="197" t="inlineStr">
        <is>
          <t>Составил ______________________      Д.А. Самуйленко</t>
        </is>
      </c>
      <c r="B13" s="197" t="n"/>
      <c r="C13" s="197" t="n"/>
      <c r="D13" s="205" t="n"/>
    </row>
    <row r="14">
      <c r="A14" s="207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20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8" t="n"/>
      <c r="C16" s="208" t="n"/>
      <c r="D16" s="205" t="n"/>
    </row>
    <row r="17">
      <c r="A17" s="207" t="inlineStr">
        <is>
          <t xml:space="preserve">                        (подпись, инициалы, фамилия)</t>
        </is>
      </c>
      <c r="B17" s="208" t="n"/>
      <c r="C17" s="208" t="n"/>
      <c r="D17" s="205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5" sqref="B25"/>
    </sheetView>
  </sheetViews>
  <sheetFormatPr baseColWidth="8" defaultRowHeight="15"/>
  <cols>
    <col width="9.140625" customWidth="1" style="214" min="1" max="1"/>
    <col width="40.7109375" customWidth="1" style="214" min="2" max="2"/>
    <col width="37" customWidth="1" style="214" min="3" max="3"/>
    <col width="32" customWidth="1" style="214" min="4" max="4"/>
    <col width="9.140625" customWidth="1" style="214" min="5" max="5"/>
  </cols>
  <sheetData>
    <row r="4" ht="15.75" customHeight="1" s="214">
      <c r="B4" s="235" t="inlineStr">
        <is>
          <t>Приложение № 10</t>
        </is>
      </c>
    </row>
    <row r="5" ht="18.75" customHeight="1" s="214">
      <c r="B5" s="112" t="n"/>
    </row>
    <row r="6" ht="15.75" customHeight="1" s="21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 s="214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14">
      <c r="B10" s="241" t="n">
        <v>1</v>
      </c>
      <c r="C10" s="241" t="n">
        <v>2</v>
      </c>
      <c r="D10" s="241" t="n">
        <v>3</v>
      </c>
    </row>
    <row r="11" ht="45" customHeight="1" s="214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14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14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14">
      <c r="B14" s="241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14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14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214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14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15" t="n">
        <v>0.002</v>
      </c>
    </row>
    <row r="19" ht="24" customHeight="1" s="214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15" t="n">
        <v>0.03</v>
      </c>
    </row>
    <row r="20" ht="18.75" customHeight="1" s="214">
      <c r="B20" s="113" t="n"/>
    </row>
    <row r="21" ht="18.75" customHeight="1" s="214">
      <c r="B21" s="113" t="n"/>
    </row>
    <row r="22" ht="18.75" customHeight="1" s="214">
      <c r="B22" s="113" t="n"/>
    </row>
    <row r="23" ht="18.75" customHeight="1" s="214">
      <c r="B23" s="113" t="n"/>
    </row>
    <row r="26">
      <c r="B26" s="197" t="inlineStr">
        <is>
          <t>Составил ______________________        Е.А. Князева</t>
        </is>
      </c>
      <c r="C26" s="208" t="n"/>
    </row>
    <row r="27">
      <c r="B27" s="207" t="inlineStr">
        <is>
          <t xml:space="preserve">                         (подпись, инициалы, фамилия)</t>
        </is>
      </c>
      <c r="C27" s="208" t="n"/>
    </row>
    <row r="28">
      <c r="B28" s="197" t="n"/>
      <c r="C28" s="208" t="n"/>
    </row>
    <row r="29">
      <c r="B29" s="197" t="inlineStr">
        <is>
          <t>Проверил ______________________        А.В. Костянецкая</t>
        </is>
      </c>
      <c r="C29" s="208" t="n"/>
    </row>
    <row r="30">
      <c r="B30" s="207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K36" sqref="K36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14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211" t="n"/>
    </row>
    <row r="6" ht="15.75" customHeight="1" s="214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211" t="n"/>
    </row>
    <row r="7" ht="110.25" customHeight="1" s="214">
      <c r="A7" s="336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339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14">
      <c r="A8" s="336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40">
        <f>1973/12</f>
        <v/>
      </c>
      <c r="F8" s="337" t="inlineStr">
        <is>
          <t>Производственный календарь 2023 год
(40-часов.неделя)</t>
        </is>
      </c>
      <c r="G8" s="213" t="n"/>
    </row>
    <row r="9" ht="15.75" customHeight="1" s="214">
      <c r="A9" s="336" t="inlineStr">
        <is>
          <t>1.3</t>
        </is>
      </c>
      <c r="B9" s="337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40" t="n">
        <v>1</v>
      </c>
      <c r="F9" s="337" t="n"/>
      <c r="G9" s="213" t="n"/>
    </row>
    <row r="10" ht="15.75" customHeight="1" s="214">
      <c r="A10" s="336" t="inlineStr">
        <is>
          <t>1.4</t>
        </is>
      </c>
      <c r="B10" s="337" t="inlineStr">
        <is>
          <t>Средний разряд работ</t>
        </is>
      </c>
      <c r="C10" s="338" t="n"/>
      <c r="D10" s="338" t="n"/>
      <c r="E10" s="364" t="n">
        <v>2.8</v>
      </c>
      <c r="F10" s="337" t="inlineStr">
        <is>
          <t>РТМ</t>
        </is>
      </c>
      <c r="G10" s="213" t="n"/>
    </row>
    <row r="11" ht="78.75" customHeight="1" s="214">
      <c r="A11" s="336" t="inlineStr">
        <is>
          <t>1.5</t>
        </is>
      </c>
      <c r="B11" s="337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365" t="n">
        <v>1.166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14">
      <c r="A12" s="33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366" t="n">
        <v>1.139</v>
      </c>
      <c r="F12" s="3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14">
      <c r="A13" s="336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47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2025-01-24T11:53:25Z</dcterms:modified>
  <cp:lastModifiedBy>Nikolay Ivanov</cp:lastModifiedBy>
  <cp:lastPrinted>2023-11-29T12:30:44Z</cp:lastPrinted>
</cp:coreProperties>
</file>