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25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Times New Roman"/>
      <strike val="0"/>
      <color rgb="FF0000FF"/>
      <sz val="12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2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wrapText="1"/>
    </xf>
    <xf numFmtId="14" fontId="1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/>
    </xf>
    <xf numFmtId="10" fontId="16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5" applyAlignment="1" pivotButton="0" quotePrefix="0" xfId="0">
      <alignment horizontal="right" vertical="center" wrapText="1"/>
    </xf>
    <xf numFmtId="43" fontId="1" fillId="0" borderId="5" applyAlignment="1" pivotButton="0" quotePrefix="0" xfId="0">
      <alignment horizontal="right" vertical="center"/>
    </xf>
    <xf numFmtId="43" fontId="1" fillId="0" borderId="1" pivotButton="0" quotePrefix="0" xfId="0"/>
    <xf numFmtId="4" fontId="1" fillId="0" borderId="1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/>
    </xf>
    <xf numFmtId="10" fontId="1" fillId="0" borderId="5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7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8" applyAlignment="1" pivotButton="0" quotePrefix="0" xfId="0">
      <alignment horizontal="left" vertical="center" wrapText="1"/>
    </xf>
    <xf numFmtId="0" fontId="20" fillId="0" borderId="7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2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43" fontId="1" fillId="0" borderId="4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5" applyAlignment="1" pivotButton="0" quotePrefix="0" xfId="0">
      <alignment horizontal="right" vertical="center" wrapText="1"/>
    </xf>
    <xf numFmtId="43" fontId="1" fillId="0" borderId="5" applyAlignment="1" pivotButton="0" quotePrefix="0" xfId="0">
      <alignment horizontal="right" vertical="center"/>
    </xf>
    <xf numFmtId="43" fontId="1" fillId="0" borderId="1" pivotButton="0" quotePrefix="0" xfId="0"/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1" view="pageBreakPreview" zoomScale="70" zoomScaleNormal="70" workbookViewId="0">
      <selection activeCell="B7" sqref="B7:D7"/>
    </sheetView>
  </sheetViews>
  <sheetFormatPr baseColWidth="8" defaultColWidth="9.140625" defaultRowHeight="14.4" outlineLevelRow="0"/>
  <cols>
    <col width="9.140625" customWidth="1" style="245" min="1" max="1"/>
    <col width="9.140625" customWidth="1" style="245" min="2" max="2"/>
    <col width="51.7109375" customWidth="1" style="245" min="3" max="3"/>
    <col width="47" customWidth="1" style="245" min="4" max="4"/>
    <col width="37.42578125" customWidth="1" style="245" min="5" max="5"/>
    <col width="9.140625" customWidth="1" style="245" min="6" max="6"/>
  </cols>
  <sheetData>
    <row r="3">
      <c r="B3" s="267" t="inlineStr">
        <is>
          <t>Приложение № 1</t>
        </is>
      </c>
    </row>
    <row r="4">
      <c r="B4" s="370" t="inlineStr">
        <is>
          <t>Сравнительная таблица отбора объекта-представителя</t>
        </is>
      </c>
    </row>
    <row r="5" ht="84" customHeight="1" s="247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7">
      <c r="B6" s="158" t="n"/>
      <c r="C6" s="158" t="n"/>
      <c r="D6" s="158" t="n"/>
    </row>
    <row r="7" ht="64.5" customHeight="1" s="247">
      <c r="B7" s="269" t="inlineStr">
        <is>
          <t>Наименование разрабатываемого показателя УНЦ - Подготовка и устройство территории ПС (ЗПС) Республика Коми, Архангельская область, Ненецкий автономный округ</t>
        </is>
      </c>
    </row>
    <row r="8" ht="31.5" customHeight="1" s="247">
      <c r="B8" s="132" t="inlineStr">
        <is>
          <t xml:space="preserve">Сопоставимый уровень цен: </t>
        </is>
      </c>
      <c r="C8" s="132" t="n"/>
      <c r="D8" s="257">
        <f>D22</f>
        <v/>
      </c>
    </row>
    <row r="9" ht="15.75" customHeight="1" s="247">
      <c r="B9" s="269" t="inlineStr">
        <is>
          <t>Единица измерения  — 1 м2</t>
        </is>
      </c>
    </row>
    <row r="10">
      <c r="B10" s="269" t="n"/>
    </row>
    <row r="11">
      <c r="B11" s="322" t="inlineStr">
        <is>
          <t>№ п/п</t>
        </is>
      </c>
      <c r="C11" s="322" t="inlineStr">
        <is>
          <t>Параметр</t>
        </is>
      </c>
      <c r="D11" s="322" t="inlineStr">
        <is>
          <t xml:space="preserve">Объект-представитель </t>
        </is>
      </c>
      <c r="E11" s="140" t="n"/>
    </row>
    <row r="12" ht="78.75" customHeight="1" s="247">
      <c r="B12" s="322" t="n">
        <v>1</v>
      </c>
      <c r="C12" s="284" t="inlineStr">
        <is>
          <t>Наименование объекта-представителя</t>
        </is>
      </c>
      <c r="D12" s="322" t="inlineStr">
        <is>
          <t>Строительство ПС 110/10 кВ Ольховей и ВЛ 10 кВ для технологического присоединения «КС-5 «Усинская», КЦ-2» в составе стройки «Система магистрального газопровода Бованенково – Ухта»</t>
        </is>
      </c>
    </row>
    <row r="13">
      <c r="B13" s="322" t="n">
        <v>2</v>
      </c>
      <c r="C13" s="284" t="inlineStr">
        <is>
          <t>Наименование субъекта Российской Федерации</t>
        </is>
      </c>
      <c r="D13" s="322" t="inlineStr">
        <is>
          <t>Республика Коми</t>
        </is>
      </c>
    </row>
    <row r="14">
      <c r="B14" s="322" t="n">
        <v>3</v>
      </c>
      <c r="C14" s="284" t="inlineStr">
        <is>
          <t>Климатический район и подрайон</t>
        </is>
      </c>
      <c r="D14" s="322" t="inlineStr">
        <is>
          <t>IГ</t>
        </is>
      </c>
    </row>
    <row r="15">
      <c r="B15" s="322" t="n">
        <v>4</v>
      </c>
      <c r="C15" s="284" t="inlineStr">
        <is>
          <t>Мощность объекта</t>
        </is>
      </c>
      <c r="D15" s="322" t="n">
        <v>70840</v>
      </c>
    </row>
    <row r="16" ht="63" customHeight="1" s="247">
      <c r="B16" s="322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3" t="inlineStr">
        <is>
          <t>Сваи железобетонные С35-1-12-1</t>
        </is>
      </c>
    </row>
    <row r="17" ht="63" customHeight="1" s="247">
      <c r="B17" s="322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8">
        <f>D18+D19+D20+D21</f>
        <v/>
      </c>
      <c r="E17" s="157" t="n"/>
    </row>
    <row r="18">
      <c r="B18" s="139" t="inlineStr">
        <is>
          <t>6.1</t>
        </is>
      </c>
      <c r="C18" s="284" t="inlineStr">
        <is>
          <t>строительно-монтажные работы</t>
        </is>
      </c>
      <c r="D18" s="258">
        <f>'Прил.2 Расч стоим'!F14</f>
        <v/>
      </c>
    </row>
    <row r="19">
      <c r="B19" s="139" t="inlineStr">
        <is>
          <t>6.2</t>
        </is>
      </c>
      <c r="C19" s="284" t="inlineStr">
        <is>
          <t>оборудование и инвентарь</t>
        </is>
      </c>
      <c r="D19" s="258">
        <f>'Прил.2 Расч стоим'!H14</f>
        <v/>
      </c>
    </row>
    <row r="20">
      <c r="B20" s="139" t="inlineStr">
        <is>
          <t>6.3</t>
        </is>
      </c>
      <c r="C20" s="284" t="inlineStr">
        <is>
          <t>пусконаладочные работы</t>
        </is>
      </c>
      <c r="D20" s="322" t="n">
        <v>0</v>
      </c>
    </row>
    <row r="21">
      <c r="B21" s="139" t="inlineStr">
        <is>
          <t>6.4</t>
        </is>
      </c>
      <c r="C21" s="138" t="inlineStr">
        <is>
          <t>прочие и лимитированные затраты</t>
        </is>
      </c>
      <c r="D21" s="258">
        <f>D18*0.039+(D18*0.039+D18)*0.043*1.2</f>
        <v/>
      </c>
    </row>
    <row r="22">
      <c r="B22" s="322" t="n">
        <v>7</v>
      </c>
      <c r="C22" s="138" t="inlineStr">
        <is>
          <t>Сопоставимый уровень цен</t>
        </is>
      </c>
      <c r="D22" s="161" t="inlineStr">
        <is>
          <t>1 кв. 2016 г.</t>
        </is>
      </c>
      <c r="E22" s="136" t="n"/>
    </row>
    <row r="23" ht="78.75" customHeight="1" s="247">
      <c r="B23" s="322" t="n">
        <v>8</v>
      </c>
      <c r="C23" s="13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8">
        <f>D17</f>
        <v/>
      </c>
      <c r="E23" s="157" t="n"/>
    </row>
    <row r="24" ht="31.5" customHeight="1" s="247">
      <c r="B24" s="322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58">
        <f>D23/D15</f>
        <v/>
      </c>
      <c r="E24" s="136" t="n"/>
    </row>
    <row r="25">
      <c r="B25" s="322" t="n">
        <v>10</v>
      </c>
      <c r="C25" s="284" t="inlineStr">
        <is>
          <t>Примечание</t>
        </is>
      </c>
      <c r="D25" s="322" t="n"/>
    </row>
    <row r="26">
      <c r="B26" s="134" t="n"/>
      <c r="C26" s="133" t="n"/>
      <c r="D26" s="133" t="n"/>
    </row>
    <row r="27" ht="37.5" customHeight="1" s="247">
      <c r="B27" s="132" t="n"/>
    </row>
    <row r="28">
      <c r="B28" s="245" t="inlineStr">
        <is>
          <t>Составил ______________________    Д.А. Самуйленко</t>
        </is>
      </c>
    </row>
    <row r="29">
      <c r="B29" s="132" t="inlineStr">
        <is>
          <t xml:space="preserve">                         (подпись, инициалы, фамилия)</t>
        </is>
      </c>
    </row>
    <row r="31">
      <c r="B31" s="245" t="inlineStr">
        <is>
          <t>Проверил ______________________        А.В. Костянецкая</t>
        </is>
      </c>
    </row>
    <row r="32">
      <c r="B32" s="13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showGridLines="1" showRowColHeaders="1" tabSelected="0" view="pageBreakPreview" zoomScale="70" zoomScaleNormal="70" workbookViewId="0">
      <selection activeCell="B6" sqref="B6:J6"/>
    </sheetView>
  </sheetViews>
  <sheetFormatPr baseColWidth="8" defaultColWidth="9.140625" defaultRowHeight="14.4" outlineLevelRow="0"/>
  <cols>
    <col width="5.5703125" customWidth="1" style="245" min="1" max="1"/>
    <col width="9.140625" customWidth="1" style="245" min="2" max="2"/>
    <col width="35.28515625" customWidth="1" style="245" min="3" max="3"/>
    <col width="13.85546875" customWidth="1" style="245" min="4" max="4"/>
    <col width="24.85546875" customWidth="1" style="245" min="5" max="5"/>
    <col width="15.5703125" customWidth="1" style="245" min="6" max="6"/>
    <col width="14.85546875" customWidth="1" style="245" min="7" max="7"/>
    <col width="16.7109375" customWidth="1" style="245" min="8" max="8"/>
    <col width="13" customWidth="1" style="245" min="9" max="9"/>
    <col width="13" customWidth="1" style="245" min="10" max="10"/>
    <col width="18" customWidth="1" style="245" min="11" max="11"/>
    <col width="9.140625" customWidth="1" style="245" min="12" max="12"/>
  </cols>
  <sheetData>
    <row r="3">
      <c r="B3" s="267" t="inlineStr">
        <is>
          <t>Приложение № 2</t>
        </is>
      </c>
      <c r="K3" s="132" t="n"/>
    </row>
    <row r="4">
      <c r="B4" s="370" t="inlineStr">
        <is>
          <t>Расчет стоимости основных видов работ для выбора объекта-представителя</t>
        </is>
      </c>
    </row>
    <row r="5"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  <c r="K5" s="141" t="n"/>
    </row>
    <row r="6" ht="63.75" customHeight="1" s="247">
      <c r="B6" s="275">
        <f>'Прил.1 Сравнит табл'!B7:D7</f>
        <v/>
      </c>
      <c r="K6" s="196" t="n"/>
    </row>
    <row r="7">
      <c r="B7" s="269">
        <f>'Прил.1 Сравнит табл'!B9:D9</f>
        <v/>
      </c>
    </row>
    <row r="8" ht="18.75" customHeight="1" s="247">
      <c r="B8" s="113" t="n"/>
    </row>
    <row r="9" ht="15.75" customHeight="1" s="247">
      <c r="A9" s="245" t="n"/>
      <c r="B9" s="322" t="inlineStr">
        <is>
          <t>№ п/п</t>
        </is>
      </c>
      <c r="C9" s="3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2" t="inlineStr">
        <is>
          <t>Объект-представитель 1</t>
        </is>
      </c>
      <c r="E9" s="371" t="n"/>
      <c r="F9" s="371" t="n"/>
      <c r="G9" s="371" t="n"/>
      <c r="H9" s="371" t="n"/>
      <c r="I9" s="371" t="n"/>
      <c r="J9" s="372" t="n"/>
      <c r="K9" s="245" t="n"/>
      <c r="L9" s="245" t="n"/>
    </row>
    <row r="10" ht="15.75" customHeight="1" s="247">
      <c r="A10" s="245" t="n"/>
      <c r="B10" s="373" t="n"/>
      <c r="C10" s="373" t="n"/>
      <c r="D10" s="322" t="inlineStr">
        <is>
          <t>Номер сметы</t>
        </is>
      </c>
      <c r="E10" s="322" t="inlineStr">
        <is>
          <t>Наименование сметы</t>
        </is>
      </c>
      <c r="F10" s="322" t="inlineStr">
        <is>
          <t>Сметная стоимость в уровне цен 1 кв. 2016 г., тыс. руб.</t>
        </is>
      </c>
      <c r="G10" s="371" t="n"/>
      <c r="H10" s="371" t="n"/>
      <c r="I10" s="371" t="n"/>
      <c r="J10" s="372" t="n"/>
      <c r="K10" s="245" t="n"/>
      <c r="L10" s="245" t="n"/>
    </row>
    <row r="11" ht="31.5" customHeight="1" s="247">
      <c r="A11" s="245" t="n"/>
      <c r="B11" s="374" t="n"/>
      <c r="C11" s="374" t="n"/>
      <c r="D11" s="374" t="n"/>
      <c r="E11" s="374" t="n"/>
      <c r="F11" s="322" t="inlineStr">
        <is>
          <t>Строительные работы</t>
        </is>
      </c>
      <c r="G11" s="322" t="inlineStr">
        <is>
          <t>Монтажные работы</t>
        </is>
      </c>
      <c r="H11" s="322" t="inlineStr">
        <is>
          <t>Оборудование</t>
        </is>
      </c>
      <c r="I11" s="322" t="inlineStr">
        <is>
          <t>Прочее</t>
        </is>
      </c>
      <c r="J11" s="322" t="inlineStr">
        <is>
          <t>Всего</t>
        </is>
      </c>
      <c r="L11" s="245" t="n"/>
    </row>
    <row r="12" ht="31.5" customHeight="1" s="247">
      <c r="A12" s="245" t="n"/>
      <c r="B12" s="248" t="n">
        <v>1</v>
      </c>
      <c r="C12" s="323" t="inlineStr">
        <is>
          <t>Сваи железобетонные С35-1-12-1</t>
        </is>
      </c>
      <c r="D12" s="250" t="n"/>
      <c r="E12" s="284" t="n"/>
      <c r="F12" s="252" t="n">
        <v>83705.66525760001</v>
      </c>
      <c r="G12" s="372" t="n"/>
      <c r="H12" s="252" t="n"/>
      <c r="I12" s="252" t="n"/>
      <c r="J12" s="253">
        <f>SUM(F12:I12)</f>
        <v/>
      </c>
      <c r="L12" s="245" t="n"/>
    </row>
    <row r="13" ht="15" customHeight="1" s="247">
      <c r="A13" s="245" t="n"/>
      <c r="B13" s="278" t="inlineStr">
        <is>
          <t>Всего по объекту:</t>
        </is>
      </c>
      <c r="C13" s="371" t="n"/>
      <c r="D13" s="371" t="n"/>
      <c r="E13" s="372" t="n"/>
      <c r="F13" s="255" t="n"/>
      <c r="G13" s="255" t="n"/>
      <c r="H13" s="255" t="n"/>
      <c r="I13" s="255" t="n"/>
      <c r="J13" s="255" t="n"/>
      <c r="K13" s="256" t="n"/>
      <c r="L13" s="245" t="n"/>
    </row>
    <row r="14" ht="15.75" customHeight="1" s="247">
      <c r="A14" s="245" t="n"/>
      <c r="B14" s="278" t="inlineStr">
        <is>
          <t>Всего по объекту в сопоставимом уровне цен 1 кв. 2016 г. :</t>
        </is>
      </c>
      <c r="C14" s="371" t="n"/>
      <c r="D14" s="371" t="n"/>
      <c r="E14" s="372" t="n"/>
      <c r="F14" s="375">
        <f>F12</f>
        <v/>
      </c>
      <c r="G14" s="372" t="n"/>
      <c r="H14" s="255">
        <f>H12</f>
        <v/>
      </c>
      <c r="I14" s="255">
        <f>'Прил.1 Сравнит табл'!D21</f>
        <v/>
      </c>
      <c r="J14" s="255">
        <f>SUM(F14:I14)</f>
        <v/>
      </c>
      <c r="L14" s="245" t="n"/>
    </row>
    <row r="15" ht="15" customHeight="1" s="247"/>
    <row r="16" ht="15" customHeight="1" s="247"/>
    <row r="17" ht="15" customHeight="1" s="247"/>
    <row r="18" ht="15" customHeight="1" s="247">
      <c r="C18" s="211" t="inlineStr">
        <is>
          <t>Составил ______________________     Д.А. Самуйленко</t>
        </is>
      </c>
      <c r="D18" s="222" t="n"/>
      <c r="E18" s="222" t="n"/>
    </row>
    <row r="19" ht="15" customHeight="1" s="247">
      <c r="C19" s="221" t="inlineStr">
        <is>
          <t xml:space="preserve">                         (подпись, инициалы, фамилия)</t>
        </is>
      </c>
      <c r="D19" s="222" t="n"/>
      <c r="E19" s="222" t="n"/>
    </row>
    <row r="20" ht="15" customHeight="1" s="247">
      <c r="C20" s="211" t="n"/>
      <c r="D20" s="222" t="n"/>
      <c r="E20" s="222" t="n"/>
    </row>
    <row r="21" ht="15" customHeight="1" s="247">
      <c r="C21" s="211" t="inlineStr">
        <is>
          <t>Проверил ______________________        А.В. Костянецкая</t>
        </is>
      </c>
      <c r="D21" s="222" t="n"/>
      <c r="E21" s="222" t="n"/>
    </row>
    <row r="22" ht="15" customHeight="1" s="247">
      <c r="C22" s="221" t="inlineStr">
        <is>
          <t xml:space="preserve">                        (подпись, инициалы, фамилия)</t>
        </is>
      </c>
      <c r="D22" s="222" t="n"/>
      <c r="E22" s="222" t="n"/>
    </row>
    <row r="23" ht="15" customHeight="1" s="247"/>
    <row r="24" ht="15" customHeight="1" s="247"/>
    <row r="25" ht="15" customHeight="1" s="247"/>
    <row r="26" ht="15" customHeight="1" s="247"/>
    <row r="27" ht="15" customHeight="1" s="247"/>
    <row r="28" ht="15" customHeight="1" s="24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6"/>
  <sheetViews>
    <sheetView showGridLines="1" showRowColHeaders="1" tabSelected="0" view="pageBreakPreview" zoomScale="85" workbookViewId="0">
      <selection activeCell="A7" sqref="A7"/>
    </sheetView>
  </sheetViews>
  <sheetFormatPr baseColWidth="8" defaultColWidth="9.140625" defaultRowHeight="14.4" outlineLevelRow="0"/>
  <cols>
    <col width="9.140625" customWidth="1" style="245" min="1" max="1"/>
    <col width="12.5703125" customWidth="1" style="245" min="2" max="2"/>
    <col width="22.42578125" customWidth="1" style="245" min="3" max="3"/>
    <col width="49.7109375" customWidth="1" style="245" min="4" max="4"/>
    <col width="10.140625" customWidth="1" style="245" min="5" max="5"/>
    <col width="20.7109375" customWidth="1" style="245" min="6" max="6"/>
    <col width="20" customWidth="1" style="245" min="7" max="7"/>
    <col width="16.7109375" customWidth="1" style="245" min="8" max="8"/>
    <col width="9.140625" customWidth="1" style="245" min="9" max="9"/>
    <col width="11.28515625" customWidth="1" style="245" min="10" max="10"/>
    <col width="15" customWidth="1" style="245" min="11" max="11"/>
    <col width="9.140625" customWidth="1" style="245" min="12" max="12"/>
    <col width="13.5703125" customWidth="1" style="245" min="13" max="13"/>
    <col width="9.140625" customWidth="1" style="245" min="14" max="14"/>
  </cols>
  <sheetData>
    <row r="2">
      <c r="A2" s="267" t="inlineStr">
        <is>
          <t xml:space="preserve">Приложение № 3 </t>
        </is>
      </c>
    </row>
    <row r="3">
      <c r="A3" s="370" t="inlineStr">
        <is>
          <t>Объектная ресурсная ведомость</t>
        </is>
      </c>
    </row>
    <row r="4" ht="18.75" customHeight="1" s="247">
      <c r="A4" s="160" t="n"/>
      <c r="B4" s="160" t="n"/>
      <c r="C4" s="2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69" t="n"/>
    </row>
    <row r="6" ht="51" customHeight="1" s="247">
      <c r="A6" s="275" t="inlineStr">
        <is>
          <t>Наименование разрабатываемого показателя УНЦ -  Подготовка и устройство территории ПС (ЗПС) Республика Коми, Архангельская область, Ненецкий автономный округ</t>
        </is>
      </c>
    </row>
    <row r="7">
      <c r="A7" s="142" t="n"/>
      <c r="B7" s="142" t="n"/>
      <c r="C7" s="142" t="n"/>
      <c r="D7" s="142" t="n"/>
      <c r="E7" s="142" t="n"/>
      <c r="F7" s="142" t="n"/>
      <c r="G7" s="142" t="n"/>
      <c r="H7" s="142" t="n"/>
    </row>
    <row r="8" ht="38.25" customHeight="1" s="247">
      <c r="A8" s="322" t="inlineStr">
        <is>
          <t>п/п</t>
        </is>
      </c>
      <c r="B8" s="322" t="inlineStr">
        <is>
          <t>№ЛСР</t>
        </is>
      </c>
      <c r="C8" s="322" t="inlineStr">
        <is>
          <t>Код ресурса</t>
        </is>
      </c>
      <c r="D8" s="322" t="inlineStr">
        <is>
          <t>Наименование ресурса</t>
        </is>
      </c>
      <c r="E8" s="322" t="inlineStr">
        <is>
          <t>Ед. изм.</t>
        </is>
      </c>
      <c r="F8" s="322" t="inlineStr">
        <is>
          <t>Кол-во единиц по данным объекта-представителя</t>
        </is>
      </c>
      <c r="G8" s="322" t="inlineStr">
        <is>
          <t>Сметная стоимость в ценах на 01.01.2000 (руб.)</t>
        </is>
      </c>
      <c r="H8" s="372" t="n"/>
    </row>
    <row r="9" ht="40.5" customHeight="1" s="247">
      <c r="A9" s="374" t="n"/>
      <c r="B9" s="374" t="n"/>
      <c r="C9" s="374" t="n"/>
      <c r="D9" s="374" t="n"/>
      <c r="E9" s="374" t="n"/>
      <c r="F9" s="374" t="n"/>
      <c r="G9" s="322" t="inlineStr">
        <is>
          <t>на ед.изм.</t>
        </is>
      </c>
      <c r="H9" s="322" t="inlineStr">
        <is>
          <t>общая</t>
        </is>
      </c>
    </row>
    <row r="10">
      <c r="A10" s="323" t="n">
        <v>1</v>
      </c>
      <c r="B10" s="323" t="n"/>
      <c r="C10" s="323" t="n">
        <v>2</v>
      </c>
      <c r="D10" s="323" t="inlineStr">
        <is>
          <t>З</t>
        </is>
      </c>
      <c r="E10" s="323" t="n">
        <v>4</v>
      </c>
      <c r="F10" s="323" t="n">
        <v>5</v>
      </c>
      <c r="G10" s="323" t="n">
        <v>6</v>
      </c>
      <c r="H10" s="323" t="n">
        <v>7</v>
      </c>
    </row>
    <row r="11" customFormat="1" s="144">
      <c r="A11" s="282" t="inlineStr">
        <is>
          <t>Затраты труда рабочих</t>
        </is>
      </c>
      <c r="B11" s="371" t="n"/>
      <c r="C11" s="371" t="n"/>
      <c r="D11" s="371" t="n"/>
      <c r="E11" s="372" t="n"/>
      <c r="F11" s="376" t="n">
        <v>10328.42</v>
      </c>
      <c r="G11" s="376" t="n"/>
      <c r="H11" s="376">
        <f>SUM(H12:H15)</f>
        <v/>
      </c>
      <c r="K11" s="171" t="n"/>
      <c r="M11" s="173" t="n"/>
      <c r="N11" s="171" t="n"/>
    </row>
    <row r="12">
      <c r="A12" s="181" t="inlineStr">
        <is>
          <t>1</t>
        </is>
      </c>
      <c r="B12" s="182" t="n"/>
      <c r="C12" s="181" t="inlineStr">
        <is>
          <t>1-3-9</t>
        </is>
      </c>
      <c r="D12" s="183" t="inlineStr">
        <is>
          <t>Затраты труда рабочих (средний разряд работы 3,9)</t>
        </is>
      </c>
      <c r="E12" s="184" t="inlineStr">
        <is>
          <t>чел.-ч</t>
        </is>
      </c>
      <c r="F12" s="163" t="n">
        <v>5202.14</v>
      </c>
      <c r="G12" s="377" t="n">
        <v>9.51</v>
      </c>
      <c r="H12" s="378">
        <f>ROUND(F12*G12,2)</f>
        <v/>
      </c>
      <c r="J12" s="141" t="n"/>
      <c r="K12" s="224" t="n"/>
    </row>
    <row r="13">
      <c r="A13" s="181" t="inlineStr">
        <is>
          <t>2</t>
        </is>
      </c>
      <c r="B13" s="182" t="n"/>
      <c r="C13" s="181" t="inlineStr">
        <is>
          <t>1-4-0</t>
        </is>
      </c>
      <c r="D13" s="183" t="inlineStr">
        <is>
          <t>Затраты труда рабочих (средний разряд работы 4,0)</t>
        </is>
      </c>
      <c r="E13" s="184" t="inlineStr">
        <is>
          <t>чел.-ч</t>
        </is>
      </c>
      <c r="F13" s="163" t="n">
        <v>4878.52</v>
      </c>
      <c r="G13" s="377" t="n">
        <v>9.619999999999999</v>
      </c>
      <c r="H13" s="378">
        <f>ROUND(F13*G13,2)</f>
        <v/>
      </c>
      <c r="J13" s="141" t="n"/>
      <c r="K13" s="224" t="n"/>
    </row>
    <row r="14">
      <c r="A14" s="181" t="inlineStr">
        <is>
          <t>3</t>
        </is>
      </c>
      <c r="B14" s="182" t="n"/>
      <c r="C14" s="181" t="inlineStr">
        <is>
          <t>1-1-5</t>
        </is>
      </c>
      <c r="D14" s="183" t="inlineStr">
        <is>
          <t>Затраты труда рабочих (средний разряд работы 1,5)</t>
        </is>
      </c>
      <c r="E14" s="184" t="inlineStr">
        <is>
          <t>чел.-ч</t>
        </is>
      </c>
      <c r="F14" s="163" t="n">
        <v>246.38</v>
      </c>
      <c r="G14" s="377" t="n">
        <v>7.5</v>
      </c>
      <c r="H14" s="378">
        <f>ROUND(F14*G14,2)</f>
        <v/>
      </c>
      <c r="J14" s="141" t="n"/>
      <c r="K14" s="224" t="n"/>
    </row>
    <row r="15">
      <c r="A15" s="181" t="inlineStr">
        <is>
          <t>4</t>
        </is>
      </c>
      <c r="B15" s="182" t="n"/>
      <c r="C15" s="181" t="inlineStr">
        <is>
          <t>1-2-0</t>
        </is>
      </c>
      <c r="D15" s="183" t="inlineStr">
        <is>
          <t>Затраты труда рабочих (средний разряд работы 2,0)</t>
        </is>
      </c>
      <c r="E15" s="184" t="inlineStr">
        <is>
          <t>чел.-ч</t>
        </is>
      </c>
      <c r="F15" s="163" t="n">
        <v>1.38</v>
      </c>
      <c r="G15" s="377" t="n">
        <v>7.8</v>
      </c>
      <c r="H15" s="378">
        <f>ROUND(F15*G15,2)</f>
        <v/>
      </c>
      <c r="J15" s="141" t="n"/>
      <c r="K15" s="224" t="n"/>
    </row>
    <row r="16" ht="15.75" customHeight="1" s="247">
      <c r="A16" s="289" t="inlineStr">
        <is>
          <t>Затраты труда машинистов</t>
        </is>
      </c>
      <c r="B16" s="371" t="n"/>
      <c r="C16" s="371" t="n"/>
      <c r="D16" s="371" t="n"/>
      <c r="E16" s="372" t="n"/>
      <c r="F16" s="145" t="n"/>
      <c r="G16" s="379" t="n"/>
      <c r="H16" s="376">
        <f>H17</f>
        <v/>
      </c>
      <c r="J16" s="132" t="n"/>
    </row>
    <row r="17">
      <c r="A17" s="296" t="n">
        <v>5</v>
      </c>
      <c r="B17" s="143" t="n"/>
      <c r="C17" s="163" t="n">
        <v>2</v>
      </c>
      <c r="D17" s="299" t="inlineStr">
        <is>
          <t>Затраты труда машинистов</t>
        </is>
      </c>
      <c r="E17" s="296" t="inlineStr">
        <is>
          <t>чел.-ч</t>
        </is>
      </c>
      <c r="F17" s="296" t="n">
        <v>5137.49</v>
      </c>
      <c r="G17" s="318" t="n">
        <v>0</v>
      </c>
      <c r="H17" s="377">
        <f>73301.2+2300.81</f>
        <v/>
      </c>
      <c r="J17" s="132" t="n"/>
    </row>
    <row r="18" customFormat="1" s="144">
      <c r="A18" s="282" t="inlineStr">
        <is>
          <t>Машины и механизмы</t>
        </is>
      </c>
      <c r="B18" s="371" t="n"/>
      <c r="C18" s="371" t="n"/>
      <c r="D18" s="371" t="n"/>
      <c r="E18" s="372" t="n"/>
      <c r="F18" s="145" t="n"/>
      <c r="G18" s="379" t="n"/>
      <c r="H18" s="380">
        <f>SUM(H19:H29)</f>
        <v/>
      </c>
      <c r="J18" s="187" t="n"/>
    </row>
    <row r="19" ht="25.5" customFormat="1" customHeight="1" s="144">
      <c r="A19" s="296" t="n">
        <v>6</v>
      </c>
      <c r="B19" s="283" t="n"/>
      <c r="C19" s="163" t="inlineStr">
        <is>
          <t>91.02.02-003</t>
        </is>
      </c>
      <c r="D19" s="299" t="inlineStr">
        <is>
          <t>Агрегаты копровые без дизель-молота на базе экскаватора с емкостью ковша 1 м3</t>
        </is>
      </c>
      <c r="E19" s="296" t="inlineStr">
        <is>
          <t>маш.час</t>
        </is>
      </c>
      <c r="F19" s="163" t="n">
        <v>1965.25</v>
      </c>
      <c r="G19" s="377" t="n">
        <v>200.67</v>
      </c>
      <c r="H19" s="377">
        <f>ROUND(F19*G19,2)</f>
        <v/>
      </c>
      <c r="J19" s="188" t="n"/>
    </row>
    <row r="20" ht="38.25" customHeight="1" s="247">
      <c r="A20" s="7" t="n">
        <v>7</v>
      </c>
      <c r="B20" s="283" t="n"/>
      <c r="C20" s="163" t="inlineStr">
        <is>
          <t>91.04.01-021</t>
        </is>
      </c>
      <c r="D20" s="299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20" s="296" t="inlineStr">
        <is>
          <t>маш.час</t>
        </is>
      </c>
      <c r="F20" s="163" t="n">
        <v>2441.56</v>
      </c>
      <c r="G20" s="377" t="n">
        <v>87.59999999999999</v>
      </c>
      <c r="H20" s="377">
        <f>ROUND(F20*G20,2)</f>
        <v/>
      </c>
      <c r="I20" s="148" t="n"/>
      <c r="J20" s="188" t="n"/>
      <c r="L20" s="148" t="n"/>
    </row>
    <row r="21">
      <c r="A21" s="296" t="n">
        <v>8</v>
      </c>
      <c r="B21" s="283" t="n"/>
      <c r="C21" s="163" t="inlineStr">
        <is>
          <t>91.02.03-024</t>
        </is>
      </c>
      <c r="D21" s="299" t="inlineStr">
        <is>
          <t>Дизель-молоты 2,5 т</t>
        </is>
      </c>
      <c r="E21" s="296" t="inlineStr">
        <is>
          <t>маш.час</t>
        </is>
      </c>
      <c r="F21" s="163" t="n">
        <v>1965.25</v>
      </c>
      <c r="G21" s="377" t="n">
        <v>70.67</v>
      </c>
      <c r="H21" s="377">
        <f>ROUND(F21*G21,2)</f>
        <v/>
      </c>
      <c r="I21" s="148" t="n"/>
      <c r="J21" s="188" t="n"/>
      <c r="L21" s="148" t="n"/>
    </row>
    <row r="22" ht="25.5" customHeight="1" s="247">
      <c r="A22" s="7" t="n">
        <v>9</v>
      </c>
      <c r="B22" s="283" t="n"/>
      <c r="C22" s="163" t="inlineStr">
        <is>
          <t>91.10.05-001</t>
        </is>
      </c>
      <c r="D22" s="299" t="inlineStr">
        <is>
          <t>Трубоукладчики для труб диаметром 800-1000 мм грузоподъемностью 35 т</t>
        </is>
      </c>
      <c r="E22" s="296" t="inlineStr">
        <is>
          <t>маш.час</t>
        </is>
      </c>
      <c r="F22" s="163" t="n">
        <v>520.21</v>
      </c>
      <c r="G22" s="377" t="n">
        <v>175.35</v>
      </c>
      <c r="H22" s="377">
        <f>ROUND(F22*G22,2)</f>
        <v/>
      </c>
      <c r="I22" s="148" t="n"/>
      <c r="J22" s="188" t="n"/>
      <c r="L22" s="148" t="n"/>
    </row>
    <row r="23">
      <c r="A23" s="7" t="n">
        <v>13</v>
      </c>
      <c r="B23" s="145" t="n"/>
      <c r="C23" s="7" t="inlineStr">
        <is>
          <t>91.14.03-002</t>
        </is>
      </c>
      <c r="D23" s="190" t="inlineStr">
        <is>
          <t>Автомобили-самосвалы, грузоподъемность до 10 т</t>
        </is>
      </c>
      <c r="E23" s="296" t="inlineStr">
        <is>
          <t>маш.час</t>
        </is>
      </c>
      <c r="F23" s="7" t="n">
        <v>170.43</v>
      </c>
      <c r="G23" s="381" t="n">
        <v>87.48999999999999</v>
      </c>
      <c r="H23" s="377">
        <f>ROUND(F23*G23,2)</f>
        <v/>
      </c>
      <c r="I23" s="148" t="n"/>
      <c r="J23" s="188" t="n"/>
      <c r="L23" s="148" t="n"/>
    </row>
    <row r="24">
      <c r="A24" s="296" t="n">
        <v>10</v>
      </c>
      <c r="B24" s="283" t="n"/>
      <c r="C24" s="163" t="inlineStr">
        <is>
          <t>91.14.04-001</t>
        </is>
      </c>
      <c r="D24" s="299" t="inlineStr">
        <is>
          <t>Тягачи седельные, грузоподъемность 12 т</t>
        </is>
      </c>
      <c r="E24" s="296" t="inlineStr">
        <is>
          <t>маш.час</t>
        </is>
      </c>
      <c r="F24" s="163" t="n">
        <v>57.8</v>
      </c>
      <c r="G24" s="377" t="n">
        <v>102.84</v>
      </c>
      <c r="H24" s="377">
        <f>ROUND(F24*G24,2)</f>
        <v/>
      </c>
      <c r="I24" s="148" t="n"/>
      <c r="J24" s="188" t="n"/>
      <c r="L24" s="148" t="n"/>
    </row>
    <row r="25">
      <c r="A25" s="7" t="n">
        <v>11</v>
      </c>
      <c r="B25" s="283" t="n"/>
      <c r="C25" s="163" t="inlineStr">
        <is>
          <t>91.14.02-001</t>
        </is>
      </c>
      <c r="D25" s="299" t="inlineStr">
        <is>
          <t>Автомобили бортовые, грузоподъемность до 5 т</t>
        </is>
      </c>
      <c r="E25" s="296" t="inlineStr">
        <is>
          <t>маш.час</t>
        </is>
      </c>
      <c r="F25" s="163" t="n">
        <v>70.31</v>
      </c>
      <c r="G25" s="377" t="n">
        <v>65.70999999999999</v>
      </c>
      <c r="H25" s="377">
        <f>ROUND(F25*G25,2)</f>
        <v/>
      </c>
      <c r="I25" s="148" t="n"/>
      <c r="J25" s="188" t="n"/>
      <c r="L25" s="148" t="n"/>
    </row>
    <row r="26" ht="25.5" customHeight="1" s="247">
      <c r="A26" s="296" t="n">
        <v>12</v>
      </c>
      <c r="B26" s="283" t="n"/>
      <c r="C26" s="163" t="inlineStr">
        <is>
          <t>91.05.06-012</t>
        </is>
      </c>
      <c r="D26" s="299" t="inlineStr">
        <is>
          <t>Краны на гусеничном ходу при работе на других видах строительства до 16 т</t>
        </is>
      </c>
      <c r="E26" s="296" t="inlineStr">
        <is>
          <t>маш.час</t>
        </is>
      </c>
      <c r="F26" s="163" t="n">
        <v>38.53</v>
      </c>
      <c r="G26" s="377" t="n">
        <v>96.89</v>
      </c>
      <c r="H26" s="377">
        <f>ROUND(F26*G26,2)</f>
        <v/>
      </c>
      <c r="I26" s="148" t="n"/>
      <c r="J26" s="188" t="n"/>
      <c r="L26" s="148" t="n"/>
    </row>
    <row r="27" ht="25.5" customHeight="1" s="247">
      <c r="A27" s="296" t="n">
        <v>14</v>
      </c>
      <c r="B27" s="283" t="n"/>
      <c r="C27" s="163" t="inlineStr">
        <is>
          <t>91.14.05-011</t>
        </is>
      </c>
      <c r="D27" s="299" t="inlineStr">
        <is>
          <t>Полуприцепы общего назначения, грузоподъемность 12 т</t>
        </is>
      </c>
      <c r="E27" s="296" t="inlineStr">
        <is>
          <t>маш.час</t>
        </is>
      </c>
      <c r="F27" s="163" t="n">
        <v>57.8</v>
      </c>
      <c r="G27" s="377" t="n">
        <v>12</v>
      </c>
      <c r="H27" s="377">
        <f>ROUND(F27*G27,2)</f>
        <v/>
      </c>
      <c r="I27" s="148" t="n"/>
      <c r="J27" s="188" t="n"/>
      <c r="L27" s="148" t="n"/>
    </row>
    <row r="28" ht="25.5" customHeight="1" s="247">
      <c r="A28" s="7" t="n">
        <v>15</v>
      </c>
      <c r="B28" s="283" t="n"/>
      <c r="C28" s="163" t="inlineStr">
        <is>
          <t>91.01.01-035</t>
        </is>
      </c>
      <c r="D28" s="299" t="inlineStr">
        <is>
          <t>Бульдозеры при работе на других видах строительства 79 кВт (108 л.с.)</t>
        </is>
      </c>
      <c r="E28" s="296" t="inlineStr">
        <is>
          <t>маш.час</t>
        </is>
      </c>
      <c r="F28" s="163" t="n">
        <v>1.5</v>
      </c>
      <c r="G28" s="377" t="n">
        <v>79.06999999999999</v>
      </c>
      <c r="H28" s="377">
        <f>ROUND(F28*G28,2)</f>
        <v/>
      </c>
      <c r="I28" s="148" t="n"/>
      <c r="J28" s="188" t="n"/>
      <c r="L28" s="148" t="n"/>
    </row>
    <row r="29">
      <c r="A29" s="296" t="n">
        <v>16</v>
      </c>
      <c r="B29" s="283" t="n"/>
      <c r="C29" s="163" t="inlineStr">
        <is>
          <t>91.14.03-001</t>
        </is>
      </c>
      <c r="D29" s="299" t="inlineStr">
        <is>
          <t>Автомобиль-самосвал, грузоподъемность до 7 т</t>
        </is>
      </c>
      <c r="E29" s="296" t="inlineStr">
        <is>
          <t>маш.час</t>
        </is>
      </c>
      <c r="F29" s="163" t="n">
        <v>0.03</v>
      </c>
      <c r="G29" s="377" t="n">
        <v>89.54000000000001</v>
      </c>
      <c r="H29" s="377">
        <f>ROUND(F29*G29,2)</f>
        <v/>
      </c>
      <c r="I29" s="148" t="n"/>
      <c r="J29" s="188" t="n"/>
      <c r="L29" s="148" t="n"/>
    </row>
    <row r="30" ht="15" customHeight="1" s="247">
      <c r="A30" s="289" t="inlineStr">
        <is>
          <t>Оборудование</t>
        </is>
      </c>
      <c r="B30" s="371" t="n"/>
      <c r="C30" s="371" t="n"/>
      <c r="D30" s="371" t="n"/>
      <c r="E30" s="372" t="n"/>
      <c r="F30" s="10" t="n"/>
      <c r="G30" s="376" t="n"/>
      <c r="H30" s="10" t="n">
        <v>0</v>
      </c>
      <c r="J30" s="68" t="n"/>
    </row>
    <row r="31">
      <c r="A31" s="282" t="inlineStr">
        <is>
          <t>Материалы</t>
        </is>
      </c>
      <c r="B31" s="371" t="n"/>
      <c r="C31" s="371" t="n"/>
      <c r="D31" s="371" t="n"/>
      <c r="E31" s="372" t="n"/>
      <c r="F31" s="145" t="n"/>
      <c r="G31" s="379" t="n"/>
      <c r="H31" s="376">
        <f>SUM(H32:H39)</f>
        <v/>
      </c>
      <c r="J31" s="132" t="n"/>
    </row>
    <row r="32" ht="25.5" customHeight="1" s="247">
      <c r="A32" s="7" t="n">
        <v>17</v>
      </c>
      <c r="B32" s="7" t="n"/>
      <c r="C32" s="296" t="inlineStr">
        <is>
          <t>05.1.05.16-0040</t>
        </is>
      </c>
      <c r="D32" s="299" t="inlineStr">
        <is>
          <t>Сваи железобетонные С35-1-12-1 (бетон B22,5, расход арматуры 185 кг)</t>
        </is>
      </c>
      <c r="E32" s="7" t="inlineStr">
        <is>
          <t>м3</t>
        </is>
      </c>
      <c r="F32" s="7" t="n">
        <v>1946</v>
      </c>
      <c r="G32" s="381" t="n">
        <v>5337.26</v>
      </c>
      <c r="H32" s="377">
        <f>G32*F32</f>
        <v/>
      </c>
      <c r="J32" s="188" t="n"/>
    </row>
    <row r="33">
      <c r="A33" s="179" t="n">
        <v>18</v>
      </c>
      <c r="B33" s="143" t="n"/>
      <c r="C33" s="186" t="inlineStr">
        <is>
          <t>01.4.01.10-0016</t>
        </is>
      </c>
      <c r="D33" s="170" t="inlineStr">
        <is>
          <t>Шнек диаметром 135 мм</t>
        </is>
      </c>
      <c r="E33" s="296" t="inlineStr">
        <is>
          <t>шт.</t>
        </is>
      </c>
      <c r="F33" s="163" t="n">
        <v>420.032</v>
      </c>
      <c r="G33" s="377" t="n">
        <v>597</v>
      </c>
      <c r="H33" s="377">
        <f>G33*F33</f>
        <v/>
      </c>
      <c r="J33" s="188" t="n"/>
    </row>
    <row r="34">
      <c r="A34" s="7" t="n">
        <v>19</v>
      </c>
      <c r="B34" s="143" t="n"/>
      <c r="C34" s="186" t="inlineStr">
        <is>
          <t>11.1.03.06-0002</t>
        </is>
      </c>
      <c r="D34" s="170" t="inlineStr">
        <is>
          <t>Доски дубовые II сорта</t>
        </is>
      </c>
      <c r="E34" s="296" t="inlineStr">
        <is>
          <t>м3</t>
        </is>
      </c>
      <c r="F34" s="163" t="n">
        <v>5.78</v>
      </c>
      <c r="G34" s="377" t="n">
        <v>1410</v>
      </c>
      <c r="H34" s="377">
        <f>G34*F34</f>
        <v/>
      </c>
      <c r="J34" s="188" t="n"/>
    </row>
    <row r="35">
      <c r="A35" s="179" t="n">
        <v>20</v>
      </c>
      <c r="B35" s="143" t="n"/>
      <c r="C35" s="186" t="inlineStr">
        <is>
          <t>01.4.01.06-0014</t>
        </is>
      </c>
      <c r="D35" s="170" t="inlineStr">
        <is>
          <t>Коронки буровые типа К-100В</t>
        </is>
      </c>
      <c r="E35" s="296" t="inlineStr">
        <is>
          <t>шт.</t>
        </is>
      </c>
      <c r="F35" s="163" t="n">
        <v>11.333</v>
      </c>
      <c r="G35" s="377" t="n">
        <v>176.51</v>
      </c>
      <c r="H35" s="377">
        <f>G35*F35</f>
        <v/>
      </c>
      <c r="J35" s="188" t="n"/>
    </row>
    <row r="36" ht="63.75" customHeight="1" s="247">
      <c r="A36" s="7" t="n">
        <v>21</v>
      </c>
      <c r="B36" s="143" t="n"/>
      <c r="C36" s="186" t="inlineStr">
        <is>
          <t>07.2.07.12-0003</t>
        </is>
      </c>
      <c r="D36" s="17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36" s="296" t="inlineStr">
        <is>
          <t>т</t>
        </is>
      </c>
      <c r="F36" s="163" t="n">
        <v>0.1156</v>
      </c>
      <c r="G36" s="377" t="n">
        <v>11255</v>
      </c>
      <c r="H36" s="377">
        <f>G36*F36</f>
        <v/>
      </c>
      <c r="J36" s="188" t="n"/>
    </row>
    <row r="37" ht="25.5" customHeight="1" s="247">
      <c r="A37" s="179" t="n">
        <v>22</v>
      </c>
      <c r="B37" s="143" t="n"/>
      <c r="C37" s="163" t="inlineStr">
        <is>
          <t>101-0388</t>
        </is>
      </c>
      <c r="D37" s="170" t="inlineStr">
        <is>
          <t>Краски масляные земляные марки МА-0115 мумия, сурик железный</t>
        </is>
      </c>
      <c r="E37" s="296" t="inlineStr">
        <is>
          <t>т</t>
        </is>
      </c>
      <c r="F37" s="163" t="n">
        <v>0.0385</v>
      </c>
      <c r="G37" s="377" t="n">
        <v>15119</v>
      </c>
      <c r="H37" s="377">
        <f>G37*F37</f>
        <v/>
      </c>
      <c r="J37" s="188" t="n"/>
    </row>
    <row r="38">
      <c r="A38" s="7" t="n">
        <v>23</v>
      </c>
      <c r="B38" s="143" t="n"/>
      <c r="C38" s="163" t="inlineStr">
        <is>
          <t>101-1805</t>
        </is>
      </c>
      <c r="D38" s="170" t="inlineStr">
        <is>
          <t>Гвозди строительные</t>
        </is>
      </c>
      <c r="E38" s="296" t="inlineStr">
        <is>
          <t>т</t>
        </is>
      </c>
      <c r="F38" s="163" t="n">
        <v>0.0385</v>
      </c>
      <c r="G38" s="377" t="n">
        <v>11978</v>
      </c>
      <c r="H38" s="377">
        <f>G38*F38</f>
        <v/>
      </c>
      <c r="J38" s="188" t="n"/>
    </row>
    <row r="39" ht="25.5" customHeight="1" s="247">
      <c r="A39" s="179" t="n">
        <v>24</v>
      </c>
      <c r="B39" s="143" t="n"/>
      <c r="C39" s="163" t="inlineStr">
        <is>
          <t>408-0015</t>
        </is>
      </c>
      <c r="D39" s="170" t="inlineStr">
        <is>
          <t>Щебень из природного камня для строительных работ марка 800, фракция 20-40 мм</t>
        </is>
      </c>
      <c r="E39" s="296" t="inlineStr">
        <is>
          <t>м3</t>
        </is>
      </c>
      <c r="F39" s="163" t="n">
        <v>0.0092</v>
      </c>
      <c r="G39" s="377" t="n">
        <v>108.4</v>
      </c>
      <c r="H39" s="377">
        <f>G39*F39</f>
        <v/>
      </c>
      <c r="J39" s="188" t="n"/>
      <c r="L39" s="148" t="n"/>
    </row>
    <row r="42">
      <c r="B42" s="245" t="inlineStr">
        <is>
          <t>Составил ______________________    Д.А. Самуйленко</t>
        </is>
      </c>
    </row>
    <row r="43">
      <c r="B43" s="132" t="inlineStr">
        <is>
          <t xml:space="preserve">                         (подпись, инициалы, фамилия)</t>
        </is>
      </c>
    </row>
    <row r="45">
      <c r="B45" s="245" t="inlineStr">
        <is>
          <t>Проверил ______________________        А.В. Костянецкая</t>
        </is>
      </c>
    </row>
    <row r="46">
      <c r="B46" s="132" t="inlineStr">
        <is>
          <t xml:space="preserve">                        (подпись, инициалы, фамилия)</t>
        </is>
      </c>
    </row>
  </sheetData>
  <mergeCells count="16">
    <mergeCell ref="A30:E30"/>
    <mergeCell ref="A3:H3"/>
    <mergeCell ref="A8:A9"/>
    <mergeCell ref="E8:E9"/>
    <mergeCell ref="C8:C9"/>
    <mergeCell ref="A16:E16"/>
    <mergeCell ref="F8:F9"/>
    <mergeCell ref="A2:H2"/>
    <mergeCell ref="A11:E11"/>
    <mergeCell ref="D8:D9"/>
    <mergeCell ref="B8:B9"/>
    <mergeCell ref="C4:H4"/>
    <mergeCell ref="A31:E31"/>
    <mergeCell ref="G8:H8"/>
    <mergeCell ref="A18:E18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28" workbookViewId="0">
      <selection activeCell="G35" sqref="G35:G38"/>
    </sheetView>
  </sheetViews>
  <sheetFormatPr baseColWidth="8" defaultRowHeight="14.4" outlineLevelRow="0"/>
  <cols>
    <col width="4.140625" customWidth="1" style="247" min="1" max="1"/>
    <col width="36.28515625" customWidth="1" style="247" min="2" max="2"/>
    <col width="18.85546875" customWidth="1" style="247" min="3" max="3"/>
    <col width="18.28515625" customWidth="1" style="247" min="4" max="4"/>
    <col width="18.85546875" customWidth="1" style="247" min="5" max="5"/>
    <col width="9.140625" customWidth="1" style="247" min="6" max="6"/>
    <col width="13.42578125" customWidth="1" style="247" min="7" max="7"/>
    <col width="9.140625" customWidth="1" style="247" min="8" max="8"/>
    <col width="9.140625" customWidth="1" style="247" min="9" max="9"/>
    <col width="9.140625" customWidth="1" style="247" min="10" max="10"/>
    <col width="9.140625" customWidth="1" style="247" min="11" max="11"/>
    <col width="13.5703125" customWidth="1" style="247" min="12" max="12"/>
    <col width="9.140625" customWidth="1" style="247" min="13" max="13"/>
  </cols>
  <sheetData>
    <row r="1">
      <c r="B1" s="211" t="n"/>
      <c r="C1" s="211" t="n"/>
      <c r="D1" s="211" t="n"/>
      <c r="E1" s="211" t="n"/>
    </row>
    <row r="2">
      <c r="B2" s="211" t="n"/>
      <c r="C2" s="211" t="n"/>
      <c r="D2" s="211" t="n"/>
      <c r="E2" s="314" t="inlineStr">
        <is>
          <t>Приложение № 4</t>
        </is>
      </c>
    </row>
    <row r="3">
      <c r="B3" s="211" t="n"/>
      <c r="C3" s="211" t="n"/>
      <c r="D3" s="211" t="n"/>
      <c r="E3" s="211" t="n"/>
    </row>
    <row r="4">
      <c r="B4" s="211" t="n"/>
      <c r="C4" s="211" t="n"/>
      <c r="D4" s="211" t="n"/>
      <c r="E4" s="211" t="n"/>
    </row>
    <row r="5">
      <c r="B5" s="320" t="inlineStr">
        <is>
          <t>Ресурсная модель</t>
        </is>
      </c>
    </row>
    <row r="6">
      <c r="B6" s="156" t="n"/>
      <c r="C6" s="211" t="n"/>
      <c r="D6" s="211" t="n"/>
      <c r="E6" s="211" t="n"/>
    </row>
    <row r="7" ht="55.5" customHeight="1" s="247">
      <c r="B7" s="291" t="inlineStr">
        <is>
          <t>Наименование разрабатываемого показателя УНЦ — Подготовка и устройство территории ПС (ЗПС) Республика Коми, Архангельская область, Ненецкий автономный округ</t>
        </is>
      </c>
    </row>
    <row r="8">
      <c r="B8" s="292" t="inlineStr">
        <is>
          <t>Единица измерения  — 1 м2</t>
        </is>
      </c>
    </row>
    <row r="9">
      <c r="B9" s="156" t="n"/>
      <c r="C9" s="211" t="n"/>
      <c r="D9" s="211" t="n"/>
      <c r="E9" s="211" t="n"/>
    </row>
    <row r="10" ht="51" customHeight="1" s="247">
      <c r="B10" s="296" t="inlineStr">
        <is>
          <t>Наименование</t>
        </is>
      </c>
      <c r="C10" s="296" t="inlineStr">
        <is>
          <t>Сметная стоимость в ценах на 01.01.2023
 (руб.)</t>
        </is>
      </c>
      <c r="D10" s="296" t="inlineStr">
        <is>
          <t>Удельный вес, 
(в СМР)</t>
        </is>
      </c>
      <c r="E10" s="296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0">
        <f>'Прил.5 Расчет СМР и ОБ'!J15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50">
        <f>'Прил.5 Расчет СМР и ОБ'!J23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50">
        <f>'Прил.5 Расчет СМР и ОБ'!J32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50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50">
        <f>'Прил.5 Расчет СМР и ОБ'!J17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50">
        <f>'Прил.5 Расчет СМР и ОБ'!J43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50">
        <f>'Прил.5 Расчет СМР и ОБ'!J51</f>
        <v/>
      </c>
      <c r="D17" s="151">
        <f>C17/$C$24</f>
        <v/>
      </c>
      <c r="E17" s="151">
        <f>C17/$C$40</f>
        <v/>
      </c>
      <c r="G17" s="382" t="n"/>
    </row>
    <row r="18">
      <c r="B18" s="99" t="inlineStr">
        <is>
          <t>МАТЕРИАЛЫ, ВСЕГО:</t>
        </is>
      </c>
      <c r="C18" s="150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50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50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ОБ'!D55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50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ОБ'!D54</f>
        <v/>
      </c>
      <c r="D23" s="151" t="n"/>
      <c r="E23" s="99" t="n"/>
    </row>
    <row r="24">
      <c r="B24" s="99" t="inlineStr">
        <is>
          <t>ВСЕГО СМР с НР и СП</t>
        </is>
      </c>
      <c r="C24" s="150">
        <f>C19+C20+C22</f>
        <v/>
      </c>
      <c r="D24" s="151">
        <f>C24/$C$24</f>
        <v/>
      </c>
      <c r="E24" s="151">
        <f>C24/$C$40</f>
        <v/>
      </c>
    </row>
    <row r="25" ht="25.5" customHeight="1" s="247">
      <c r="B25" s="99" t="inlineStr">
        <is>
          <t>ВСЕГО стоимость оборудования, в том числе</t>
        </is>
      </c>
      <c r="C25" s="150">
        <f>'Прил.5 Расчет СМР и ОБ'!J38</f>
        <v/>
      </c>
      <c r="D25" s="151" t="n"/>
      <c r="E25" s="151">
        <f>C25/$C$40</f>
        <v/>
      </c>
    </row>
    <row r="26" ht="25.5" customHeight="1" s="247">
      <c r="B26" s="99" t="inlineStr">
        <is>
          <t>стоимость оборудования технологического</t>
        </is>
      </c>
      <c r="C26" s="150">
        <f>'Прил.5 Расчет СМР и ОБ'!J39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  <c r="G27" s="152" t="n"/>
    </row>
    <row r="28" ht="33" customHeight="1" s="247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47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47">
      <c r="B30" s="99" t="inlineStr">
        <is>
          <t>Дополнительные затраты при производстве строительно-монтажных работ в зимнее время - 4,3%*1,2</t>
        </is>
      </c>
      <c r="C30" s="153">
        <f>ROUND((C24+C29)*4.3%*1.2,2)</f>
        <v/>
      </c>
      <c r="D30" s="99" t="n"/>
      <c r="E30" s="151">
        <f>C30/$C$40</f>
        <v/>
      </c>
    </row>
    <row r="31">
      <c r="B31" s="99" t="inlineStr">
        <is>
          <t>Пусконаладочные работы</t>
        </is>
      </c>
      <c r="C31" s="153" t="n">
        <v>0</v>
      </c>
      <c r="D31" s="99" t="n"/>
      <c r="E31" s="151">
        <f>C31/$C$40</f>
        <v/>
      </c>
    </row>
    <row r="32" ht="25.5" customHeight="1" s="247">
      <c r="B32" s="99" t="inlineStr">
        <is>
          <t>Затраты по перевозке работников к месту работы и обратно</t>
        </is>
      </c>
      <c r="C32" s="153" t="n">
        <v>0</v>
      </c>
      <c r="D32" s="99" t="n"/>
      <c r="E32" s="151">
        <f>C32/$C$40</f>
        <v/>
      </c>
    </row>
    <row r="33" ht="25.5" customHeight="1" s="247">
      <c r="B33" s="99" t="inlineStr">
        <is>
          <t>Затраты, связанные с осуществлением работ вахтовым методом</t>
        </is>
      </c>
      <c r="C33" s="153">
        <f>ROUND(C27*0%,2)</f>
        <v/>
      </c>
      <c r="D33" s="99" t="n"/>
      <c r="E33" s="151">
        <f>C33/$C$40</f>
        <v/>
      </c>
    </row>
    <row r="34" ht="51" customHeight="1" s="247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 t="n">
        <v>0</v>
      </c>
      <c r="D34" s="99" t="n"/>
      <c r="E34" s="151">
        <f>C34/$C$40</f>
        <v/>
      </c>
    </row>
    <row r="35" ht="76.5" customHeight="1" s="247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ROUND(C27*0%,2)</f>
        <v/>
      </c>
      <c r="D35" s="99" t="n"/>
      <c r="E35" s="151">
        <f>C35/$C$40</f>
        <v/>
      </c>
    </row>
    <row r="36" ht="25.5" customHeight="1" s="247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L37" s="152" t="n"/>
    </row>
    <row r="38" ht="38.25" customHeight="1" s="247">
      <c r="B38" s="99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99" t="n"/>
      <c r="E38" s="151">
        <f>C38/$C$40</f>
        <v/>
      </c>
    </row>
    <row r="39" ht="13.5" customHeight="1" s="247">
      <c r="B39" s="99" t="inlineStr">
        <is>
          <t>Непредвиденные расходы</t>
        </is>
      </c>
      <c r="C39" s="150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50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50">
        <f>C40/'Прил.5 Расчет СМР и ОБ'!E58</f>
        <v/>
      </c>
      <c r="D41" s="99" t="n"/>
      <c r="E41" s="99" t="n"/>
    </row>
    <row r="42">
      <c r="B42" s="149" t="n"/>
      <c r="C42" s="211" t="n"/>
      <c r="D42" s="211" t="n"/>
      <c r="E42" s="211" t="n"/>
    </row>
    <row r="43">
      <c r="B43" s="149" t="inlineStr">
        <is>
          <t>Составил ____________________________  Д.А. Самуйленко</t>
        </is>
      </c>
      <c r="C43" s="211" t="n"/>
      <c r="D43" s="211" t="n"/>
      <c r="E43" s="211" t="n"/>
    </row>
    <row r="44">
      <c r="B44" s="149" t="inlineStr">
        <is>
          <t xml:space="preserve">(должность, подпись, инициалы, фамилия) </t>
        </is>
      </c>
      <c r="C44" s="211" t="n"/>
      <c r="D44" s="211" t="n"/>
      <c r="E44" s="211" t="n"/>
    </row>
    <row r="45">
      <c r="B45" s="149" t="n"/>
      <c r="C45" s="211" t="n"/>
      <c r="D45" s="211" t="n"/>
      <c r="E45" s="211" t="n"/>
    </row>
    <row r="46">
      <c r="B46" s="149" t="inlineStr">
        <is>
          <t>Проверил ____________________________ А.В. Костянецкая</t>
        </is>
      </c>
      <c r="C46" s="211" t="n"/>
      <c r="D46" s="211" t="n"/>
      <c r="E46" s="211" t="n"/>
    </row>
    <row r="47">
      <c r="B47" s="292" t="inlineStr">
        <is>
          <t>(должность, подпись, инициалы, фамилия)</t>
        </is>
      </c>
      <c r="D47" s="211" t="n"/>
      <c r="E47" s="211" t="n"/>
    </row>
    <row r="49">
      <c r="B49" s="211" t="n"/>
      <c r="C49" s="211" t="n"/>
      <c r="D49" s="211" t="n"/>
      <c r="E49" s="211" t="n"/>
    </row>
    <row r="50">
      <c r="B50" s="211" t="n"/>
      <c r="C50" s="211" t="n"/>
      <c r="D50" s="211" t="n"/>
      <c r="E50" s="211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showGridLines="1" showRowColHeaders="1" tabSelected="0" view="pageBreakPreview" zoomScale="85" workbookViewId="0">
      <selection activeCell="A7" sqref="A7:H7"/>
    </sheetView>
  </sheetViews>
  <sheetFormatPr baseColWidth="8" defaultColWidth="9.140625" defaultRowHeight="14.4" outlineLevelRow="2"/>
  <cols>
    <col width="5.7109375" customWidth="1" style="222" min="1" max="1"/>
    <col width="22.5703125" customWidth="1" style="222" min="2" max="2"/>
    <col width="39.28515625" customWidth="1" style="222" min="3" max="3"/>
    <col width="13.5703125" customWidth="1" style="222" min="4" max="4"/>
    <col width="12.7109375" customWidth="1" style="222" min="5" max="5"/>
    <col width="14.5703125" customWidth="1" style="222" min="6" max="6"/>
    <col width="13.42578125" customWidth="1" style="222" min="7" max="7"/>
    <col width="12.7109375" customWidth="1" style="222" min="8" max="8"/>
    <col width="13.85546875" customWidth="1" style="222" min="9" max="9"/>
    <col width="17.5703125" customWidth="1" style="222" min="10" max="10"/>
    <col width="10.85546875" customWidth="1" style="222" min="11" max="11"/>
    <col width="13.85546875" customWidth="1" style="222" min="12" max="12"/>
  </cols>
  <sheetData>
    <row r="1">
      <c r="M1" s="222" t="n"/>
      <c r="N1" s="222" t="n"/>
    </row>
    <row r="2" ht="15.75" customHeight="1" s="247">
      <c r="H2" s="293" t="inlineStr">
        <is>
          <t>Приложение №5</t>
        </is>
      </c>
      <c r="M2" s="222" t="n"/>
      <c r="N2" s="222" t="n"/>
    </row>
    <row r="3">
      <c r="M3" s="222" t="n"/>
      <c r="N3" s="222" t="n"/>
    </row>
    <row r="4" ht="12.75" customFormat="1" customHeight="1" s="211">
      <c r="A4" s="320" t="inlineStr">
        <is>
          <t>Расчет стоимости СМР и оборудования</t>
        </is>
      </c>
    </row>
    <row r="5" ht="12.75" customFormat="1" customHeight="1" s="211">
      <c r="A5" s="320" t="n"/>
      <c r="B5" s="320" t="n"/>
      <c r="C5" s="326" t="n"/>
      <c r="D5" s="320" t="n"/>
      <c r="E5" s="320" t="n"/>
      <c r="F5" s="320" t="n"/>
      <c r="G5" s="320" t="n"/>
      <c r="H5" s="320" t="n"/>
      <c r="I5" s="320" t="n"/>
      <c r="J5" s="320" t="n"/>
    </row>
    <row r="6" ht="37.5" customFormat="1" customHeight="1" s="211">
      <c r="A6" s="129" t="inlineStr">
        <is>
          <t>Наименование разрабатываемого показателя УНЦ</t>
        </is>
      </c>
      <c r="B6" s="128" t="n"/>
      <c r="C6" s="128" t="n"/>
      <c r="D6" s="321" t="inlineStr">
        <is>
          <t>Подготовка и устройство территории ПС (ЗПС) Республика Коми, Архангельская область, Ненецкий автономный округ</t>
        </is>
      </c>
    </row>
    <row r="7" ht="12.75" customFormat="1" customHeight="1" s="211">
      <c r="A7" s="321" t="inlineStr">
        <is>
          <t>Единица измерения  — 1 м2</t>
        </is>
      </c>
      <c r="I7" s="291" t="n"/>
      <c r="J7" s="291" t="n"/>
    </row>
    <row r="8" ht="13.5" customFormat="1" customHeight="1" s="211">
      <c r="A8" s="321" t="n"/>
    </row>
    <row r="9" ht="13.15" customFormat="1" customHeight="1" s="211"/>
    <row r="10" ht="27" customHeight="1" s="247">
      <c r="A10" s="296" t="inlineStr">
        <is>
          <t>№ пп.</t>
        </is>
      </c>
      <c r="B10" s="296" t="inlineStr">
        <is>
          <t>Код ресурса</t>
        </is>
      </c>
      <c r="C10" s="296" t="inlineStr">
        <is>
          <t>Наименование</t>
        </is>
      </c>
      <c r="D10" s="296" t="inlineStr">
        <is>
          <t>Ед. изм.</t>
        </is>
      </c>
      <c r="E10" s="296" t="inlineStr">
        <is>
          <t>Кол-во единиц по проектным данным</t>
        </is>
      </c>
      <c r="F10" s="296" t="inlineStr">
        <is>
          <t>Сметная стоимость в ценах на 01.01.2000 (руб.)</t>
        </is>
      </c>
      <c r="G10" s="372" t="n"/>
      <c r="H10" s="296" t="inlineStr">
        <is>
          <t>Удельный вес, %</t>
        </is>
      </c>
      <c r="I10" s="296" t="inlineStr">
        <is>
          <t>Сметная стоимость в ценах на 01.01.2023 (руб.)</t>
        </is>
      </c>
      <c r="J10" s="372" t="n"/>
      <c r="M10" s="222" t="n"/>
      <c r="N10" s="222" t="n"/>
    </row>
    <row r="11" ht="28.5" customHeight="1" s="247">
      <c r="A11" s="374" t="n"/>
      <c r="B11" s="374" t="n"/>
      <c r="C11" s="374" t="n"/>
      <c r="D11" s="374" t="n"/>
      <c r="E11" s="374" t="n"/>
      <c r="F11" s="296" t="inlineStr">
        <is>
          <t>на ед. изм.</t>
        </is>
      </c>
      <c r="G11" s="296" t="inlineStr">
        <is>
          <t>общая</t>
        </is>
      </c>
      <c r="H11" s="374" t="n"/>
      <c r="I11" s="296" t="inlineStr">
        <is>
          <t>на ед. изм.</t>
        </is>
      </c>
      <c r="J11" s="296" t="inlineStr">
        <is>
          <t>общая</t>
        </is>
      </c>
      <c r="M11" s="222" t="n"/>
      <c r="N11" s="222" t="n"/>
    </row>
    <row r="12">
      <c r="A12" s="296" t="n">
        <v>1</v>
      </c>
      <c r="B12" s="296" t="n">
        <v>2</v>
      </c>
      <c r="C12" s="296" t="n">
        <v>3</v>
      </c>
      <c r="D12" s="296" t="n">
        <v>4</v>
      </c>
      <c r="E12" s="296" t="n">
        <v>5</v>
      </c>
      <c r="F12" s="296" t="n">
        <v>6</v>
      </c>
      <c r="G12" s="296" t="n">
        <v>7</v>
      </c>
      <c r="H12" s="296" t="n">
        <v>8</v>
      </c>
      <c r="I12" s="297" t="n">
        <v>9</v>
      </c>
      <c r="J12" s="297" t="n">
        <v>10</v>
      </c>
      <c r="M12" s="222" t="n"/>
      <c r="N12" s="222" t="n"/>
    </row>
    <row r="13">
      <c r="A13" s="296" t="n"/>
      <c r="B13" s="303" t="inlineStr">
        <is>
          <t>Затраты труда рабочих-строителей</t>
        </is>
      </c>
      <c r="C13" s="371" t="n"/>
      <c r="D13" s="371" t="n"/>
      <c r="E13" s="371" t="n"/>
      <c r="F13" s="371" t="n"/>
      <c r="G13" s="371" t="n"/>
      <c r="H13" s="372" t="n"/>
      <c r="I13" s="120" t="n"/>
      <c r="J13" s="120" t="n"/>
    </row>
    <row r="14" ht="25.5" customHeight="1" s="247">
      <c r="A14" s="296" t="n">
        <v>1</v>
      </c>
      <c r="B14" s="163" t="inlineStr">
        <is>
          <t>1-3-9</t>
        </is>
      </c>
      <c r="C14" s="299" t="inlineStr">
        <is>
          <t>Затраты труда рабочих (средний разряд работы 3,9)</t>
        </is>
      </c>
      <c r="D14" s="296" t="inlineStr">
        <is>
          <t>чел.-ч</t>
        </is>
      </c>
      <c r="E14" s="300">
        <f>G14/F14</f>
        <v/>
      </c>
      <c r="F14" s="300" t="n">
        <v>9.51</v>
      </c>
      <c r="G14" s="377" t="n">
        <v>98262.32000000001</v>
      </c>
      <c r="H14" s="302">
        <f>G14/G15</f>
        <v/>
      </c>
      <c r="I14" s="26">
        <f>'ФОТр.тек.'!E13</f>
        <v/>
      </c>
      <c r="J14" s="26">
        <f>ROUND(I14*E14,2)</f>
        <v/>
      </c>
    </row>
    <row r="15" ht="25.5" customFormat="1" customHeight="1" s="222">
      <c r="A15" s="296" t="n"/>
      <c r="B15" s="296" t="n"/>
      <c r="C15" s="303" t="inlineStr">
        <is>
          <t>Итого по разделу "Затраты труда рабочих-строителей"</t>
        </is>
      </c>
      <c r="D15" s="296" t="inlineStr">
        <is>
          <t>чел.-ч.</t>
        </is>
      </c>
      <c r="E15" s="300">
        <f>SUM(E14)</f>
        <v/>
      </c>
      <c r="F15" s="301" t="n"/>
      <c r="G15" s="377">
        <f>SUM(G14)</f>
        <v/>
      </c>
      <c r="H15" s="304" t="n">
        <v>1</v>
      </c>
      <c r="I15" s="189" t="n"/>
      <c r="J15" s="26">
        <f>SUM(J14)</f>
        <v/>
      </c>
    </row>
    <row r="16" ht="14.25" customFormat="1" customHeight="1" s="222">
      <c r="A16" s="296" t="n"/>
      <c r="B16" s="299" t="inlineStr">
        <is>
          <t>Затраты труда машинистов</t>
        </is>
      </c>
      <c r="C16" s="371" t="n"/>
      <c r="D16" s="371" t="n"/>
      <c r="E16" s="371" t="n"/>
      <c r="F16" s="371" t="n"/>
      <c r="G16" s="371" t="n"/>
      <c r="H16" s="372" t="n"/>
      <c r="I16" s="120" t="n"/>
      <c r="J16" s="120" t="n"/>
    </row>
    <row r="17" ht="14.25" customFormat="1" customHeight="1" s="222">
      <c r="A17" s="296" t="n">
        <v>2</v>
      </c>
      <c r="B17" s="296" t="n">
        <v>2</v>
      </c>
      <c r="C17" s="299" t="inlineStr">
        <is>
          <t>Затраты труда машинистов</t>
        </is>
      </c>
      <c r="D17" s="296" t="inlineStr">
        <is>
          <t>чел.-ч.</t>
        </is>
      </c>
      <c r="E17" s="296" t="n">
        <v>5137.49</v>
      </c>
      <c r="F17" s="203">
        <f>G17/E17</f>
        <v/>
      </c>
      <c r="G17" s="377" t="n">
        <v>75602.00999999999</v>
      </c>
      <c r="H17" s="304" t="n">
        <v>1</v>
      </c>
      <c r="I17" s="26">
        <f>ROUND(F17*'Прил. 10'!$D$11,2)</f>
        <v/>
      </c>
      <c r="J17" s="26">
        <f>ROUND(I17*E17,2)</f>
        <v/>
      </c>
      <c r="K17" s="193" t="n"/>
      <c r="L17" s="194" t="n"/>
    </row>
    <row r="18" ht="14.25" customFormat="1" customHeight="1" s="222">
      <c r="A18" s="296" t="n"/>
      <c r="B18" s="303" t="inlineStr">
        <is>
          <t>Машины и механизмы</t>
        </is>
      </c>
      <c r="C18" s="371" t="n"/>
      <c r="D18" s="371" t="n"/>
      <c r="E18" s="371" t="n"/>
      <c r="F18" s="371" t="n"/>
      <c r="G18" s="371" t="n"/>
      <c r="H18" s="372" t="n"/>
      <c r="I18" s="120" t="n"/>
      <c r="J18" s="120" t="n"/>
    </row>
    <row r="19" ht="14.25" customFormat="1" customHeight="1" s="222">
      <c r="A19" s="297" t="n"/>
      <c r="B19" s="305" t="inlineStr">
        <is>
          <t>Основные машины и механизмы</t>
        </is>
      </c>
      <c r="C19" s="383" t="n"/>
      <c r="D19" s="383" t="n"/>
      <c r="E19" s="383" t="n"/>
      <c r="F19" s="383" t="n"/>
      <c r="G19" s="383" t="n"/>
      <c r="H19" s="384" t="n"/>
      <c r="I19" s="174" t="n"/>
      <c r="J19" s="174" t="n"/>
    </row>
    <row r="20" ht="25.5" customFormat="1" customHeight="1" s="222">
      <c r="A20" s="296" t="n">
        <v>3</v>
      </c>
      <c r="B20" s="163" t="inlineStr">
        <is>
          <t>91.02.02-003</t>
        </is>
      </c>
      <c r="C20" s="299" t="inlineStr">
        <is>
          <t>Агрегаты копровые без дизель-молота на базе экскаватора с емкостью ковша 1 м3</t>
        </is>
      </c>
      <c r="D20" s="296" t="inlineStr">
        <is>
          <t>маш.час</t>
        </is>
      </c>
      <c r="E20" s="300" t="n">
        <v>1965.25</v>
      </c>
      <c r="F20" s="300" t="n">
        <v>200.67</v>
      </c>
      <c r="G20" s="377">
        <f>ROUND(E20*F20,2)</f>
        <v/>
      </c>
      <c r="H20" s="302">
        <f>G20/$G$33</f>
        <v/>
      </c>
      <c r="I20" s="26">
        <f>ROUND(F20*'Прил. 10'!$D$12,2)</f>
        <v/>
      </c>
      <c r="J20" s="26">
        <f>ROUND(I20*E20,2)</f>
        <v/>
      </c>
    </row>
    <row r="21" ht="51" customFormat="1" customHeight="1" s="222">
      <c r="A21" s="296" t="n">
        <v>4</v>
      </c>
      <c r="B21" s="163" t="inlineStr">
        <is>
          <t>91.04.01-021</t>
        </is>
      </c>
      <c r="C21" s="299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296" t="inlineStr">
        <is>
          <t>маш.час</t>
        </is>
      </c>
      <c r="E21" s="300" t="n">
        <v>2441.56</v>
      </c>
      <c r="F21" s="300" t="n">
        <v>87.59999999999999</v>
      </c>
      <c r="G21" s="377">
        <f>ROUND(E21*F21,2)</f>
        <v/>
      </c>
      <c r="H21" s="302">
        <f>G21/$G$33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222">
      <c r="A22" s="296" t="n">
        <v>5</v>
      </c>
      <c r="B22" s="163" t="inlineStr">
        <is>
          <t>91.02.03-024</t>
        </is>
      </c>
      <c r="C22" s="299" t="inlineStr">
        <is>
          <t>Дизель-молоты 2,5 т</t>
        </is>
      </c>
      <c r="D22" s="296" t="inlineStr">
        <is>
          <t>маш.час</t>
        </is>
      </c>
      <c r="E22" s="300" t="n">
        <v>1965.25</v>
      </c>
      <c r="F22" s="300" t="n">
        <v>70.67</v>
      </c>
      <c r="G22" s="377">
        <f>ROUND(E22*F22,2)</f>
        <v/>
      </c>
      <c r="H22" s="302">
        <f>G22/$G$33</f>
        <v/>
      </c>
      <c r="I22" s="26">
        <f>ROUND(F22*'Прил. 10'!$D$12,2)</f>
        <v/>
      </c>
      <c r="J22" s="26">
        <f>ROUND(I22*E22,2)</f>
        <v/>
      </c>
    </row>
    <row r="23" ht="14.25" customFormat="1" customHeight="1" s="222">
      <c r="A23" s="296" t="n"/>
      <c r="B23" s="163" t="n"/>
      <c r="C23" s="170" t="inlineStr">
        <is>
          <t>Итого основные машины и механизмы</t>
        </is>
      </c>
      <c r="D23" s="296" t="n"/>
      <c r="E23" s="300" t="n"/>
      <c r="F23" s="301" t="n"/>
      <c r="G23" s="377">
        <f>SUM(G20:G22)</f>
        <v/>
      </c>
      <c r="H23" s="302">
        <f>G23/G33</f>
        <v/>
      </c>
      <c r="I23" s="26" t="n"/>
      <c r="J23" s="26">
        <f>SUM(J20:J22)</f>
        <v/>
      </c>
    </row>
    <row r="24" outlineLevel="1" ht="25.5" customFormat="1" customHeight="1" s="222">
      <c r="A24" s="296" t="n">
        <v>6</v>
      </c>
      <c r="B24" s="163" t="inlineStr">
        <is>
          <t>91.10.05-001</t>
        </is>
      </c>
      <c r="C24" s="299" t="inlineStr">
        <is>
          <t>Трубоукладчики для труб диаметром 800-1000 мм грузоподъемностью 35 т</t>
        </is>
      </c>
      <c r="D24" s="296" t="inlineStr">
        <is>
          <t>маш.час</t>
        </is>
      </c>
      <c r="E24" s="300" t="n">
        <v>520.21</v>
      </c>
      <c r="F24" s="300" t="n">
        <v>175.35</v>
      </c>
      <c r="G24" s="377">
        <f>ROUND(E24*F24,2)</f>
        <v/>
      </c>
      <c r="H24" s="302">
        <f>G24/$G$33</f>
        <v/>
      </c>
      <c r="I24" s="26">
        <f>ROUND(F24*'Прил. 10'!$D$12,2)</f>
        <v/>
      </c>
      <c r="J24" s="26">
        <f>ROUND(I24*E24,2)</f>
        <v/>
      </c>
    </row>
    <row r="25" outlineLevel="1" ht="25.5" customFormat="1" customHeight="1" s="222">
      <c r="A25" s="296" t="n">
        <v>10</v>
      </c>
      <c r="B25" s="7" t="inlineStr">
        <is>
          <t>91.14.03-002</t>
        </is>
      </c>
      <c r="C25" s="299" t="inlineStr">
        <is>
          <t>Автомобили-самосвалы, грузоподъемность до 10 т</t>
        </is>
      </c>
      <c r="D25" s="296" t="inlineStr">
        <is>
          <t>маш.час</t>
        </is>
      </c>
      <c r="E25" s="207" t="n">
        <v>170.43</v>
      </c>
      <c r="F25" s="207" t="n">
        <v>87.48999999999999</v>
      </c>
      <c r="G25" s="377">
        <f>ROUND(E25*F25,2)</f>
        <v/>
      </c>
      <c r="H25" s="302">
        <f>G25/$G$33</f>
        <v/>
      </c>
      <c r="I25" s="26">
        <f>ROUND(F25*'Прил. 10'!$D$12,2)</f>
        <v/>
      </c>
      <c r="J25" s="26">
        <f>ROUND(I25*E25,2)</f>
        <v/>
      </c>
    </row>
    <row r="26" outlineLevel="1" ht="14.25" customFormat="1" customHeight="1" s="222">
      <c r="A26" s="296" t="n">
        <v>7</v>
      </c>
      <c r="B26" s="163" t="inlineStr">
        <is>
          <t>91.14.04-001</t>
        </is>
      </c>
      <c r="C26" s="299" t="inlineStr">
        <is>
          <t>Тягачи седельные, грузоподъемность 12 т</t>
        </is>
      </c>
      <c r="D26" s="296" t="inlineStr">
        <is>
          <t>маш.час</t>
        </is>
      </c>
      <c r="E26" s="300" t="n">
        <v>57.8</v>
      </c>
      <c r="F26" s="300" t="n">
        <v>102.84</v>
      </c>
      <c r="G26" s="377">
        <f>ROUND(E26*F26,2)</f>
        <v/>
      </c>
      <c r="H26" s="302">
        <f>G26/$G$33</f>
        <v/>
      </c>
      <c r="I26" s="26">
        <f>ROUND(F26*'Прил. 10'!$D$12,2)</f>
        <v/>
      </c>
      <c r="J26" s="26">
        <f>ROUND(I26*E26,2)</f>
        <v/>
      </c>
    </row>
    <row r="27" outlineLevel="1" ht="25.5" customFormat="1" customHeight="1" s="222">
      <c r="A27" s="296" t="n">
        <v>8</v>
      </c>
      <c r="B27" s="163" t="inlineStr">
        <is>
          <t>91.14.02-001</t>
        </is>
      </c>
      <c r="C27" s="299" t="inlineStr">
        <is>
          <t>Автомобили бортовые, грузоподъемность до 5 т</t>
        </is>
      </c>
      <c r="D27" s="296" t="inlineStr">
        <is>
          <t>маш.час</t>
        </is>
      </c>
      <c r="E27" s="300" t="n">
        <v>70.31</v>
      </c>
      <c r="F27" s="300" t="n">
        <v>65.70999999999999</v>
      </c>
      <c r="G27" s="377">
        <f>ROUND(E27*F27,2)</f>
        <v/>
      </c>
      <c r="H27" s="302">
        <f>G27/$G$33</f>
        <v/>
      </c>
      <c r="I27" s="26">
        <f>ROUND(F27*'Прил. 10'!$D$12,2)</f>
        <v/>
      </c>
      <c r="J27" s="26">
        <f>ROUND(I27*E27,2)</f>
        <v/>
      </c>
    </row>
    <row r="28" outlineLevel="1" ht="25.5" customFormat="1" customHeight="1" s="222">
      <c r="A28" s="296" t="n">
        <v>9</v>
      </c>
      <c r="B28" s="163" t="inlineStr">
        <is>
          <t>91.05.06-012</t>
        </is>
      </c>
      <c r="C28" s="299" t="inlineStr">
        <is>
          <t>Краны на гусеничном ходу при работе на других видах строительства до 16 т</t>
        </is>
      </c>
      <c r="D28" s="296" t="inlineStr">
        <is>
          <t>маш.час</t>
        </is>
      </c>
      <c r="E28" s="300" t="n">
        <v>38.53</v>
      </c>
      <c r="F28" s="300" t="n">
        <v>96.89</v>
      </c>
      <c r="G28" s="377">
        <f>ROUND(E28*F28,2)</f>
        <v/>
      </c>
      <c r="H28" s="302">
        <f>G28/$G$33</f>
        <v/>
      </c>
      <c r="I28" s="26">
        <f>ROUND(F28*'Прил. 10'!$D$12,2)</f>
        <v/>
      </c>
      <c r="J28" s="26">
        <f>ROUND(I28*E28,2)</f>
        <v/>
      </c>
    </row>
    <row r="29" outlineLevel="1" ht="25.5" customFormat="1" customHeight="1" s="222">
      <c r="A29" s="296" t="n">
        <v>11</v>
      </c>
      <c r="B29" s="163" t="inlineStr">
        <is>
          <t>91.14.05-011</t>
        </is>
      </c>
      <c r="C29" s="299" t="inlineStr">
        <is>
          <t>Полуприцепы общего назначения, грузоподъемность 12 т</t>
        </is>
      </c>
      <c r="D29" s="296" t="inlineStr">
        <is>
          <t>маш.час</t>
        </is>
      </c>
      <c r="E29" s="300" t="n">
        <v>57.8</v>
      </c>
      <c r="F29" s="300" t="n">
        <v>12</v>
      </c>
      <c r="G29" s="377">
        <f>ROUND(E29*F29,2)</f>
        <v/>
      </c>
      <c r="H29" s="302">
        <f>G29/$G$33</f>
        <v/>
      </c>
      <c r="I29" s="26">
        <f>ROUND(F29*'Прил. 10'!$D$12,2)</f>
        <v/>
      </c>
      <c r="J29" s="26">
        <f>ROUND(I29*E29,2)</f>
        <v/>
      </c>
    </row>
    <row r="30" outlineLevel="1" ht="25.5" customFormat="1" customHeight="1" s="222">
      <c r="A30" s="296" t="n">
        <v>12</v>
      </c>
      <c r="B30" s="163" t="inlineStr">
        <is>
          <t>91.01.01-035</t>
        </is>
      </c>
      <c r="C30" s="299" t="inlineStr">
        <is>
          <t>Бульдозеры при работе на других видах строительства 79 кВт (108 л.с.)</t>
        </is>
      </c>
      <c r="D30" s="296" t="inlineStr">
        <is>
          <t>маш.час</t>
        </is>
      </c>
      <c r="E30" s="300" t="n">
        <v>1.5</v>
      </c>
      <c r="F30" s="300" t="n">
        <v>79.06999999999999</v>
      </c>
      <c r="G30" s="377">
        <f>ROUND(E30*F30,2)</f>
        <v/>
      </c>
      <c r="H30" s="302">
        <f>G30/$G$33</f>
        <v/>
      </c>
      <c r="I30" s="26">
        <f>ROUND(F30*'Прил. 10'!$D$12,2)</f>
        <v/>
      </c>
      <c r="J30" s="26">
        <f>ROUND(I30*E30,2)</f>
        <v/>
      </c>
    </row>
    <row r="31" outlineLevel="1" ht="25.5" customFormat="1" customHeight="1" s="222">
      <c r="A31" s="296" t="n">
        <v>13</v>
      </c>
      <c r="B31" s="163" t="inlineStr">
        <is>
          <t>91.14.03-001</t>
        </is>
      </c>
      <c r="C31" s="299" t="inlineStr">
        <is>
          <t>Автомобиль-самосвал, грузоподъемность до 7 т</t>
        </is>
      </c>
      <c r="D31" s="296" t="inlineStr">
        <is>
          <t>маш.час</t>
        </is>
      </c>
      <c r="E31" s="300" t="n">
        <v>0.03</v>
      </c>
      <c r="F31" s="300" t="n">
        <v>89.54000000000001</v>
      </c>
      <c r="G31" s="377">
        <f>ROUND(E31*F31,2)</f>
        <v/>
      </c>
      <c r="H31" s="302">
        <f>G31/$G$33</f>
        <v/>
      </c>
      <c r="I31" s="26">
        <f>ROUND(F31*'Прил. 10'!$D$12,2)</f>
        <v/>
      </c>
      <c r="J31" s="26">
        <f>ROUND(I31*E31,2)</f>
        <v/>
      </c>
    </row>
    <row r="32" ht="14.25" customFormat="1" customHeight="1" s="222">
      <c r="A32" s="296" t="n"/>
      <c r="B32" s="296" t="n"/>
      <c r="C32" s="299" t="inlineStr">
        <is>
          <t>Итого прочие машины и механизмы</t>
        </is>
      </c>
      <c r="D32" s="296" t="n"/>
      <c r="E32" s="300" t="n"/>
      <c r="F32" s="26" t="n"/>
      <c r="G32" s="377">
        <f>SUM(G24:G31)</f>
        <v/>
      </c>
      <c r="H32" s="302">
        <f>G32/G33</f>
        <v/>
      </c>
      <c r="I32" s="26" t="n"/>
      <c r="J32" s="26">
        <f>SUM(J24:J31)</f>
        <v/>
      </c>
    </row>
    <row r="33" ht="25.5" customFormat="1" customHeight="1" s="222">
      <c r="A33" s="296" t="n"/>
      <c r="B33" s="298" t="n"/>
      <c r="C33" s="176" t="inlineStr">
        <is>
          <t>Итого по разделу «Машины и механизмы»</t>
        </is>
      </c>
      <c r="D33" s="298" t="n"/>
      <c r="E33" s="177" t="n"/>
      <c r="F33" s="178" t="n"/>
      <c r="G33" s="385">
        <f>G23+G32</f>
        <v/>
      </c>
      <c r="H33" s="122">
        <f>H23+H32</f>
        <v/>
      </c>
      <c r="I33" s="123" t="n"/>
      <c r="J33" s="178">
        <f>J23+J32</f>
        <v/>
      </c>
    </row>
    <row r="34" ht="14.25" customFormat="1" customHeight="1" s="222">
      <c r="A34" s="296" t="n"/>
      <c r="B34" s="303" t="inlineStr">
        <is>
          <t>Оборудование</t>
        </is>
      </c>
      <c r="C34" s="371" t="n"/>
      <c r="D34" s="371" t="n"/>
      <c r="E34" s="371" t="n"/>
      <c r="F34" s="371" t="n"/>
      <c r="G34" s="371" t="n"/>
      <c r="H34" s="372" t="n"/>
      <c r="I34" s="120" t="n"/>
      <c r="J34" s="120" t="n"/>
    </row>
    <row r="35">
      <c r="A35" s="296" t="n"/>
      <c r="B35" s="299" t="inlineStr">
        <is>
          <t>Основное оборудование</t>
        </is>
      </c>
      <c r="C35" s="371" t="n"/>
      <c r="D35" s="371" t="n"/>
      <c r="E35" s="371" t="n"/>
      <c r="F35" s="371" t="n"/>
      <c r="G35" s="371" t="n"/>
      <c r="H35" s="372" t="n"/>
      <c r="I35" s="120" t="n"/>
      <c r="J35" s="120" t="n"/>
    </row>
    <row r="36">
      <c r="A36" s="296" t="n"/>
      <c r="B36" s="296" t="n"/>
      <c r="C36" s="299" t="inlineStr">
        <is>
          <t>Итого основное оборудование</t>
        </is>
      </c>
      <c r="D36" s="296" t="n"/>
      <c r="E36" s="386" t="n"/>
      <c r="F36" s="301" t="n"/>
      <c r="G36" s="26" t="n">
        <v>0</v>
      </c>
      <c r="H36" s="304" t="n">
        <v>0</v>
      </c>
      <c r="I36" s="124" t="n"/>
      <c r="J36" s="26" t="n">
        <v>0</v>
      </c>
    </row>
    <row r="37">
      <c r="A37" s="296" t="n"/>
      <c r="B37" s="296" t="n"/>
      <c r="C37" s="299" t="inlineStr">
        <is>
          <t>Итого прочее оборудование</t>
        </is>
      </c>
      <c r="D37" s="296" t="n"/>
      <c r="E37" s="387" t="n"/>
      <c r="F37" s="301" t="n"/>
      <c r="G37" s="26" t="n">
        <v>0</v>
      </c>
      <c r="H37" s="302" t="n">
        <v>0</v>
      </c>
      <c r="I37" s="168" t="n"/>
      <c r="J37" s="167" t="n">
        <v>0</v>
      </c>
    </row>
    <row r="38">
      <c r="A38" s="296" t="n"/>
      <c r="B38" s="297" t="n"/>
      <c r="C38" s="164" t="inlineStr">
        <is>
          <t>Итого по разделу «Оборудование»</t>
        </is>
      </c>
      <c r="D38" s="297" t="n"/>
      <c r="E38" s="306" t="n"/>
      <c r="F38" s="307" t="n"/>
      <c r="G38" s="167">
        <f>G36</f>
        <v/>
      </c>
      <c r="H38" s="308" t="n">
        <v>0</v>
      </c>
      <c r="I38" s="168" t="n"/>
      <c r="J38" s="167">
        <f>J36</f>
        <v/>
      </c>
    </row>
    <row r="39" ht="25.5" customHeight="1" s="247">
      <c r="A39" s="296" t="n"/>
      <c r="B39" s="296" t="n"/>
      <c r="C39" s="299" t="inlineStr">
        <is>
          <t>в том числе технологическое оборудование</t>
        </is>
      </c>
      <c r="D39" s="296" t="n"/>
      <c r="E39" s="387" t="n"/>
      <c r="F39" s="301" t="n"/>
      <c r="G39" s="26">
        <f>G38</f>
        <v/>
      </c>
      <c r="H39" s="302" t="n"/>
      <c r="I39" s="26" t="n"/>
      <c r="J39" s="26">
        <f>J38</f>
        <v/>
      </c>
    </row>
    <row r="40" ht="14.25" customFormat="1" customHeight="1" s="222">
      <c r="A40" s="296" t="n"/>
      <c r="B40" s="303" t="inlineStr">
        <is>
          <t>Материалы</t>
        </is>
      </c>
      <c r="C40" s="371" t="n"/>
      <c r="D40" s="371" t="n"/>
      <c r="E40" s="371" t="n"/>
      <c r="F40" s="371" t="n"/>
      <c r="G40" s="371" t="n"/>
      <c r="H40" s="372" t="n"/>
      <c r="I40" s="120" t="n"/>
      <c r="J40" s="120" t="n"/>
    </row>
    <row r="41" ht="14.25" customFormat="1" customHeight="1" s="222">
      <c r="A41" s="296" t="n"/>
      <c r="B41" s="299" t="inlineStr">
        <is>
          <t>Основные материалы</t>
        </is>
      </c>
      <c r="C41" s="371" t="n"/>
      <c r="D41" s="371" t="n"/>
      <c r="E41" s="371" t="n"/>
      <c r="F41" s="371" t="n"/>
      <c r="G41" s="371" t="n"/>
      <c r="H41" s="372" t="n"/>
      <c r="I41" s="120" t="n"/>
      <c r="J41" s="120" t="n"/>
    </row>
    <row r="42" ht="25.5" customFormat="1" customHeight="1" s="222">
      <c r="A42" s="296" t="n">
        <v>14</v>
      </c>
      <c r="B42" s="297" t="inlineStr">
        <is>
          <t>05.1.05.16-0040</t>
        </is>
      </c>
      <c r="C42" s="305" t="inlineStr">
        <is>
          <t>Сваи железобетонные С35-1-12-1 (бетон B22,5, расход арматуры 185 кг)</t>
        </is>
      </c>
      <c r="D42" s="102" t="inlineStr">
        <is>
          <t>м3</t>
        </is>
      </c>
      <c r="E42" s="206" t="n">
        <v>1946</v>
      </c>
      <c r="F42" s="204" t="n">
        <v>5337.26</v>
      </c>
      <c r="G42" s="388">
        <f>F42*E42</f>
        <v/>
      </c>
      <c r="H42" s="205">
        <f>G42/$G$52</f>
        <v/>
      </c>
      <c r="I42" s="389">
        <f>ROUND(F42*'Прил. 10'!$D$13,2)</f>
        <v/>
      </c>
      <c r="J42" s="389">
        <f>ROUND(I42*E42,2)</f>
        <v/>
      </c>
    </row>
    <row r="43" ht="14.25" customFormat="1" customHeight="1" s="222">
      <c r="A43" s="296" t="n"/>
      <c r="B43" s="163" t="n"/>
      <c r="C43" s="299" t="inlineStr">
        <is>
          <t>Итого основные материалы</t>
        </is>
      </c>
      <c r="D43" s="296" t="n"/>
      <c r="E43" s="300" t="n"/>
      <c r="F43" s="300" t="n"/>
      <c r="G43" s="377">
        <f>SUM(G42:G42)</f>
        <v/>
      </c>
      <c r="H43" s="302">
        <f>G43/$G$52</f>
        <v/>
      </c>
      <c r="I43" s="390" t="n"/>
      <c r="J43" s="377">
        <f>SUM(J42:J42)</f>
        <v/>
      </c>
    </row>
    <row r="44" outlineLevel="1" ht="14.25" customFormat="1" customHeight="1" s="222">
      <c r="A44" s="296" t="n">
        <v>15</v>
      </c>
      <c r="B44" s="296" t="inlineStr">
        <is>
          <t>01.4.01.10-0016</t>
        </is>
      </c>
      <c r="C44" s="170" t="inlineStr">
        <is>
          <t>Шнек диаметром 135 мм</t>
        </is>
      </c>
      <c r="D44" s="296" t="inlineStr">
        <is>
          <t>шт.</t>
        </is>
      </c>
      <c r="E44" s="300" t="n">
        <v>420.032</v>
      </c>
      <c r="F44" s="300" t="n">
        <v>597</v>
      </c>
      <c r="G44" s="377">
        <f>F44*E44</f>
        <v/>
      </c>
      <c r="H44" s="302">
        <f>G44/$G$52</f>
        <v/>
      </c>
      <c r="I44" s="381">
        <f>ROUND(F44*'Прил. 10'!$D$13,2)</f>
        <v/>
      </c>
      <c r="J44" s="381">
        <f>ROUND(I44*E44,2)</f>
        <v/>
      </c>
    </row>
    <row r="45" outlineLevel="1" ht="14.25" customFormat="1" customHeight="1" s="222">
      <c r="A45" s="296" t="n">
        <v>16</v>
      </c>
      <c r="B45" s="296" t="inlineStr">
        <is>
          <t>11.1.03.06-0002</t>
        </is>
      </c>
      <c r="C45" s="170" t="inlineStr">
        <is>
          <t>Доски дубовые II сорта</t>
        </is>
      </c>
      <c r="D45" s="296" t="inlineStr">
        <is>
          <t>м3</t>
        </is>
      </c>
      <c r="E45" s="300" t="n">
        <v>5.78</v>
      </c>
      <c r="F45" s="300" t="n">
        <v>1410</v>
      </c>
      <c r="G45" s="377">
        <f>F45*E45</f>
        <v/>
      </c>
      <c r="H45" s="302">
        <f>G45/$G$52</f>
        <v/>
      </c>
      <c r="I45" s="381">
        <f>ROUND(F45*'Прил. 10'!$D$13,2)</f>
        <v/>
      </c>
      <c r="J45" s="381">
        <f>ROUND(I45*E45,2)</f>
        <v/>
      </c>
    </row>
    <row r="46" outlineLevel="1" ht="14.25" customFormat="1" customHeight="1" s="222">
      <c r="A46" s="296" t="n">
        <v>17</v>
      </c>
      <c r="B46" s="296" t="inlineStr">
        <is>
          <t>01.4.01.06-0014</t>
        </is>
      </c>
      <c r="C46" s="170" t="inlineStr">
        <is>
          <t>Коронки буровые типа К-100В</t>
        </is>
      </c>
      <c r="D46" s="296" t="inlineStr">
        <is>
          <t>шт.</t>
        </is>
      </c>
      <c r="E46" s="300" t="n">
        <v>11.333</v>
      </c>
      <c r="F46" s="300" t="n">
        <v>176.51</v>
      </c>
      <c r="G46" s="377">
        <f>F46*E46</f>
        <v/>
      </c>
      <c r="H46" s="302">
        <f>G46/$G$52</f>
        <v/>
      </c>
      <c r="I46" s="381">
        <f>ROUND(F46*'Прил. 10'!$D$13,2)</f>
        <v/>
      </c>
      <c r="J46" s="381">
        <f>ROUND(I46*E46,2)</f>
        <v/>
      </c>
    </row>
    <row r="47" outlineLevel="1" ht="76.5" customFormat="1" customHeight="1" s="222">
      <c r="A47" s="296" t="n">
        <v>18</v>
      </c>
      <c r="B47" s="296" t="inlineStr">
        <is>
          <t>07.2.07.12-0003</t>
        </is>
      </c>
      <c r="C47" s="17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47" s="296" t="inlineStr">
        <is>
          <t>т</t>
        </is>
      </c>
      <c r="E47" s="300" t="n">
        <v>0.1156</v>
      </c>
      <c r="F47" s="300" t="n">
        <v>11255</v>
      </c>
      <c r="G47" s="377">
        <f>F47*E47</f>
        <v/>
      </c>
      <c r="H47" s="302">
        <f>G47/$G$52</f>
        <v/>
      </c>
      <c r="I47" s="381">
        <f>ROUND(F47*'Прил. 10'!$D$13,2)</f>
        <v/>
      </c>
      <c r="J47" s="381">
        <f>ROUND(I47*E47,2)</f>
        <v/>
      </c>
    </row>
    <row r="48" outlineLevel="1" ht="25.5" customFormat="1" customHeight="1" s="222">
      <c r="A48" s="296" t="n">
        <v>19</v>
      </c>
      <c r="B48" s="163" t="inlineStr">
        <is>
          <t>101-0388</t>
        </is>
      </c>
      <c r="C48" s="170" t="inlineStr">
        <is>
          <t>Краски масляные земляные марки МА-0115 мумия, сурик железный</t>
        </is>
      </c>
      <c r="D48" s="296" t="inlineStr">
        <is>
          <t>т</t>
        </is>
      </c>
      <c r="E48" s="300" t="n">
        <v>0.0385</v>
      </c>
      <c r="F48" s="300" t="n">
        <v>15119</v>
      </c>
      <c r="G48" s="377">
        <f>F48*E48</f>
        <v/>
      </c>
      <c r="H48" s="302">
        <f>G48/$G$52</f>
        <v/>
      </c>
      <c r="I48" s="381">
        <f>ROUND(F48*'Прил. 10'!$D$13,2)</f>
        <v/>
      </c>
      <c r="J48" s="381">
        <f>ROUND(I48*E48,2)</f>
        <v/>
      </c>
    </row>
    <row r="49" outlineLevel="2" ht="14.25" customFormat="1" customHeight="1" s="222">
      <c r="A49" s="296" t="n">
        <v>20</v>
      </c>
      <c r="B49" s="163" t="inlineStr">
        <is>
          <t>101-1805</t>
        </is>
      </c>
      <c r="C49" s="170" t="inlineStr">
        <is>
          <t>Гвозди строительные</t>
        </is>
      </c>
      <c r="D49" s="296" t="inlineStr">
        <is>
          <t>т</t>
        </is>
      </c>
      <c r="E49" s="300" t="n">
        <v>0.0385</v>
      </c>
      <c r="F49" s="300" t="n">
        <v>11978</v>
      </c>
      <c r="G49" s="377">
        <f>F49*E49</f>
        <v/>
      </c>
      <c r="H49" s="302">
        <f>G49/$G$52</f>
        <v/>
      </c>
      <c r="I49" s="381">
        <f>ROUND(F49*'Прил. 10'!$D$13,2)</f>
        <v/>
      </c>
      <c r="J49" s="381">
        <f>ROUND(I49*E49,2)</f>
        <v/>
      </c>
    </row>
    <row r="50" outlineLevel="2" ht="38.25" customFormat="1" customHeight="1" s="222">
      <c r="A50" s="296" t="n">
        <v>21</v>
      </c>
      <c r="B50" s="163" t="inlineStr">
        <is>
          <t>408-0015</t>
        </is>
      </c>
      <c r="C50" s="170" t="inlineStr">
        <is>
          <t>Щебень из природного камня для строительных работ марка 800, фракция 20-40 мм</t>
        </is>
      </c>
      <c r="D50" s="296" t="inlineStr">
        <is>
          <t>м3</t>
        </is>
      </c>
      <c r="E50" s="300" t="n">
        <v>0.0092</v>
      </c>
      <c r="F50" s="300" t="n">
        <v>108.4</v>
      </c>
      <c r="G50" s="301">
        <f>F50*E50</f>
        <v/>
      </c>
      <c r="H50" s="302">
        <f>G50/$G$52</f>
        <v/>
      </c>
      <c r="I50" s="180">
        <f>ROUND(F50*'Прил. 10'!$D$13,2)</f>
        <v/>
      </c>
      <c r="J50" s="180">
        <f>ROUND(I50*E50,2)</f>
        <v/>
      </c>
    </row>
    <row r="51" ht="14.25" customFormat="1" customHeight="1" s="222">
      <c r="A51" s="296" t="n"/>
      <c r="B51" s="296" t="n"/>
      <c r="C51" s="299" t="inlineStr">
        <is>
          <t>Итого прочие материалы</t>
        </is>
      </c>
      <c r="D51" s="296" t="n"/>
      <c r="E51" s="300" t="n"/>
      <c r="F51" s="301" t="n"/>
      <c r="G51" s="26">
        <f>SUM(G44:G50)</f>
        <v/>
      </c>
      <c r="H51" s="302">
        <f>G51/$G$52</f>
        <v/>
      </c>
      <c r="I51" s="26" t="n"/>
      <c r="J51" s="26">
        <f>SUM(J44:J50)</f>
        <v/>
      </c>
    </row>
    <row r="52" ht="14.25" customFormat="1" customHeight="1" s="222">
      <c r="A52" s="296" t="n"/>
      <c r="B52" s="298" t="n"/>
      <c r="C52" s="176" t="inlineStr">
        <is>
          <t>Итого по разделу «Материалы»</t>
        </is>
      </c>
      <c r="D52" s="298" t="n"/>
      <c r="E52" s="177" t="n"/>
      <c r="F52" s="191" t="n"/>
      <c r="G52" s="178">
        <f>G43+G51</f>
        <v/>
      </c>
      <c r="H52" s="192">
        <f>H43+H51</f>
        <v/>
      </c>
      <c r="I52" s="178" t="n"/>
      <c r="J52" s="178">
        <f>J43+J51</f>
        <v/>
      </c>
    </row>
    <row r="53" ht="14.25" customFormat="1" customHeight="1" s="222">
      <c r="A53" s="296" t="n"/>
      <c r="B53" s="296" t="n"/>
      <c r="C53" s="299" t="inlineStr">
        <is>
          <t>ИТОГО ПО РМ</t>
        </is>
      </c>
      <c r="D53" s="296" t="n"/>
      <c r="E53" s="300" t="n"/>
      <c r="F53" s="301" t="n"/>
      <c r="G53" s="26">
        <f>G15+G33+G52</f>
        <v/>
      </c>
      <c r="H53" s="304" t="n"/>
      <c r="I53" s="26" t="n"/>
      <c r="J53" s="26">
        <f>J15+J33+J52</f>
        <v/>
      </c>
    </row>
    <row r="54" ht="14.25" customFormat="1" customHeight="1" s="222">
      <c r="A54" s="296" t="n"/>
      <c r="B54" s="296" t="n"/>
      <c r="C54" s="299" t="inlineStr">
        <is>
          <t>Накладные расходы</t>
        </is>
      </c>
      <c r="D54" s="125">
        <f>ROUND(G54/(G$17+$G$15),2)</f>
        <v/>
      </c>
      <c r="E54" s="300" t="n"/>
      <c r="F54" s="301" t="n"/>
      <c r="G54" s="26">
        <f>207708+2162.76</f>
        <v/>
      </c>
      <c r="H54" s="304" t="n"/>
      <c r="I54" s="26" t="n"/>
      <c r="J54" s="26">
        <f>ROUND(D54*(J15+J17),2)</f>
        <v/>
      </c>
      <c r="L54" s="195" t="n"/>
    </row>
    <row r="55" ht="14.25" customFormat="1" customHeight="1" s="222">
      <c r="A55" s="296" t="n"/>
      <c r="B55" s="296" t="n"/>
      <c r="C55" s="299" t="inlineStr">
        <is>
          <t>Сметная прибыль</t>
        </is>
      </c>
      <c r="D55" s="125">
        <f>ROUND(G55/(G$15+G$17),2)</f>
        <v/>
      </c>
      <c r="E55" s="300" t="n"/>
      <c r="F55" s="301" t="n"/>
      <c r="G55" s="26">
        <f>113421+1403.49</f>
        <v/>
      </c>
      <c r="H55" s="304" t="n"/>
      <c r="I55" s="26" t="n"/>
      <c r="J55" s="26">
        <f>ROUND(D55*(J15+J17),2)</f>
        <v/>
      </c>
      <c r="L55" s="195" t="n"/>
    </row>
    <row r="56" ht="14.25" customFormat="1" customHeight="1" s="222">
      <c r="A56" s="296" t="n"/>
      <c r="B56" s="296" t="n"/>
      <c r="C56" s="299" t="inlineStr">
        <is>
          <t>Итого СМР (с НР и СП)</t>
        </is>
      </c>
      <c r="D56" s="296" t="n"/>
      <c r="E56" s="300" t="n"/>
      <c r="F56" s="301" t="n"/>
      <c r="G56" s="26">
        <f>ROUND((G15+G33+G52+G54+G55),2)</f>
        <v/>
      </c>
      <c r="H56" s="304" t="n"/>
      <c r="I56" s="26" t="n"/>
      <c r="J56" s="26">
        <f>ROUND((J15+J33+J52+J54+J55),2)</f>
        <v/>
      </c>
    </row>
    <row r="57" ht="14.25" customFormat="1" customHeight="1" s="222">
      <c r="A57" s="296" t="n"/>
      <c r="B57" s="296" t="n"/>
      <c r="C57" s="299" t="inlineStr">
        <is>
          <t>ВСЕГО СМР + ОБОРУДОВАНИЕ</t>
        </is>
      </c>
      <c r="D57" s="296" t="n"/>
      <c r="E57" s="300" t="n"/>
      <c r="F57" s="301" t="n"/>
      <c r="G57" s="26">
        <f>G56+G38</f>
        <v/>
      </c>
      <c r="H57" s="304" t="n"/>
      <c r="I57" s="26" t="n"/>
      <c r="J57" s="26">
        <f>J56+J38</f>
        <v/>
      </c>
    </row>
    <row r="58" ht="34.5" customFormat="1" customHeight="1" s="222">
      <c r="A58" s="296" t="n"/>
      <c r="B58" s="296" t="n"/>
      <c r="C58" s="299" t="inlineStr">
        <is>
          <t>ИТОГО ПОКАЗАТЕЛЬ НА ЕД. ИЗМ.</t>
        </is>
      </c>
      <c r="D58" s="296" t="inlineStr">
        <is>
          <t>1 м2</t>
        </is>
      </c>
      <c r="E58" s="300" t="n">
        <v>70840</v>
      </c>
      <c r="F58" s="301" t="n"/>
      <c r="G58" s="26">
        <f>G57/E58</f>
        <v/>
      </c>
      <c r="H58" s="304" t="n"/>
      <c r="I58" s="26" t="n"/>
      <c r="J58" s="26">
        <f>J57/E58</f>
        <v/>
      </c>
    </row>
    <row r="59">
      <c r="A59" s="222" t="n"/>
      <c r="B59" s="222" t="n"/>
      <c r="C59" s="222" t="n"/>
      <c r="E59" s="222" t="n"/>
      <c r="I59" s="222" t="n"/>
    </row>
    <row r="60" ht="14.25" customFormat="1" customHeight="1" s="222">
      <c r="A60" s="211" t="inlineStr">
        <is>
          <t>Составил ______________________     Д.А. Самуйленко</t>
        </is>
      </c>
      <c r="B60" s="222" t="n"/>
      <c r="C60" s="222" t="n"/>
      <c r="E60" s="222" t="n"/>
      <c r="I60" s="222" t="n"/>
    </row>
    <row r="61" ht="14.25" customFormat="1" customHeight="1" s="222">
      <c r="A61" s="221" t="inlineStr">
        <is>
          <t xml:space="preserve">                         (подпись, инициалы, фамилия)</t>
        </is>
      </c>
      <c r="B61" s="222" t="n"/>
      <c r="C61" s="222" t="n"/>
      <c r="E61" s="222" t="n"/>
      <c r="I61" s="222" t="n"/>
    </row>
    <row r="62" ht="14.25" customFormat="1" customHeight="1" s="222">
      <c r="A62" s="211" t="n"/>
      <c r="B62" s="222" t="n"/>
      <c r="C62" s="222" t="n"/>
      <c r="E62" s="222" t="n"/>
      <c r="H62" s="195" t="n"/>
      <c r="I62" s="222" t="n"/>
    </row>
    <row r="63" ht="14.25" customFormat="1" customHeight="1" s="222">
      <c r="A63" s="211" t="inlineStr">
        <is>
          <t>Проверил ______________________        А.В. Костянецкая</t>
        </is>
      </c>
      <c r="B63" s="222" t="n"/>
      <c r="C63" s="222" t="n"/>
      <c r="E63" s="222" t="n"/>
      <c r="I63" s="222" t="n"/>
    </row>
    <row r="64" ht="14.25" customFormat="1" customHeight="1" s="222">
      <c r="A64" s="221" t="inlineStr">
        <is>
          <t xml:space="preserve">                        (подпись, инициалы, фамилия)</t>
        </is>
      </c>
      <c r="B64" s="222" t="n"/>
      <c r="C64" s="222" t="n"/>
      <c r="E64" s="222" t="n"/>
      <c r="I64" s="222" t="n"/>
    </row>
  </sheetData>
  <mergeCells count="21">
    <mergeCell ref="B40:H40"/>
    <mergeCell ref="F10:G10"/>
    <mergeCell ref="A4:J4"/>
    <mergeCell ref="C10:C11"/>
    <mergeCell ref="H2:J2"/>
    <mergeCell ref="E10:E11"/>
    <mergeCell ref="B41:H4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showGridLines="1" showRowColHeaders="1" tabSelected="0" view="pageBreakPreview" workbookViewId="0">
      <selection activeCell="L10" sqref="L10"/>
    </sheetView>
  </sheetViews>
  <sheetFormatPr baseColWidth="8" defaultRowHeight="14.4" outlineLevelRow="0"/>
  <cols>
    <col width="5.7109375" customWidth="1" style="247" min="1" max="1"/>
    <col width="17.5703125" customWidth="1" style="247" min="2" max="2"/>
    <col width="39.140625" customWidth="1" style="247" min="3" max="3"/>
    <col width="10.7109375" customWidth="1" style="247" min="4" max="4"/>
    <col width="13.85546875" customWidth="1" style="247" min="5" max="5"/>
    <col width="13.28515625" customWidth="1" style="247" min="6" max="6"/>
    <col width="14.140625" customWidth="1" style="247" min="7" max="7"/>
  </cols>
  <sheetData>
    <row r="1">
      <c r="A1" s="314" t="inlineStr">
        <is>
          <t>Приложение №6</t>
        </is>
      </c>
    </row>
    <row r="2" ht="21.75" customHeight="1" s="247">
      <c r="A2" s="314" t="n"/>
      <c r="B2" s="314" t="n"/>
      <c r="C2" s="314" t="n"/>
      <c r="D2" s="314" t="n"/>
      <c r="E2" s="314" t="n"/>
      <c r="F2" s="314" t="n"/>
      <c r="G2" s="314" t="n"/>
    </row>
    <row r="3">
      <c r="A3" s="320" t="inlineStr">
        <is>
          <t>Расчет стоимости оборудования</t>
        </is>
      </c>
    </row>
    <row r="4" ht="42" customHeight="1" s="247">
      <c r="A4" s="321" t="inlineStr">
        <is>
          <t>Наименование разрабатываемого показателя УНЦ — Подготовка и устройство территории ПС (ЗПС) Республика Коми, Архангельская область, Ненецкий автономный округ</t>
        </is>
      </c>
    </row>
    <row r="5">
      <c r="A5" s="211" t="n"/>
      <c r="B5" s="211" t="n"/>
      <c r="C5" s="211" t="n"/>
      <c r="D5" s="211" t="n"/>
      <c r="E5" s="211" t="n"/>
      <c r="F5" s="211" t="n"/>
      <c r="G5" s="211" t="n"/>
    </row>
    <row r="6" ht="30" customHeight="1" s="247">
      <c r="A6" s="319" t="inlineStr">
        <is>
          <t>№ пп.</t>
        </is>
      </c>
      <c r="B6" s="319" t="inlineStr">
        <is>
          <t>Код ресурса</t>
        </is>
      </c>
      <c r="C6" s="319" t="inlineStr">
        <is>
          <t>Наименование</t>
        </is>
      </c>
      <c r="D6" s="319" t="inlineStr">
        <is>
          <t>Ед. изм.</t>
        </is>
      </c>
      <c r="E6" s="296" t="inlineStr">
        <is>
          <t>Кол-во единиц по проектным данным</t>
        </is>
      </c>
      <c r="F6" s="319" t="inlineStr">
        <is>
          <t>Сметная стоимость в ценах на 01.01.2000 (руб.)</t>
        </is>
      </c>
      <c r="G6" s="372" t="n"/>
    </row>
    <row r="7">
      <c r="A7" s="374" t="n"/>
      <c r="B7" s="374" t="n"/>
      <c r="C7" s="374" t="n"/>
      <c r="D7" s="374" t="n"/>
      <c r="E7" s="374" t="n"/>
      <c r="F7" s="296" t="inlineStr">
        <is>
          <t>на ед. изм.</t>
        </is>
      </c>
      <c r="G7" s="296" t="inlineStr">
        <is>
          <t>общая</t>
        </is>
      </c>
    </row>
    <row r="8">
      <c r="A8" s="296" t="n">
        <v>1</v>
      </c>
      <c r="B8" s="296" t="n">
        <v>2</v>
      </c>
      <c r="C8" s="296" t="n">
        <v>3</v>
      </c>
      <c r="D8" s="296" t="n">
        <v>4</v>
      </c>
      <c r="E8" s="296" t="n">
        <v>5</v>
      </c>
      <c r="F8" s="296" t="n">
        <v>6</v>
      </c>
      <c r="G8" s="296" t="n">
        <v>7</v>
      </c>
    </row>
    <row r="9" ht="15" customHeight="1" s="247">
      <c r="A9" s="99" t="n"/>
      <c r="B9" s="299" t="inlineStr">
        <is>
          <t>ИНЖЕНЕРНОЕ ОБОРУДОВАНИЕ</t>
        </is>
      </c>
      <c r="C9" s="371" t="n"/>
      <c r="D9" s="371" t="n"/>
      <c r="E9" s="371" t="n"/>
      <c r="F9" s="371" t="n"/>
      <c r="G9" s="372" t="n"/>
    </row>
    <row r="10" ht="27" customHeight="1" s="247">
      <c r="A10" s="296" t="n"/>
      <c r="B10" s="303" t="n"/>
      <c r="C10" s="299" t="inlineStr">
        <is>
          <t>ИТОГО ИНЖЕНЕРНОЕ ОБОРУДОВАНИЕ</t>
        </is>
      </c>
      <c r="D10" s="303" t="n"/>
      <c r="E10" s="100" t="n"/>
      <c r="F10" s="301" t="n"/>
      <c r="G10" s="301" t="n">
        <v>0</v>
      </c>
    </row>
    <row r="11">
      <c r="A11" s="296" t="n"/>
      <c r="B11" s="299" t="inlineStr">
        <is>
          <t>ТЕХНОЛОГИЧЕСКОЕ ОБОРУДОВАНИЕ</t>
        </is>
      </c>
      <c r="C11" s="371" t="n"/>
      <c r="D11" s="371" t="n"/>
      <c r="E11" s="371" t="n"/>
      <c r="F11" s="371" t="n"/>
      <c r="G11" s="372" t="n"/>
    </row>
    <row r="12" ht="25.5" customHeight="1" s="247">
      <c r="A12" s="296" t="n"/>
      <c r="B12" s="299" t="n"/>
      <c r="C12" s="299" t="inlineStr">
        <is>
          <t>ИТОГО ТЕХНОЛОГИЧЕСКОЕ ОБОРУДОВАНИЕ</t>
        </is>
      </c>
      <c r="D12" s="299" t="n"/>
      <c r="E12" s="318" t="n"/>
      <c r="F12" s="301" t="n"/>
      <c r="G12" s="26" t="n">
        <v>0</v>
      </c>
    </row>
    <row r="13" ht="19.5" customHeight="1" s="247">
      <c r="A13" s="296" t="n"/>
      <c r="B13" s="299" t="n"/>
      <c r="C13" s="299" t="inlineStr">
        <is>
          <t>Всего по разделу «Оборудование»</t>
        </is>
      </c>
      <c r="D13" s="299" t="n"/>
      <c r="E13" s="318" t="n"/>
      <c r="F13" s="301" t="n"/>
      <c r="G13" s="26">
        <f>G10+G12</f>
        <v/>
      </c>
    </row>
    <row r="14">
      <c r="A14" s="219" t="n"/>
      <c r="B14" s="220" t="n"/>
      <c r="C14" s="219" t="n"/>
      <c r="D14" s="219" t="n"/>
      <c r="E14" s="219" t="n"/>
      <c r="F14" s="219" t="n"/>
      <c r="G14" s="219" t="n"/>
    </row>
    <row r="15">
      <c r="A15" s="211" t="inlineStr">
        <is>
          <t>Составил ______________________    Д.А. Самуйленко</t>
        </is>
      </c>
      <c r="B15" s="222" t="n"/>
      <c r="C15" s="222" t="n"/>
      <c r="D15" s="219" t="n"/>
      <c r="E15" s="219" t="n"/>
      <c r="F15" s="219" t="n"/>
      <c r="G15" s="219" t="n"/>
    </row>
    <row r="16">
      <c r="A16" s="221" t="inlineStr">
        <is>
          <t xml:space="preserve">                         (подпись, инициалы, фамилия)</t>
        </is>
      </c>
      <c r="B16" s="222" t="n"/>
      <c r="C16" s="222" t="n"/>
      <c r="D16" s="219" t="n"/>
      <c r="E16" s="219" t="n"/>
      <c r="F16" s="219" t="n"/>
      <c r="G16" s="219" t="n"/>
    </row>
    <row r="17">
      <c r="A17" s="211" t="n"/>
      <c r="B17" s="222" t="n"/>
      <c r="C17" s="222" t="n"/>
      <c r="D17" s="219" t="n"/>
      <c r="E17" s="219" t="n"/>
      <c r="F17" s="219" t="n"/>
      <c r="G17" s="219" t="n"/>
    </row>
    <row r="18">
      <c r="A18" s="211" t="inlineStr">
        <is>
          <t>Проверил ______________________        А.В. Костянецкая</t>
        </is>
      </c>
      <c r="B18" s="222" t="n"/>
      <c r="C18" s="222" t="n"/>
      <c r="D18" s="219" t="n"/>
      <c r="E18" s="219" t="n"/>
      <c r="F18" s="219" t="n"/>
      <c r="G18" s="219" t="n"/>
    </row>
    <row r="19">
      <c r="A19" s="221" t="inlineStr">
        <is>
          <t xml:space="preserve">                        (подпись, инициалы, фамилия)</t>
        </is>
      </c>
      <c r="B19" s="222" t="n"/>
      <c r="C19" s="222" t="n"/>
      <c r="D19" s="219" t="n"/>
      <c r="E19" s="219" t="n"/>
      <c r="F19" s="219" t="n"/>
      <c r="G19" s="2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A5" sqref="A5:D5"/>
    </sheetView>
  </sheetViews>
  <sheetFormatPr baseColWidth="8" defaultRowHeight="14.4" outlineLevelRow="0"/>
  <cols>
    <col width="14.42578125" customWidth="1" style="247" min="1" max="1"/>
    <col width="29.7109375" customWidth="1" style="247" min="2" max="2"/>
    <col width="39.140625" customWidth="1" style="247" min="3" max="3"/>
    <col width="24.5703125" customWidth="1" style="247" min="4" max="4"/>
  </cols>
  <sheetData>
    <row r="1">
      <c r="B1" s="211" t="n"/>
      <c r="C1" s="211" t="n"/>
      <c r="D1" s="314" t="inlineStr">
        <is>
          <t>Приложение №7</t>
        </is>
      </c>
    </row>
    <row r="2">
      <c r="A2" s="314" t="n"/>
      <c r="B2" s="314" t="n"/>
      <c r="C2" s="314" t="n"/>
      <c r="D2" s="314" t="n"/>
    </row>
    <row r="3">
      <c r="A3" s="320" t="inlineStr">
        <is>
          <t>Расчет показателя УНЦ</t>
        </is>
      </c>
    </row>
    <row r="4">
      <c r="A4" s="320" t="n"/>
      <c r="B4" s="320" t="n"/>
      <c r="C4" s="320" t="n"/>
      <c r="D4" s="320" t="n"/>
    </row>
    <row r="5" ht="45.75" customHeight="1" s="247">
      <c r="A5" s="321">
        <f>'Прил.4 РМ'!B7</f>
        <v/>
      </c>
    </row>
    <row r="6" ht="15" customHeight="1" s="247">
      <c r="A6" s="211" t="inlineStr">
        <is>
          <t>Единица измерения  — м2</t>
        </is>
      </c>
      <c r="B6" s="211" t="n"/>
      <c r="C6" s="211" t="n"/>
      <c r="D6" s="321" t="n"/>
    </row>
    <row r="7">
      <c r="A7" s="211" t="n"/>
      <c r="B7" s="211" t="n"/>
      <c r="C7" s="211" t="n"/>
      <c r="D7" s="211" t="n"/>
    </row>
    <row r="8" ht="15" customHeight="1" s="247">
      <c r="A8" s="322" t="inlineStr">
        <is>
          <t>Код показателя</t>
        </is>
      </c>
      <c r="B8" s="322" t="inlineStr">
        <is>
          <t>Наименование показателя</t>
        </is>
      </c>
      <c r="C8" s="322" t="inlineStr">
        <is>
          <t>Наименование РМ, входящих в состав показателя</t>
        </is>
      </c>
      <c r="D8" s="322" t="inlineStr">
        <is>
          <t>Норматив цены на 01.01.2023, тыс.руб.</t>
        </is>
      </c>
    </row>
    <row r="9" ht="15" customHeight="1" s="247">
      <c r="A9" s="374" t="n"/>
      <c r="B9" s="374" t="n"/>
      <c r="C9" s="374" t="n"/>
      <c r="D9" s="374" t="n"/>
    </row>
    <row r="10">
      <c r="A10" s="296" t="n">
        <v>1</v>
      </c>
      <c r="B10" s="296" t="n">
        <v>2</v>
      </c>
      <c r="C10" s="296" t="n">
        <v>3</v>
      </c>
      <c r="D10" s="296" t="n">
        <v>4</v>
      </c>
    </row>
    <row r="11" ht="89.25" customHeight="1" s="247">
      <c r="A11" s="216" t="inlineStr">
        <is>
          <t>Б1-03</t>
        </is>
      </c>
      <c r="B11" s="216" t="inlineStr">
        <is>
          <t xml:space="preserve">УНЦ подготовки и устройства территории ПС </t>
        </is>
      </c>
      <c r="C11" s="217" t="inlineStr">
        <is>
          <t>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  <c r="D11" s="218">
        <f>'Прил.4 РМ'!C41/1000</f>
        <v/>
      </c>
    </row>
    <row r="12">
      <c r="A12" s="219" t="n"/>
      <c r="B12" s="220" t="n"/>
      <c r="C12" s="219" t="n"/>
      <c r="D12" s="219" t="n"/>
    </row>
    <row r="13">
      <c r="A13" s="211" t="inlineStr">
        <is>
          <t>Составил ______________________      Е. М. Добровольская</t>
        </is>
      </c>
      <c r="B13" s="211" t="n"/>
      <c r="C13" s="211" t="n"/>
      <c r="D13" s="219" t="n"/>
    </row>
    <row r="14">
      <c r="A14" s="221" t="inlineStr">
        <is>
          <t xml:space="preserve">                         (подпись, инициалы, фамилия)</t>
        </is>
      </c>
      <c r="B14" s="221" t="n"/>
      <c r="C14" s="221" t="n"/>
      <c r="D14" s="219" t="n"/>
    </row>
    <row r="15">
      <c r="A15" s="221" t="n"/>
      <c r="B15" s="221" t="n"/>
      <c r="C15" s="221" t="n"/>
      <c r="D15" s="219" t="n"/>
    </row>
    <row r="16">
      <c r="A16" s="211" t="inlineStr">
        <is>
          <t>Проверил ______________________        А.В. Костянецкая</t>
        </is>
      </c>
      <c r="B16" s="222" t="n"/>
      <c r="C16" s="222" t="n"/>
      <c r="D16" s="219" t="n"/>
    </row>
    <row r="17">
      <c r="A17" s="221" t="inlineStr">
        <is>
          <t xml:space="preserve">                        (подпись, инициалы, фамилия)</t>
        </is>
      </c>
      <c r="B17" s="222" t="n"/>
      <c r="C17" s="222" t="n"/>
      <c r="D17" s="219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6" sqref="D16"/>
    </sheetView>
  </sheetViews>
  <sheetFormatPr baseColWidth="8" defaultRowHeight="14.4" outlineLevelRow="0"/>
  <cols>
    <col width="9.140625" customWidth="1" style="247" min="1" max="1"/>
    <col width="40.7109375" customWidth="1" style="247" min="2" max="2"/>
    <col width="37" customWidth="1" style="247" min="3" max="3"/>
    <col width="32" customWidth="1" style="247" min="4" max="4"/>
    <col width="9.140625" customWidth="1" style="247" min="5" max="5"/>
  </cols>
  <sheetData>
    <row r="4" ht="15.75" customHeight="1" s="247">
      <c r="B4" s="267" t="inlineStr">
        <is>
          <t>Приложение № 10</t>
        </is>
      </c>
    </row>
    <row r="5" ht="18.75" customHeight="1" s="247">
      <c r="B5" s="112" t="n"/>
    </row>
    <row r="6" ht="15.75" customHeight="1" s="247">
      <c r="B6" s="370" t="inlineStr">
        <is>
          <t>Используемые индексы изменений сметной стоимости и нормы сопутствующих затрат</t>
        </is>
      </c>
    </row>
    <row r="7">
      <c r="B7" s="325" t="n"/>
    </row>
    <row r="8">
      <c r="B8" s="325" t="n"/>
      <c r="C8" s="325" t="n"/>
      <c r="D8" s="325" t="n"/>
      <c r="E8" s="325" t="n"/>
    </row>
    <row r="9" ht="47.25" customHeight="1" s="247">
      <c r="B9" s="322" t="inlineStr">
        <is>
          <t>Наименование индекса / норм сопутствующих затрат</t>
        </is>
      </c>
      <c r="C9" s="322" t="inlineStr">
        <is>
          <t>Дата применения и обоснование индекса / норм сопутствующих затрат</t>
        </is>
      </c>
      <c r="D9" s="322" t="inlineStr">
        <is>
          <t>Размер индекса / норма сопутствующих затрат</t>
        </is>
      </c>
    </row>
    <row r="10" ht="15.75" customHeight="1" s="247">
      <c r="B10" s="322" t="n">
        <v>1</v>
      </c>
      <c r="C10" s="322" t="n">
        <v>2</v>
      </c>
      <c r="D10" s="322" t="n">
        <v>3</v>
      </c>
    </row>
    <row r="11" ht="45" customHeight="1" s="247">
      <c r="B11" s="322" t="inlineStr">
        <is>
          <t xml:space="preserve">Индекс изменения сметной стоимости на 1 квартал 2023 года. ОЗП </t>
        </is>
      </c>
      <c r="C11" s="322" t="inlineStr">
        <is>
          <t>Письмо Минстроя России от 22.03.2023 №15274-ИФ/09  прил.1</t>
        </is>
      </c>
      <c r="D11" s="322" t="n">
        <v>77.53</v>
      </c>
    </row>
    <row r="12" ht="29.25" customHeight="1" s="247">
      <c r="B12" s="322" t="inlineStr">
        <is>
          <t>Индекс изменения сметной стоимости на 1 квартал 2023 года. ЭМ</t>
        </is>
      </c>
      <c r="C12" s="322" t="inlineStr">
        <is>
          <t>Письмо Минстроя России от 22.03.2023 №15274-ИФ/09  прил.1</t>
        </is>
      </c>
      <c r="D12" s="322" t="n">
        <v>19.58</v>
      </c>
    </row>
    <row r="13" ht="29.25" customHeight="1" s="247">
      <c r="B13" s="322" t="inlineStr">
        <is>
          <t>Индекс изменения сметной стоимости на 1 квартал 2023 года. МАТ</t>
        </is>
      </c>
      <c r="C13" s="322" t="inlineStr">
        <is>
          <t>Письмо Минстроя России от 22.03.2023 №15274-ИФ/09  прил.1</t>
        </is>
      </c>
      <c r="D13" s="322" t="n">
        <v>12.6</v>
      </c>
    </row>
    <row r="14" ht="30.75" customHeight="1" s="247">
      <c r="B14" s="322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322" t="n">
        <v>6.26</v>
      </c>
    </row>
    <row r="15" ht="89.25" customHeight="1" s="247">
      <c r="B15" s="322" t="inlineStr">
        <is>
          <t>Временные здания и сооружения</t>
        </is>
      </c>
      <c r="C15" s="32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47">
      <c r="B16" s="322" t="inlineStr">
        <is>
          <t>Дополнительные затраты при производстве строительно-монтажных работ в зимнее время</t>
        </is>
      </c>
      <c r="C16" s="32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>
        <f>4.3%*1.2</f>
        <v/>
      </c>
    </row>
    <row r="17" ht="31.5" customHeight="1" s="247">
      <c r="B17" s="322" t="inlineStr">
        <is>
          <t>Строительный контроль</t>
        </is>
      </c>
      <c r="C17" s="322" t="inlineStr">
        <is>
          <t>Постановление Правительства РФ от 21.06.10 г. № 468</t>
        </is>
      </c>
      <c r="D17" s="115" t="n">
        <v>0.0214</v>
      </c>
    </row>
    <row r="18" ht="31.5" customHeight="1" s="247">
      <c r="B18" s="322" t="inlineStr">
        <is>
          <t>Авторский надзор - 0,2%</t>
        </is>
      </c>
      <c r="C18" s="322" t="inlineStr">
        <is>
          <t>Приказ от 4.08.2020 № 421/пр п.173</t>
        </is>
      </c>
      <c r="D18" s="115" t="n">
        <v>0.002</v>
      </c>
    </row>
    <row r="19" ht="24" customHeight="1" s="247">
      <c r="B19" s="322" t="inlineStr">
        <is>
          <t>Непредвиденные расходы</t>
        </is>
      </c>
      <c r="C19" s="322" t="inlineStr">
        <is>
          <t>Приказ от 4.08.2020 № 421/пр п.179</t>
        </is>
      </c>
      <c r="D19" s="115" t="n">
        <v>0.03</v>
      </c>
    </row>
    <row r="20" ht="18.75" customHeight="1" s="247">
      <c r="B20" s="113" t="n"/>
    </row>
    <row r="21" ht="18.75" customHeight="1" s="247">
      <c r="B21" s="113" t="n"/>
    </row>
    <row r="22" ht="18.75" customHeight="1" s="247">
      <c r="B22" s="113" t="n"/>
    </row>
    <row r="23" ht="18.75" customHeight="1" s="247">
      <c r="B23" s="113" t="n"/>
    </row>
    <row r="26">
      <c r="B26" s="211" t="inlineStr">
        <is>
          <t>Составил ______________________        Е.А. Князева</t>
        </is>
      </c>
      <c r="C26" s="222" t="n"/>
    </row>
    <row r="27">
      <c r="B27" s="221" t="inlineStr">
        <is>
          <t xml:space="preserve">                         (подпись, инициалы, фамилия)</t>
        </is>
      </c>
      <c r="C27" s="222" t="n"/>
    </row>
    <row r="28">
      <c r="B28" s="211" t="n"/>
      <c r="C28" s="222" t="n"/>
    </row>
    <row r="29">
      <c r="B29" s="211" t="inlineStr">
        <is>
          <t>Проверил ______________________        А.В. Костянецкая</t>
        </is>
      </c>
      <c r="C29" s="222" t="n"/>
    </row>
    <row r="30">
      <c r="B30" s="221" t="inlineStr">
        <is>
          <t xml:space="preserve">                        (подпись, инициалы, фамилия)</t>
        </is>
      </c>
      <c r="C30" s="222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40625" defaultRowHeight="14.4" outlineLevelRow="0"/>
  <cols>
    <col width="44.85546875" customWidth="1" style="247" min="2" max="2"/>
    <col width="13" customWidth="1" style="247" min="3" max="3"/>
    <col width="22.85546875" customWidth="1" style="247" min="4" max="4"/>
    <col width="21.5703125" customWidth="1" style="247" min="5" max="5"/>
    <col width="43.85546875" customWidth="1" style="247" min="6" max="6"/>
  </cols>
  <sheetData>
    <row r="1" s="247"/>
    <row r="2" ht="17.25" customHeight="1" s="247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3" s="247"/>
    <row r="4" ht="18" customHeight="1" s="247">
      <c r="A4" s="224" t="inlineStr">
        <is>
          <t>Составлен в уровне цен на 01.01.2023 г.</t>
        </is>
      </c>
      <c r="B4" s="245" t="n"/>
      <c r="C4" s="245" t="n"/>
      <c r="D4" s="245" t="n"/>
      <c r="E4" s="245" t="n"/>
      <c r="F4" s="245" t="n"/>
      <c r="G4" s="245" t="n"/>
    </row>
    <row r="5" ht="15.75" customHeight="1" s="247">
      <c r="A5" s="248" t="inlineStr">
        <is>
          <t>№ пп.</t>
        </is>
      </c>
      <c r="B5" s="248" t="inlineStr">
        <is>
          <t>Наименование элемента</t>
        </is>
      </c>
      <c r="C5" s="248" t="inlineStr">
        <is>
          <t>Обозначение</t>
        </is>
      </c>
      <c r="D5" s="248" t="inlineStr">
        <is>
          <t>Формула</t>
        </is>
      </c>
      <c r="E5" s="248" t="inlineStr">
        <is>
          <t>Величина элемента</t>
        </is>
      </c>
      <c r="F5" s="248" t="inlineStr">
        <is>
          <t>Наименования обосновывающих документов</t>
        </is>
      </c>
      <c r="G5" s="245" t="n"/>
    </row>
    <row r="6" ht="15.75" customHeight="1" s="247">
      <c r="A6" s="248" t="n">
        <v>1</v>
      </c>
      <c r="B6" s="248" t="n">
        <v>2</v>
      </c>
      <c r="C6" s="248" t="n">
        <v>3</v>
      </c>
      <c r="D6" s="248" t="n">
        <v>4</v>
      </c>
      <c r="E6" s="248" t="n">
        <v>5</v>
      </c>
      <c r="F6" s="248" t="n">
        <v>6</v>
      </c>
      <c r="G6" s="245" t="n"/>
    </row>
    <row r="7" ht="110.25" customHeight="1" s="247">
      <c r="A7" s="227" t="inlineStr">
        <is>
          <t>1.1</t>
        </is>
      </c>
      <c r="B7" s="2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2" t="inlineStr">
        <is>
          <t>С1ср</t>
        </is>
      </c>
      <c r="D7" s="322" t="inlineStr">
        <is>
          <t>-</t>
        </is>
      </c>
      <c r="E7" s="230" t="n">
        <v>47872.94</v>
      </c>
      <c r="F7" s="2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5" t="n"/>
    </row>
    <row r="8" ht="31.5" customHeight="1" s="247">
      <c r="A8" s="227" t="inlineStr">
        <is>
          <t>1.2</t>
        </is>
      </c>
      <c r="B8" s="232" t="inlineStr">
        <is>
          <t>Среднегодовое нормативное число часов работы одного рабочего в месяц, часы (ч.)</t>
        </is>
      </c>
      <c r="C8" s="322" t="inlineStr">
        <is>
          <t>tср</t>
        </is>
      </c>
      <c r="D8" s="322" t="inlineStr">
        <is>
          <t>1973ч/12мес.</t>
        </is>
      </c>
      <c r="E8" s="231">
        <f>1973/12</f>
        <v/>
      </c>
      <c r="F8" s="232" t="inlineStr">
        <is>
          <t>Производственный календарь 2023 год
(40-часов.неделя)</t>
        </is>
      </c>
      <c r="G8" s="234" t="n"/>
    </row>
    <row r="9" ht="15.75" customHeight="1" s="247">
      <c r="A9" s="227" t="inlineStr">
        <is>
          <t>1.3</t>
        </is>
      </c>
      <c r="B9" s="232" t="inlineStr">
        <is>
          <t>Коэффициент увеличения</t>
        </is>
      </c>
      <c r="C9" s="322" t="inlineStr">
        <is>
          <t>Кув</t>
        </is>
      </c>
      <c r="D9" s="322" t="inlineStr">
        <is>
          <t>-</t>
        </is>
      </c>
      <c r="E9" s="231" t="n">
        <v>1</v>
      </c>
      <c r="F9" s="232" t="n"/>
      <c r="G9" s="234" t="n"/>
    </row>
    <row r="10" ht="15.75" customHeight="1" s="247">
      <c r="A10" s="227" t="inlineStr">
        <is>
          <t>1.4</t>
        </is>
      </c>
      <c r="B10" s="232" t="inlineStr">
        <is>
          <t>Средний разряд работ</t>
        </is>
      </c>
      <c r="C10" s="322" t="n"/>
      <c r="D10" s="322" t="n"/>
      <c r="E10" s="391" t="n">
        <v>3.9</v>
      </c>
      <c r="F10" s="232" t="inlineStr">
        <is>
          <t>РТМ</t>
        </is>
      </c>
      <c r="G10" s="234" t="n"/>
    </row>
    <row r="11" ht="78.75" customHeight="1" s="247">
      <c r="A11" s="227" t="inlineStr">
        <is>
          <t>1.5</t>
        </is>
      </c>
      <c r="B11" s="232" t="inlineStr">
        <is>
          <t>Тарифный коэффициент среднего разряда работ</t>
        </is>
      </c>
      <c r="C11" s="322" t="inlineStr">
        <is>
          <t>КТ</t>
        </is>
      </c>
      <c r="D11" s="322" t="inlineStr">
        <is>
          <t>-</t>
        </is>
      </c>
      <c r="E11" s="392" t="n">
        <v>1.324</v>
      </c>
      <c r="F11" s="2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5" t="n"/>
    </row>
    <row r="12" ht="78.75" customHeight="1" s="247">
      <c r="A12" s="227" t="inlineStr">
        <is>
          <t>1.6</t>
        </is>
      </c>
      <c r="B12" s="284" t="inlineStr">
        <is>
          <t>Коэффициент инфляции, определяемый поквартально</t>
        </is>
      </c>
      <c r="C12" s="322" t="inlineStr">
        <is>
          <t>Кинф</t>
        </is>
      </c>
      <c r="D12" s="322" t="inlineStr">
        <is>
          <t>-</t>
        </is>
      </c>
      <c r="E12" s="393" t="n">
        <v>1.139</v>
      </c>
      <c r="F12" s="2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47">
      <c r="A13" s="240" t="inlineStr">
        <is>
          <t>1.7</t>
        </is>
      </c>
      <c r="B13" s="241" t="inlineStr">
        <is>
          <t>Размер средств на оплату труда рабочих-строителей в текущем уровне цен (ФОТр.тек.), руб/чел.-ч</t>
        </is>
      </c>
      <c r="C13" s="323" t="inlineStr">
        <is>
          <t>ФОТр.тек.</t>
        </is>
      </c>
      <c r="D13" s="323" t="inlineStr">
        <is>
          <t>(С1ср/tср*КТ*Т*Кув)*Кинф</t>
        </is>
      </c>
      <c r="E13" s="243">
        <f>((E7*E9/E8)*E11)*E12</f>
        <v/>
      </c>
      <c r="F13" s="2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5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2025-01-24T11:53:27Z</dcterms:modified>
  <cp:lastModifiedBy>анна николаева</cp:lastModifiedBy>
</cp:coreProperties>
</file>