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'Прил.3'!$A$1:$H$70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ОБ'!$A$1:$J$85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2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wrapText="1"/>
    </xf>
    <xf numFmtId="14" fontId="16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 wrapText="1"/>
    </xf>
    <xf numFmtId="0" fontId="16" fillId="0" borderId="1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10" fontId="16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9" fontId="4" fillId="0" borderId="0" pivotButton="0" quotePrefix="0" xfId="0"/>
    <xf numFmtId="2" fontId="4" fillId="0" borderId="0" pivotButton="0" quotePrefix="0" xfId="0"/>
    <xf numFmtId="4" fontId="4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center"/>
    </xf>
    <xf numFmtId="10" fontId="16" fillId="0" borderId="0" applyAlignment="1" pivotButton="0" quotePrefix="0" xfId="0">
      <alignment vertical="top"/>
    </xf>
    <xf numFmtId="10" fontId="20" fillId="0" borderId="0" pivotButton="0" quotePrefix="0" xfId="0"/>
    <xf numFmtId="2" fontId="1" fillId="0" borderId="6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/>
    </xf>
    <xf numFmtId="0" fontId="16" fillId="5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4" applyAlignment="1" pivotButton="0" quotePrefix="0" xfId="0">
      <alignment horizontal="right" vertical="center" wrapText="1"/>
    </xf>
    <xf numFmtId="43" fontId="1" fillId="0" borderId="3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5" applyAlignment="1" pivotButton="0" quotePrefix="0" xfId="0">
      <alignment horizontal="right" vertical="center" wrapText="1"/>
    </xf>
    <xf numFmtId="43" fontId="1" fillId="0" borderId="5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43" fontId="1" fillId="0" borderId="4" applyAlignment="1" pivotButton="0" quotePrefix="0" xfId="0">
      <alignment horizontal="right" vertical="center"/>
    </xf>
    <xf numFmtId="43" fontId="1" fillId="0" borderId="2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wrapText="1"/>
    </xf>
    <xf numFmtId="43" fontId="20" fillId="0" borderId="1" applyAlignment="1" pivotButton="0" quotePrefix="0" xfId="0">
      <alignment vertical="top"/>
    </xf>
    <xf numFmtId="43" fontId="2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43" fontId="20" fillId="0" borderId="1" applyAlignment="1" pivotButton="0" quotePrefix="0" xfId="0">
      <alignment horizontal="right" vertical="top"/>
    </xf>
    <xf numFmtId="4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left" vertical="center" wrapText="1"/>
    </xf>
    <xf numFmtId="0" fontId="20" fillId="0" borderId="7" applyAlignment="1" pivotButton="0" quotePrefix="0" xfId="0">
      <alignment horizontal="left" vertical="center" wrapText="1"/>
    </xf>
    <xf numFmtId="0" fontId="20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wrapText="1"/>
    </xf>
    <xf numFmtId="43" fontId="20" fillId="0" borderId="1" applyAlignment="1" pivotButton="0" quotePrefix="0" xfId="0">
      <alignment vertical="top"/>
    </xf>
    <xf numFmtId="43" fontId="2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2" fillId="0" borderId="1" applyAlignment="1" pivotButton="0" quotePrefix="0" xfId="0">
      <alignment horizontal="right" vertical="center" wrapText="1"/>
    </xf>
    <xf numFmtId="43" fontId="20" fillId="0" borderId="1" applyAlignment="1" pivotButton="0" quotePrefix="0" xfId="0">
      <alignment horizontal="right" vertical="top"/>
    </xf>
    <xf numFmtId="43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43" fontId="1" fillId="0" borderId="4" applyAlignment="1" pivotButton="0" quotePrefix="0" xfId="0">
      <alignment horizontal="right" vertical="center" wrapText="1"/>
    </xf>
    <xf numFmtId="43" fontId="1" fillId="0" borderId="3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5" applyAlignment="1" pivotButton="0" quotePrefix="0" xfId="0">
      <alignment horizontal="right" vertical="center" wrapText="1"/>
    </xf>
    <xf numFmtId="43" fontId="1" fillId="0" borderId="5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43" fontId="1" fillId="0" borderId="4" applyAlignment="1" pivotButton="0" quotePrefix="0" xfId="0">
      <alignment horizontal="right" vertical="center"/>
    </xf>
    <xf numFmtId="43" fontId="1" fillId="0" borderId="2" applyAlignment="1" pivotButton="0" quotePrefix="0" xfId="0">
      <alignment horizontal="right" vertical="center" wrapText="1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4" zoomScale="70" zoomScaleNormal="70" zoomScaleSheetLayoutView="70" workbookViewId="0">
      <selection activeCell="C28" sqref="C28"/>
    </sheetView>
  </sheetViews>
  <sheetFormatPr baseColWidth="8" defaultColWidth="9.140625" defaultRowHeight="15.75"/>
  <cols>
    <col width="9.140625" customWidth="1" style="237" min="1" max="2"/>
    <col width="51.7109375" customWidth="1" style="237" min="3" max="3"/>
    <col width="47" customWidth="1" style="237" min="4" max="4"/>
    <col width="37.42578125" customWidth="1" style="237" min="5" max="5"/>
    <col width="9.140625" customWidth="1" style="237" min="6" max="6"/>
  </cols>
  <sheetData>
    <row r="3">
      <c r="B3" s="256" t="inlineStr">
        <is>
          <t>Приложение № 1</t>
        </is>
      </c>
    </row>
    <row r="4">
      <c r="B4" s="257" t="inlineStr">
        <is>
          <t>Сравнительная таблица отбора объекта-представителя</t>
        </is>
      </c>
    </row>
    <row r="5" ht="84" customHeight="1" s="239">
      <c r="B5" s="2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9">
      <c r="B6" s="155" t="n"/>
      <c r="C6" s="155" t="n"/>
      <c r="D6" s="155" t="n"/>
    </row>
    <row r="7" ht="64.5" customHeight="1" s="239">
      <c r="B7" s="258" t="inlineStr">
        <is>
          <t>Наименование разрабатываемого показателя УНЦ - Подготовка и устройство территории ПС (ЗПС) Амурская область</t>
        </is>
      </c>
    </row>
    <row r="8" ht="31.5" customHeight="1" s="239">
      <c r="B8" s="130" t="inlineStr">
        <is>
          <t xml:space="preserve">Сопоставимый уровень цен: </t>
        </is>
      </c>
      <c r="C8" s="130" t="n"/>
      <c r="D8" s="236">
        <f>D22</f>
        <v/>
      </c>
    </row>
    <row r="9" ht="15.75" customHeight="1" s="239">
      <c r="B9" s="258" t="inlineStr">
        <is>
          <t>Единица измерения  — 1 м2</t>
        </is>
      </c>
    </row>
    <row r="10">
      <c r="B10" s="258" t="n"/>
    </row>
    <row r="11">
      <c r="B11" s="262" t="inlineStr">
        <is>
          <t>№ п/п</t>
        </is>
      </c>
      <c r="C11" s="262" t="inlineStr">
        <is>
          <t>Параметр</t>
        </is>
      </c>
      <c r="D11" s="262" t="inlineStr">
        <is>
          <t xml:space="preserve">Объект-представитель </t>
        </is>
      </c>
      <c r="E11" s="138" t="n"/>
    </row>
    <row r="12" ht="63" customHeight="1" s="239">
      <c r="B12" s="262" t="n">
        <v>1</v>
      </c>
      <c r="C12" s="243" t="inlineStr">
        <is>
          <t>Наименование объекта-представителя</t>
        </is>
      </c>
      <c r="D12" s="262" t="inlineStr">
        <is>
          <t xml:space="preserve"> Строительство ПС 220 кВ Восток с заходами ВЛ 220 кВ Хабаровская ТЭЦ-3 - Хехцир 2 III цепь в РУ 220 кВ ПС 220 кВ Восток.</t>
        </is>
      </c>
    </row>
    <row r="13">
      <c r="B13" s="262" t="n">
        <v>2</v>
      </c>
      <c r="C13" s="243" t="inlineStr">
        <is>
          <t>Наименование субъекта Российской Федерации</t>
        </is>
      </c>
      <c r="D13" s="262" t="inlineStr">
        <is>
          <t>Хабаровский край</t>
        </is>
      </c>
    </row>
    <row r="14">
      <c r="B14" s="262" t="n">
        <v>3</v>
      </c>
      <c r="C14" s="243" t="inlineStr">
        <is>
          <t>Климатический район и подрайон</t>
        </is>
      </c>
      <c r="D14" s="262" t="inlineStr">
        <is>
          <t>IВ</t>
        </is>
      </c>
    </row>
    <row r="15">
      <c r="B15" s="262" t="n">
        <v>4</v>
      </c>
      <c r="C15" s="243" t="inlineStr">
        <is>
          <t>Мощность объекта</t>
        </is>
      </c>
      <c r="D15" s="262" t="n">
        <v>182000</v>
      </c>
    </row>
    <row r="16" ht="63" customHeight="1" s="239">
      <c r="B16" s="262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2" t="inlineStr">
        <is>
          <t>Буровзрывные работы</t>
        </is>
      </c>
    </row>
    <row r="17" ht="63" customHeight="1" s="239">
      <c r="B17" s="262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4">
        <f>D18+D19+D20+D21</f>
        <v/>
      </c>
      <c r="E17" s="154" t="n"/>
    </row>
    <row r="18">
      <c r="B18" s="137" t="inlineStr">
        <is>
          <t>6.1</t>
        </is>
      </c>
      <c r="C18" s="243" t="inlineStr">
        <is>
          <t>строительно-монтажные работы</t>
        </is>
      </c>
      <c r="D18" s="234">
        <f>'Прил.2 Расч стоим'!F14</f>
        <v/>
      </c>
    </row>
    <row r="19">
      <c r="B19" s="137" t="inlineStr">
        <is>
          <t>6.2</t>
        </is>
      </c>
      <c r="C19" s="243" t="inlineStr">
        <is>
          <t>оборудование и инвентарь</t>
        </is>
      </c>
      <c r="D19" s="234">
        <f>'Прил.2 Расч стоим'!H14</f>
        <v/>
      </c>
    </row>
    <row r="20">
      <c r="B20" s="137" t="inlineStr">
        <is>
          <t>6.3</t>
        </is>
      </c>
      <c r="C20" s="243" t="inlineStr">
        <is>
          <t>пусконаладочные работы</t>
        </is>
      </c>
      <c r="D20" s="262" t="n">
        <v>0</v>
      </c>
    </row>
    <row r="21">
      <c r="B21" s="137" t="inlineStr">
        <is>
          <t>6.4</t>
        </is>
      </c>
      <c r="C21" s="136" t="inlineStr">
        <is>
          <t>прочие и лимитированные затраты</t>
        </is>
      </c>
      <c r="D21" s="234">
        <f>D18*0.039+(D18*0.039+D18)*0.07*0.9</f>
        <v/>
      </c>
    </row>
    <row r="22">
      <c r="B22" s="262" t="n">
        <v>7</v>
      </c>
      <c r="C22" s="136" t="inlineStr">
        <is>
          <t>Сопоставимый уровень цен</t>
        </is>
      </c>
      <c r="D22" s="158" t="inlineStr">
        <is>
          <t>3 кв. 2018 г.</t>
        </is>
      </c>
      <c r="E22" s="134" t="n"/>
    </row>
    <row r="23" ht="78.75" customHeight="1" s="239">
      <c r="B23" s="262" t="n">
        <v>8</v>
      </c>
      <c r="C23" s="13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4">
        <f>D17</f>
        <v/>
      </c>
      <c r="E23" s="154" t="n"/>
    </row>
    <row r="24" ht="31.5" customHeight="1" s="239">
      <c r="B24" s="262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34">
        <f>D23/D15</f>
        <v/>
      </c>
      <c r="E24" s="134" t="n"/>
    </row>
    <row r="25">
      <c r="B25" s="262" t="n">
        <v>10</v>
      </c>
      <c r="C25" s="243" t="inlineStr">
        <is>
          <t>Примечание</t>
        </is>
      </c>
      <c r="D25" s="262" t="n"/>
    </row>
    <row r="26">
      <c r="B26" s="132" t="n"/>
      <c r="C26" s="131" t="n"/>
      <c r="D26" s="131" t="n"/>
    </row>
    <row r="27">
      <c r="B27" s="130" t="n"/>
    </row>
    <row r="28">
      <c r="B28" s="237" t="inlineStr">
        <is>
          <t>Составил ______________________    Д.А. Самуйленко</t>
        </is>
      </c>
    </row>
    <row r="29">
      <c r="B29" s="130" t="inlineStr">
        <is>
          <t xml:space="preserve">                         (подпись, инициалы, фамилия)</t>
        </is>
      </c>
    </row>
    <row r="31">
      <c r="B31" s="237" t="inlineStr">
        <is>
          <t>Проверил ______________________        А.В. Костянецкая</t>
        </is>
      </c>
    </row>
    <row r="32">
      <c r="B32" s="13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Normal="70" zoomScaleSheetLayoutView="100" workbookViewId="0">
      <selection activeCell="C18" sqref="C18"/>
    </sheetView>
  </sheetViews>
  <sheetFormatPr baseColWidth="8" defaultColWidth="9.140625" defaultRowHeight="15.75"/>
  <cols>
    <col width="5.5703125" customWidth="1" style="237" min="1" max="1"/>
    <col width="9.140625" customWidth="1" style="237" min="2" max="2"/>
    <col width="35.28515625" customWidth="1" style="237" min="3" max="3"/>
    <col width="13.85546875" customWidth="1" style="237" min="4" max="4"/>
    <col width="24.85546875" customWidth="1" style="237" min="5" max="5"/>
    <col width="15.5703125" customWidth="1" style="237" min="6" max="6"/>
    <col width="14.85546875" customWidth="1" style="237" min="7" max="7"/>
    <col width="16.7109375" customWidth="1" style="237" min="8" max="8"/>
    <col width="13" customWidth="1" style="237" min="9" max="10"/>
    <col width="18" customWidth="1" style="237" min="11" max="11"/>
    <col width="9.140625" customWidth="1" style="237" min="12" max="12"/>
  </cols>
  <sheetData>
    <row r="3">
      <c r="B3" s="256" t="inlineStr">
        <is>
          <t>Приложение № 2</t>
        </is>
      </c>
      <c r="K3" s="130" t="n"/>
    </row>
    <row r="4">
      <c r="B4" s="257" t="inlineStr">
        <is>
          <t>Расчет стоимости основных видов работ для выбора объекта-представителя</t>
        </is>
      </c>
    </row>
    <row r="5">
      <c r="B5" s="139" t="n"/>
      <c r="C5" s="139" t="n"/>
      <c r="D5" s="139" t="n"/>
      <c r="E5" s="139" t="n"/>
      <c r="F5" s="139" t="n"/>
      <c r="G5" s="139" t="n"/>
      <c r="H5" s="139" t="n"/>
      <c r="I5" s="139" t="n"/>
      <c r="J5" s="139" t="n"/>
      <c r="K5" s="139" t="n"/>
    </row>
    <row r="6" ht="64.5" customHeight="1" s="239">
      <c r="B6" s="263">
        <f>'Прил.1 Сравнит табл'!B7:D7</f>
        <v/>
      </c>
      <c r="K6" s="198" t="n"/>
    </row>
    <row r="7">
      <c r="B7" s="258">
        <f>'Прил.1 Сравнит табл'!B9:D9</f>
        <v/>
      </c>
    </row>
    <row r="8" ht="18.75" customHeight="1" s="239">
      <c r="B8" s="113" t="n"/>
    </row>
    <row r="9" ht="15.75" customHeight="1" s="239">
      <c r="A9" s="237" t="n"/>
      <c r="B9" s="262" t="inlineStr">
        <is>
          <t>№ п/п</t>
        </is>
      </c>
      <c r="C9" s="2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2" t="inlineStr">
        <is>
          <t>Объект-представитель 1</t>
        </is>
      </c>
      <c r="E9" s="368" t="n"/>
      <c r="F9" s="368" t="n"/>
      <c r="G9" s="368" t="n"/>
      <c r="H9" s="368" t="n"/>
      <c r="I9" s="368" t="n"/>
      <c r="J9" s="369" t="n"/>
      <c r="K9" s="237" t="n"/>
      <c r="L9" s="237" t="n"/>
    </row>
    <row r="10" ht="15.75" customHeight="1" s="239">
      <c r="A10" s="237" t="n"/>
      <c r="B10" s="370" t="n"/>
      <c r="C10" s="370" t="n"/>
      <c r="D10" s="262" t="inlineStr">
        <is>
          <t>Номер сметы</t>
        </is>
      </c>
      <c r="E10" s="262" t="inlineStr">
        <is>
          <t>Наименование сметы</t>
        </is>
      </c>
      <c r="F10" s="262" t="inlineStr">
        <is>
          <t>Сметная стоимость в уровне цен 3 кв. 2018 г., тыс. руб.</t>
        </is>
      </c>
      <c r="G10" s="368" t="n"/>
      <c r="H10" s="368" t="n"/>
      <c r="I10" s="368" t="n"/>
      <c r="J10" s="369" t="n"/>
      <c r="K10" s="237" t="n"/>
      <c r="L10" s="237" t="n"/>
    </row>
    <row r="11" ht="31.5" customHeight="1" s="239">
      <c r="A11" s="237" t="n"/>
      <c r="B11" s="371" t="n"/>
      <c r="C11" s="371" t="n"/>
      <c r="D11" s="371" t="n"/>
      <c r="E11" s="371" t="n"/>
      <c r="F11" s="262" t="inlineStr">
        <is>
          <t>Строительные работы</t>
        </is>
      </c>
      <c r="G11" s="262" t="inlineStr">
        <is>
          <t>Монтажные работы</t>
        </is>
      </c>
      <c r="H11" s="262" t="inlineStr">
        <is>
          <t>Оборудование</t>
        </is>
      </c>
      <c r="I11" s="262" t="inlineStr">
        <is>
          <t>Прочее</t>
        </is>
      </c>
      <c r="J11" s="262" t="inlineStr">
        <is>
          <t>Всего</t>
        </is>
      </c>
      <c r="L11" s="237" t="n"/>
    </row>
    <row r="12">
      <c r="A12" s="237" t="n"/>
      <c r="B12" s="240" t="n">
        <v>1</v>
      </c>
      <c r="C12" s="307" t="inlineStr">
        <is>
          <t>Буровзрывные работы</t>
        </is>
      </c>
      <c r="D12" s="242" t="n"/>
      <c r="E12" s="243" t="n"/>
      <c r="F12" s="244" t="n">
        <v>348851.69924364</v>
      </c>
      <c r="G12" s="369" t="n"/>
      <c r="H12" s="244" t="n"/>
      <c r="I12" s="244" t="n"/>
      <c r="J12" s="245">
        <f>SUM(F12:I12)</f>
        <v/>
      </c>
      <c r="L12" s="237" t="n"/>
    </row>
    <row r="13" ht="15" customHeight="1" s="239">
      <c r="A13" s="237" t="n"/>
      <c r="B13" s="266" t="inlineStr">
        <is>
          <t>Всего по объекту:</t>
        </is>
      </c>
      <c r="C13" s="368" t="n"/>
      <c r="D13" s="368" t="n"/>
      <c r="E13" s="369" t="n"/>
      <c r="F13" s="247" t="n"/>
      <c r="G13" s="247" t="n"/>
      <c r="H13" s="247" t="n"/>
      <c r="I13" s="247" t="n"/>
      <c r="J13" s="247" t="n"/>
      <c r="K13" s="248" t="n"/>
      <c r="L13" s="237" t="n"/>
    </row>
    <row r="14" ht="15.75" customHeight="1" s="239">
      <c r="A14" s="237" t="n"/>
      <c r="B14" s="266" t="inlineStr">
        <is>
          <t>Всего по объекту в сопоставимом уровне цен 3 кв. 2018 г. :</t>
        </is>
      </c>
      <c r="C14" s="368" t="n"/>
      <c r="D14" s="368" t="n"/>
      <c r="E14" s="369" t="n"/>
      <c r="F14" s="372">
        <f>F12</f>
        <v/>
      </c>
      <c r="G14" s="369" t="n"/>
      <c r="H14" s="247">
        <f>H12</f>
        <v/>
      </c>
      <c r="I14" s="247">
        <f>'Прил.1 Сравнит табл'!D21</f>
        <v/>
      </c>
      <c r="J14" s="247">
        <f>SUM(F14:I14)</f>
        <v/>
      </c>
      <c r="L14" s="237" t="n"/>
    </row>
    <row r="15" ht="15" customHeight="1" s="239"/>
    <row r="16" ht="15" customHeight="1" s="239"/>
    <row r="17" ht="15" customHeight="1" s="239"/>
    <row r="18" ht="15" customHeight="1" s="239">
      <c r="C18" s="216" t="inlineStr">
        <is>
          <t>Составил ______________________     Д.А. Самуйленко</t>
        </is>
      </c>
      <c r="D18" s="227" t="n"/>
      <c r="E18" s="227" t="n"/>
    </row>
    <row r="19" ht="15" customHeight="1" s="239">
      <c r="C19" s="226" t="inlineStr">
        <is>
          <t xml:space="preserve">                         (подпись, инициалы, фамилия)</t>
        </is>
      </c>
      <c r="D19" s="227" t="n"/>
      <c r="E19" s="227" t="n"/>
    </row>
    <row r="20" ht="15" customHeight="1" s="239">
      <c r="C20" s="216" t="n"/>
      <c r="D20" s="227" t="n"/>
      <c r="E20" s="227" t="n"/>
    </row>
    <row r="21" ht="15" customHeight="1" s="239">
      <c r="C21" s="216" t="inlineStr">
        <is>
          <t>Проверил ______________________        А.В. Костянецкая</t>
        </is>
      </c>
      <c r="D21" s="227" t="n"/>
      <c r="E21" s="227" t="n"/>
    </row>
    <row r="22" ht="15" customHeight="1" s="239">
      <c r="C22" s="226" t="inlineStr">
        <is>
          <t xml:space="preserve">                        (подпись, инициалы, фамилия)</t>
        </is>
      </c>
      <c r="D22" s="227" t="n"/>
      <c r="E22" s="227" t="n"/>
    </row>
    <row r="23" ht="15" customHeight="1" s="239"/>
    <row r="24" ht="15" customHeight="1" s="239"/>
    <row r="25" ht="15" customHeight="1" s="239"/>
    <row r="26" ht="15" customHeight="1" s="239"/>
    <row r="27" ht="15" customHeight="1" s="239"/>
    <row r="28" ht="15" customHeight="1" s="23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70"/>
  <sheetViews>
    <sheetView view="pageBreakPreview" topLeftCell="A39" zoomScale="85" workbookViewId="0">
      <selection activeCell="C66" sqref="C66"/>
    </sheetView>
  </sheetViews>
  <sheetFormatPr baseColWidth="8" defaultColWidth="9.140625" defaultRowHeight="15.75"/>
  <cols>
    <col width="9.140625" customWidth="1" style="237" min="1" max="1"/>
    <col width="12.5703125" customWidth="1" style="237" min="2" max="2"/>
    <col width="22.42578125" customWidth="1" style="237" min="3" max="3"/>
    <col width="49.7109375" customWidth="1" style="237" min="4" max="4"/>
    <col width="10.140625" customWidth="1" style="237" min="5" max="5"/>
    <col width="20.7109375" customWidth="1" style="237" min="6" max="6"/>
    <col width="20" customWidth="1" style="237" min="7" max="7"/>
    <col width="16.7109375" customWidth="1" style="237" min="8" max="8"/>
    <col width="9.140625" customWidth="1" style="237" min="9" max="9"/>
    <col width="11.28515625" customWidth="1" style="237" min="10" max="10"/>
    <col width="15" customWidth="1" style="237" min="11" max="11"/>
    <col width="9.140625" customWidth="1" style="237" min="12" max="12"/>
    <col width="13.5703125" customWidth="1" style="237" min="13" max="13"/>
    <col width="9.140625" customWidth="1" style="237" min="14" max="14"/>
  </cols>
  <sheetData>
    <row r="2">
      <c r="A2" s="256" t="inlineStr">
        <is>
          <t xml:space="preserve">Приложение № 3 </t>
        </is>
      </c>
    </row>
    <row r="3">
      <c r="A3" s="257" t="inlineStr">
        <is>
          <t>Объектная ресурсная ведомость</t>
        </is>
      </c>
    </row>
    <row r="4" ht="18.75" customHeight="1" s="239">
      <c r="A4" s="157" t="n"/>
      <c r="B4" s="157" t="n"/>
      <c r="C4" s="27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58" t="n"/>
    </row>
    <row r="6" ht="47.25" customHeight="1" s="239">
      <c r="A6" s="263" t="inlineStr">
        <is>
          <t>Наименование разрабатываемого показателя УНЦ - Подготовка и устройство территории ПС (ЗПС) Амурская область</t>
        </is>
      </c>
    </row>
    <row r="7" ht="18.75" customHeight="1" s="239">
      <c r="A7" s="263" t="n"/>
      <c r="B7" s="263" t="n"/>
      <c r="C7" s="263" t="n"/>
      <c r="D7" s="263" t="n"/>
      <c r="E7" s="263" t="n"/>
      <c r="F7" s="263" t="n"/>
      <c r="G7" s="263" t="n"/>
      <c r="H7" s="263" t="n"/>
      <c r="I7" s="237" t="n"/>
      <c r="J7" s="237" t="n"/>
      <c r="K7" s="237" t="n"/>
      <c r="L7" s="237" t="n"/>
      <c r="M7" s="237" t="n"/>
      <c r="N7" s="237" t="n"/>
    </row>
    <row r="8">
      <c r="A8" s="140" t="n"/>
      <c r="B8" s="140" t="n"/>
      <c r="C8" s="140" t="n"/>
      <c r="D8" s="140" t="n"/>
      <c r="E8" s="140" t="n"/>
      <c r="F8" s="140" t="n"/>
      <c r="G8" s="140" t="n"/>
      <c r="H8" s="140" t="n"/>
    </row>
    <row r="9" ht="38.25" customHeight="1" s="239">
      <c r="A9" s="262" t="inlineStr">
        <is>
          <t>п/п</t>
        </is>
      </c>
      <c r="B9" s="262" t="inlineStr">
        <is>
          <t>№ЛСР</t>
        </is>
      </c>
      <c r="C9" s="262" t="inlineStr">
        <is>
          <t>Код ресурса</t>
        </is>
      </c>
      <c r="D9" s="262" t="inlineStr">
        <is>
          <t>Наименование ресурса</t>
        </is>
      </c>
      <c r="E9" s="262" t="inlineStr">
        <is>
          <t>Ед. изм.</t>
        </is>
      </c>
      <c r="F9" s="262" t="inlineStr">
        <is>
          <t>Кол-во единиц по данным объекта-представителя</t>
        </is>
      </c>
      <c r="G9" s="262" t="inlineStr">
        <is>
          <t>Сметная стоимость в ценах на 01.01.2000 (руб.)</t>
        </is>
      </c>
      <c r="H9" s="369" t="n"/>
    </row>
    <row r="10" ht="40.5" customHeight="1" s="239">
      <c r="A10" s="371" t="n"/>
      <c r="B10" s="371" t="n"/>
      <c r="C10" s="371" t="n"/>
      <c r="D10" s="371" t="n"/>
      <c r="E10" s="371" t="n"/>
      <c r="F10" s="371" t="n"/>
      <c r="G10" s="262" t="inlineStr">
        <is>
          <t>на ед.изм.</t>
        </is>
      </c>
      <c r="H10" s="262" t="inlineStr">
        <is>
          <t>общая</t>
        </is>
      </c>
    </row>
    <row r="11">
      <c r="A11" s="307" t="n">
        <v>1</v>
      </c>
      <c r="B11" s="307" t="n"/>
      <c r="C11" s="307" t="n">
        <v>2</v>
      </c>
      <c r="D11" s="307" t="inlineStr">
        <is>
          <t>З</t>
        </is>
      </c>
      <c r="E11" s="307" t="n">
        <v>4</v>
      </c>
      <c r="F11" s="307" t="n">
        <v>5</v>
      </c>
      <c r="G11" s="307" t="n">
        <v>6</v>
      </c>
      <c r="H11" s="307" t="n">
        <v>7</v>
      </c>
    </row>
    <row r="12" customFormat="1" s="142">
      <c r="A12" s="270" t="inlineStr">
        <is>
          <t>Затраты труда рабочих</t>
        </is>
      </c>
      <c r="B12" s="368" t="n"/>
      <c r="C12" s="368" t="n"/>
      <c r="D12" s="368" t="n"/>
      <c r="E12" s="369" t="n"/>
      <c r="F12" s="373" t="n">
        <v>427770.89</v>
      </c>
      <c r="G12" s="10" t="n"/>
      <c r="H12" s="373">
        <f>SUM(H13:H17)</f>
        <v/>
      </c>
      <c r="K12" s="168" t="n"/>
      <c r="M12" s="170" t="n"/>
      <c r="N12" s="168" t="n"/>
    </row>
    <row r="13">
      <c r="A13" s="176" t="inlineStr">
        <is>
          <t>1</t>
        </is>
      </c>
      <c r="B13" s="177" t="n"/>
      <c r="C13" s="176" t="inlineStr">
        <is>
          <t>1-4-0</t>
        </is>
      </c>
      <c r="D13" s="178" t="inlineStr">
        <is>
          <t>Затраты труда рабочих (средний разряд работы 4,0)</t>
        </is>
      </c>
      <c r="E13" s="179" t="inlineStr">
        <is>
          <t>чел.-ч</t>
        </is>
      </c>
      <c r="F13" s="283" t="n">
        <v>144402.29</v>
      </c>
      <c r="G13" s="374" t="n">
        <v>9.619999999999999</v>
      </c>
      <c r="H13" s="375">
        <f>ROUND(F13*G13,2)</f>
        <v/>
      </c>
      <c r="J13" s="139" t="n"/>
      <c r="K13" s="229" t="n"/>
    </row>
    <row r="14">
      <c r="A14" s="176" t="inlineStr">
        <is>
          <t>2</t>
        </is>
      </c>
      <c r="B14" s="177" t="n"/>
      <c r="C14" s="176" t="inlineStr">
        <is>
          <t>1-3-2</t>
        </is>
      </c>
      <c r="D14" s="178" t="inlineStr">
        <is>
          <t>Затраты труда рабочих (средний разряд работы 3,2)</t>
        </is>
      </c>
      <c r="E14" s="179" t="inlineStr">
        <is>
          <t>чел.-ч</t>
        </is>
      </c>
      <c r="F14" s="283" t="n">
        <v>52290</v>
      </c>
      <c r="G14" s="374" t="n">
        <v>8.74</v>
      </c>
      <c r="H14" s="375">
        <f>ROUND(F14*G14,2)</f>
        <v/>
      </c>
      <c r="J14" s="139" t="n"/>
      <c r="K14" s="229" t="n"/>
    </row>
    <row r="15">
      <c r="A15" s="176" t="inlineStr">
        <is>
          <t>3</t>
        </is>
      </c>
      <c r="B15" s="177" t="n"/>
      <c r="C15" s="176" t="inlineStr">
        <is>
          <t>1-3-8</t>
        </is>
      </c>
      <c r="D15" s="178" t="inlineStr">
        <is>
          <t>Затраты труда рабочих (средний разряд работы 3,8)</t>
        </is>
      </c>
      <c r="E15" s="179" t="inlineStr">
        <is>
          <t>чел.-ч</t>
        </is>
      </c>
      <c r="F15" s="283" t="n">
        <v>35190.24</v>
      </c>
      <c r="G15" s="374" t="n">
        <v>9.4</v>
      </c>
      <c r="H15" s="375">
        <f>ROUND(F15*G15,2)</f>
        <v/>
      </c>
      <c r="J15" s="139" t="n"/>
      <c r="K15" s="229" t="n"/>
    </row>
    <row r="16">
      <c r="A16" s="176" t="inlineStr">
        <is>
          <t>4</t>
        </is>
      </c>
      <c r="B16" s="177" t="n"/>
      <c r="C16" s="176" t="inlineStr">
        <is>
          <t>1-2-2</t>
        </is>
      </c>
      <c r="D16" s="178" t="inlineStr">
        <is>
          <t>Затраты труда рабочих (средний разряд работы 2,2)</t>
        </is>
      </c>
      <c r="E16" s="179" t="inlineStr">
        <is>
          <t>чел.-ч</t>
        </is>
      </c>
      <c r="F16" s="283" t="n">
        <v>1082.4</v>
      </c>
      <c r="G16" s="374" t="n">
        <v>7.94</v>
      </c>
      <c r="H16" s="375">
        <f>ROUND(F16*G16,2)</f>
        <v/>
      </c>
      <c r="J16" s="139" t="n"/>
      <c r="K16" s="229" t="n"/>
    </row>
    <row r="17">
      <c r="A17" s="176" t="inlineStr">
        <is>
          <t>5</t>
        </is>
      </c>
      <c r="B17" s="177" t="n"/>
      <c r="C17" s="176" t="inlineStr">
        <is>
          <t>1-1-5</t>
        </is>
      </c>
      <c r="D17" s="178" t="inlineStr">
        <is>
          <t>Затраты труда рабочих (средний разряд работы 1,5)</t>
        </is>
      </c>
      <c r="E17" s="179" t="inlineStr">
        <is>
          <t>чел.-ч</t>
        </is>
      </c>
      <c r="F17" s="283" t="n">
        <v>194805.96</v>
      </c>
      <c r="G17" s="374" t="n">
        <v>7.5</v>
      </c>
      <c r="H17" s="375">
        <f>ROUND(F17*G17,2)</f>
        <v/>
      </c>
      <c r="J17" s="139" t="n"/>
      <c r="K17" s="229" t="n"/>
    </row>
    <row r="18" ht="15.75" customHeight="1" s="239">
      <c r="A18" s="276" t="inlineStr">
        <is>
          <t>Затраты труда машинистов</t>
        </is>
      </c>
      <c r="B18" s="368" t="n"/>
      <c r="C18" s="368" t="n"/>
      <c r="D18" s="368" t="n"/>
      <c r="E18" s="369" t="n"/>
      <c r="F18" s="211" t="n"/>
      <c r="G18" s="376" t="n"/>
      <c r="H18" s="373">
        <f>H19</f>
        <v/>
      </c>
      <c r="J18" s="130" t="n"/>
    </row>
    <row r="19">
      <c r="A19" s="283" t="n">
        <v>6</v>
      </c>
      <c r="B19" s="271" t="n"/>
      <c r="C19" s="160" t="n">
        <v>2</v>
      </c>
      <c r="D19" s="286" t="inlineStr">
        <is>
          <t>Затраты труда машинистов</t>
        </is>
      </c>
      <c r="E19" s="283" t="inlineStr">
        <is>
          <t>чел.-ч</t>
        </is>
      </c>
      <c r="F19" s="283" t="n">
        <v>174234.55</v>
      </c>
      <c r="G19" s="305" t="n">
        <v>0</v>
      </c>
      <c r="H19" s="374">
        <f>370353.59+1861799.85</f>
        <v/>
      </c>
      <c r="J19" s="130" t="n"/>
    </row>
    <row r="20" customFormat="1" s="142">
      <c r="A20" s="270" t="inlineStr">
        <is>
          <t>Машины и механизмы</t>
        </is>
      </c>
      <c r="B20" s="368" t="n"/>
      <c r="C20" s="368" t="n"/>
      <c r="D20" s="368" t="n"/>
      <c r="E20" s="369" t="n"/>
      <c r="F20" s="376" t="n"/>
      <c r="G20" s="376" t="n"/>
      <c r="H20" s="377">
        <f>SUM(H21:H38)</f>
        <v/>
      </c>
      <c r="J20" s="181" t="n"/>
    </row>
    <row r="21" customFormat="1" s="142">
      <c r="A21" s="7" t="n">
        <v>7</v>
      </c>
      <c r="B21" s="270" t="n"/>
      <c r="C21" s="7" t="inlineStr">
        <is>
          <t>91.14.02-004</t>
        </is>
      </c>
      <c r="D21" s="185" t="inlineStr">
        <is>
          <t>Автомобили бортовые, грузоподъемность до 15т</t>
        </is>
      </c>
      <c r="E21" s="283" t="inlineStr">
        <is>
          <t>маш.час</t>
        </is>
      </c>
      <c r="F21" s="7" t="n">
        <v>137911.1</v>
      </c>
      <c r="G21" s="378" t="n">
        <v>92.94</v>
      </c>
      <c r="H21" s="374">
        <f>ROUND(F21*G21,2)</f>
        <v/>
      </c>
      <c r="J21" s="182" t="n"/>
      <c r="L21" s="194" t="n"/>
    </row>
    <row r="22" customFormat="1" s="142">
      <c r="A22" s="283" t="n">
        <v>8</v>
      </c>
      <c r="B22" s="180" t="n"/>
      <c r="C22" s="160" t="inlineStr">
        <is>
          <t>91.04.01-043</t>
        </is>
      </c>
      <c r="D22" s="286" t="inlineStr">
        <is>
          <t>Молотки бурильные: средние</t>
        </is>
      </c>
      <c r="E22" s="283" t="inlineStr">
        <is>
          <t>маш.час</t>
        </is>
      </c>
      <c r="F22" s="283" t="n">
        <v>66826.64</v>
      </c>
      <c r="G22" s="374" t="n">
        <v>58.67</v>
      </c>
      <c r="H22" s="374">
        <f>ROUND(F22*G22,2)</f>
        <v/>
      </c>
      <c r="J22" s="182" t="n"/>
      <c r="L22" s="193" t="n"/>
    </row>
    <row r="23" ht="38.25" customHeight="1" s="239">
      <c r="A23" s="7" t="n">
        <v>9</v>
      </c>
      <c r="B23" s="180" t="n"/>
      <c r="C23" s="160" t="inlineStr">
        <is>
          <t>91.18.01-004</t>
        </is>
      </c>
      <c r="D23" s="286" t="inlineStr">
        <is>
          <t>Компрессоры передвижные с двигателем внутреннего сгорания давлением: 800 кПа (8 ат), производительность 10 м3/мин</t>
        </is>
      </c>
      <c r="E23" s="283" t="inlineStr">
        <is>
          <t>маш.час</t>
        </is>
      </c>
      <c r="F23" s="283" t="n">
        <v>33507.89</v>
      </c>
      <c r="G23" s="374" t="n">
        <v>91.63</v>
      </c>
      <c r="H23" s="374">
        <f>ROUND(F23*G23,2)</f>
        <v/>
      </c>
      <c r="I23" s="145" t="n"/>
      <c r="J23" s="182" t="n"/>
      <c r="L23" s="193" t="n"/>
    </row>
    <row r="24">
      <c r="A24" s="283" t="n">
        <v>10</v>
      </c>
      <c r="B24" s="180" t="n"/>
      <c r="C24" s="160" t="inlineStr">
        <is>
          <t>91.01.01-036</t>
        </is>
      </c>
      <c r="D24" s="286" t="inlineStr">
        <is>
          <t>Бульдозеры, мощность 96 кВт (130 л.с.)</t>
        </is>
      </c>
      <c r="E24" s="283" t="inlineStr">
        <is>
          <t>маш.час</t>
        </is>
      </c>
      <c r="F24" s="283" t="n">
        <v>986.11</v>
      </c>
      <c r="G24" s="374" t="n">
        <v>94.05</v>
      </c>
      <c r="H24" s="374">
        <f>ROUND(F24*G24,2)</f>
        <v/>
      </c>
      <c r="I24" s="145" t="n"/>
      <c r="J24" s="182" t="n"/>
      <c r="L24" s="145" t="n"/>
    </row>
    <row r="25" ht="38.25" customHeight="1" s="239">
      <c r="A25" s="7" t="n">
        <v>11</v>
      </c>
      <c r="B25" s="180" t="n"/>
      <c r="C25" s="160" t="inlineStr">
        <is>
          <t>91.18.01-007</t>
        </is>
      </c>
      <c r="D25" s="28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283" t="inlineStr">
        <is>
          <t>маш.час</t>
        </is>
      </c>
      <c r="F25" s="283" t="n">
        <v>896</v>
      </c>
      <c r="G25" s="374" t="n">
        <v>90</v>
      </c>
      <c r="H25" s="374">
        <f>ROUND(F25*G25,2)</f>
        <v/>
      </c>
      <c r="I25" s="145" t="n"/>
      <c r="J25" s="182" t="n"/>
      <c r="L25" s="145" t="n"/>
    </row>
    <row r="26">
      <c r="A26" s="283" t="n">
        <v>12</v>
      </c>
      <c r="B26" s="180" t="n"/>
      <c r="C26" s="160" t="inlineStr">
        <is>
          <t>91.14.02-001</t>
        </is>
      </c>
      <c r="D26" s="286" t="inlineStr">
        <is>
          <t>Автомобили бортовые, грузоподъемность до 5 т</t>
        </is>
      </c>
      <c r="E26" s="283" t="inlineStr">
        <is>
          <t>маш.час</t>
        </is>
      </c>
      <c r="F26" s="283" t="n">
        <v>888.1</v>
      </c>
      <c r="G26" s="374" t="n">
        <v>87.17</v>
      </c>
      <c r="H26" s="374">
        <f>ROUND(F26*G26,2)</f>
        <v/>
      </c>
      <c r="I26" s="145" t="n"/>
      <c r="J26" s="182" t="n"/>
      <c r="L26" s="145" t="n"/>
    </row>
    <row r="27" ht="25.5" customHeight="1" s="239">
      <c r="A27" s="7" t="n">
        <v>13</v>
      </c>
      <c r="B27" s="180" t="n"/>
      <c r="C27" s="160" t="inlineStr">
        <is>
          <t>91.05.05-014</t>
        </is>
      </c>
      <c r="D27" s="286" t="inlineStr">
        <is>
          <t>Краны на автомобильном ходу, грузоподъемность 10 т</t>
        </is>
      </c>
      <c r="E27" s="283" t="inlineStr">
        <is>
          <t>маш.час</t>
        </is>
      </c>
      <c r="F27" s="283" t="n">
        <v>386.22</v>
      </c>
      <c r="G27" s="374" t="n">
        <v>111.99</v>
      </c>
      <c r="H27" s="374">
        <f>ROUND(F27*G27,2)</f>
        <v/>
      </c>
      <c r="I27" s="145" t="n"/>
      <c r="J27" s="182" t="n"/>
      <c r="L27" s="145" t="n"/>
    </row>
    <row r="28" ht="25.5" customHeight="1" s="239">
      <c r="A28" s="283" t="n">
        <v>14</v>
      </c>
      <c r="B28" s="180" t="n"/>
      <c r="C28" s="160" t="inlineStr">
        <is>
          <t>91.13.03-112</t>
        </is>
      </c>
      <c r="D28" s="286" t="inlineStr">
        <is>
          <t>Спецавтомобили-вездеходы, грузоподъемность до 1,5 т</t>
        </is>
      </c>
      <c r="E28" s="283" t="inlineStr">
        <is>
          <t>маш.час</t>
        </is>
      </c>
      <c r="F28" s="283" t="n">
        <v>457.07</v>
      </c>
      <c r="G28" s="374" t="n">
        <v>92.86</v>
      </c>
      <c r="H28" s="374">
        <f>ROUND(F28*G28,2)</f>
        <v/>
      </c>
      <c r="I28" s="145" t="n"/>
      <c r="J28" s="182" t="n"/>
      <c r="L28" s="145" t="n"/>
    </row>
    <row r="29">
      <c r="A29" s="7" t="n">
        <v>15</v>
      </c>
      <c r="B29" s="180" t="n"/>
      <c r="C29" s="160" t="inlineStr">
        <is>
          <t>91.08.03-029</t>
        </is>
      </c>
      <c r="D29" s="286" t="inlineStr">
        <is>
          <t>Катки на пневмоколесном ходу 16 т</t>
        </is>
      </c>
      <c r="E29" s="283" t="inlineStr">
        <is>
          <t>маш.час</t>
        </is>
      </c>
      <c r="F29" s="283" t="n">
        <v>57.73</v>
      </c>
      <c r="G29" s="374" t="n">
        <v>331.98</v>
      </c>
      <c r="H29" s="374">
        <f>ROUND(F29*G29,2)</f>
        <v/>
      </c>
      <c r="I29" s="145" t="n"/>
      <c r="J29" s="182" t="n"/>
      <c r="L29" s="145" t="n"/>
    </row>
    <row r="30">
      <c r="A30" s="283" t="n">
        <v>16</v>
      </c>
      <c r="B30" s="180" t="n"/>
      <c r="C30" s="160" t="inlineStr">
        <is>
          <t>30101</t>
        </is>
      </c>
      <c r="D30" s="286" t="inlineStr">
        <is>
          <t>Автопогрузчики 5 т</t>
        </is>
      </c>
      <c r="E30" s="283" t="inlineStr">
        <is>
          <t>маш.час</t>
        </is>
      </c>
      <c r="F30" s="283" t="n">
        <v>154</v>
      </c>
      <c r="G30" s="374" t="n">
        <v>89.98999999999999</v>
      </c>
      <c r="H30" s="374">
        <f>ROUND(F30*G30,2)</f>
        <v/>
      </c>
      <c r="I30" s="145" t="n"/>
      <c r="J30" s="182" t="n"/>
      <c r="L30" s="145" t="n"/>
    </row>
    <row r="31">
      <c r="A31" s="7" t="n">
        <v>17</v>
      </c>
      <c r="B31" s="180" t="n"/>
      <c r="C31" s="160" t="inlineStr">
        <is>
          <t>91.13.01-038</t>
        </is>
      </c>
      <c r="D31" s="286" t="inlineStr">
        <is>
          <t>Машины поливомоечные 6000 л</t>
        </is>
      </c>
      <c r="E31" s="283" t="inlineStr">
        <is>
          <t>маш.час</t>
        </is>
      </c>
      <c r="F31" s="283" t="n">
        <v>77</v>
      </c>
      <c r="G31" s="374" t="n">
        <v>110</v>
      </c>
      <c r="H31" s="374">
        <f>ROUND(F31*G31,2)</f>
        <v/>
      </c>
      <c r="I31" s="145" t="n"/>
      <c r="J31" s="182" t="n"/>
      <c r="L31" s="145" t="n"/>
    </row>
    <row r="32" ht="38.25" customHeight="1" s="239">
      <c r="A32" s="283" t="n">
        <v>18</v>
      </c>
      <c r="B32" s="180" t="n"/>
      <c r="C32" s="160" t="inlineStr">
        <is>
          <t>91.01.05-085</t>
        </is>
      </c>
      <c r="D32" s="286" t="inlineStr">
        <is>
          <t>Экскаваторы одноковшовые дизельные на гусеничном ходу при работе на других видах строительства 0,5 м3</t>
        </is>
      </c>
      <c r="E32" s="283" t="inlineStr">
        <is>
          <t>маш.час</t>
        </is>
      </c>
      <c r="F32" s="283" t="n">
        <v>84</v>
      </c>
      <c r="G32" s="374" t="n">
        <v>100</v>
      </c>
      <c r="H32" s="374">
        <f>ROUND(F32*G32,2)</f>
        <v/>
      </c>
      <c r="I32" s="145" t="n"/>
      <c r="J32" s="182" t="n"/>
      <c r="L32" s="145" t="n"/>
    </row>
    <row r="33" ht="25.5" customHeight="1" s="239">
      <c r="A33" s="7" t="n">
        <v>19</v>
      </c>
      <c r="B33" s="180" t="n"/>
      <c r="C33" s="160" t="inlineStr">
        <is>
          <t>91.01.01-035</t>
        </is>
      </c>
      <c r="D33" s="286" t="inlineStr">
        <is>
          <t>Бульдозеры при работе на других видах строительства 79 кВт (108 л.с.)</t>
        </is>
      </c>
      <c r="E33" s="283" t="inlineStr">
        <is>
          <t>маш.час</t>
        </is>
      </c>
      <c r="F33" s="283" t="n">
        <v>97.5</v>
      </c>
      <c r="G33" s="374" t="n">
        <v>79.06999999999999</v>
      </c>
      <c r="H33" s="374">
        <f>ROUND(F33*G33,2)</f>
        <v/>
      </c>
      <c r="I33" s="145" t="n"/>
      <c r="J33" s="182" t="n"/>
      <c r="L33" s="145" t="n"/>
    </row>
    <row r="34">
      <c r="A34" s="283" t="n">
        <v>20</v>
      </c>
      <c r="B34" s="180" t="n"/>
      <c r="C34" s="160" t="inlineStr">
        <is>
          <t>91.14.03-002</t>
        </is>
      </c>
      <c r="D34" s="286" t="inlineStr">
        <is>
          <t>Автомобиль-самосвал, грузоподъемность до 10 т</t>
        </is>
      </c>
      <c r="E34" s="283" t="inlineStr">
        <is>
          <t>маш.час</t>
        </is>
      </c>
      <c r="F34" s="283" t="n">
        <v>77</v>
      </c>
      <c r="G34" s="374" t="n">
        <v>87.48999999999999</v>
      </c>
      <c r="H34" s="374">
        <f>ROUND(F34*G34,2)</f>
        <v/>
      </c>
      <c r="I34" s="145" t="n"/>
      <c r="J34" s="182" t="n"/>
      <c r="L34" s="145" t="n"/>
    </row>
    <row r="35">
      <c r="A35" s="7" t="n">
        <v>21</v>
      </c>
      <c r="B35" s="180" t="n"/>
      <c r="C35" s="160" t="n">
        <v>331542</v>
      </c>
      <c r="D35" s="286" t="inlineStr">
        <is>
          <t>Станки для заточки бурового инструмента</t>
        </is>
      </c>
      <c r="E35" s="283" t="inlineStr">
        <is>
          <t>маш.час</t>
        </is>
      </c>
      <c r="F35" s="283" t="n">
        <v>78.8</v>
      </c>
      <c r="G35" s="374" t="n">
        <v>14.45</v>
      </c>
      <c r="H35" s="374">
        <f>ROUND(F35*G35,2)</f>
        <v/>
      </c>
      <c r="I35" s="145" t="n"/>
      <c r="J35" s="182" t="n"/>
      <c r="L35" s="145" t="n"/>
    </row>
    <row r="36" ht="25.5" customHeight="1" s="239">
      <c r="A36" s="283" t="n">
        <v>22</v>
      </c>
      <c r="B36" s="180" t="n"/>
      <c r="C36" s="160" t="n">
        <v>331100</v>
      </c>
      <c r="D36" s="286" t="inlineStr">
        <is>
          <t>Трамбовки пневматические при работе от передвижных компрессорных станций</t>
        </is>
      </c>
      <c r="E36" s="283" t="inlineStr">
        <is>
          <t>маш.час</t>
        </is>
      </c>
      <c r="F36" s="283" t="n">
        <v>1792</v>
      </c>
      <c r="G36" s="374" t="n">
        <v>0.55</v>
      </c>
      <c r="H36" s="374">
        <f>ROUND(F36*G36,2)</f>
        <v/>
      </c>
      <c r="I36" s="145" t="n"/>
      <c r="J36" s="182" t="n"/>
      <c r="L36" s="145" t="n"/>
    </row>
    <row r="37">
      <c r="A37" s="7" t="n">
        <v>23</v>
      </c>
      <c r="B37" s="180" t="n"/>
      <c r="C37" s="160" t="n">
        <v>331601</v>
      </c>
      <c r="D37" s="286" t="inlineStr">
        <is>
          <t>Пила с карбюраторным двигателем</t>
        </is>
      </c>
      <c r="E37" s="283" t="inlineStr">
        <is>
          <t>маш.час</t>
        </is>
      </c>
      <c r="F37" s="283" t="n">
        <v>161</v>
      </c>
      <c r="G37" s="374" t="n">
        <v>5.09</v>
      </c>
      <c r="H37" s="374">
        <f>ROUND(F37*G37,2)</f>
        <v/>
      </c>
      <c r="I37" s="145" t="n"/>
      <c r="J37" s="182" t="n"/>
      <c r="L37" s="145" t="n"/>
    </row>
    <row r="38" ht="25.5" customHeight="1" s="239">
      <c r="A38" s="283" t="n">
        <v>24</v>
      </c>
      <c r="B38" s="180" t="n"/>
      <c r="C38" s="160" t="n">
        <v>100602</v>
      </c>
      <c r="D38" s="286" t="inlineStr">
        <is>
          <t>Молотки бурильные: легкие при работе от передвижных компрессорных станций</t>
        </is>
      </c>
      <c r="E38" s="283" t="inlineStr">
        <is>
          <t>маш.час</t>
        </is>
      </c>
      <c r="F38" s="283" t="n">
        <v>189.13</v>
      </c>
      <c r="G38" s="374" t="n">
        <v>2.99</v>
      </c>
      <c r="H38" s="374">
        <f>ROUND(F38*G38,2)</f>
        <v/>
      </c>
      <c r="I38" s="145" t="n"/>
      <c r="J38" s="182" t="n"/>
      <c r="L38" s="145" t="n"/>
    </row>
    <row r="39" ht="15" customHeight="1" s="239">
      <c r="A39" s="276" t="inlineStr">
        <is>
          <t>Оборудование</t>
        </is>
      </c>
      <c r="B39" s="368" t="n"/>
      <c r="C39" s="368" t="n"/>
      <c r="D39" s="368" t="n"/>
      <c r="E39" s="369" t="n"/>
      <c r="F39" s="296" t="n"/>
      <c r="G39" s="379" t="n"/>
      <c r="H39" s="100" t="n">
        <v>0</v>
      </c>
      <c r="J39" s="68" t="n"/>
    </row>
    <row r="40">
      <c r="A40" s="270" t="inlineStr">
        <is>
          <t>Материалы</t>
        </is>
      </c>
      <c r="B40" s="368" t="n"/>
      <c r="C40" s="368" t="n"/>
      <c r="D40" s="368" t="n"/>
      <c r="E40" s="369" t="n"/>
      <c r="F40" s="211" t="n"/>
      <c r="G40" s="380" t="n"/>
      <c r="H40" s="379">
        <f>SUM(H41:H63)</f>
        <v/>
      </c>
      <c r="J40" s="130" t="n"/>
    </row>
    <row r="41" ht="25.5" customHeight="1" s="239">
      <c r="A41" s="7" t="n">
        <v>25</v>
      </c>
      <c r="B41" s="192" t="n"/>
      <c r="C41" s="283" t="inlineStr">
        <is>
          <t>08.1.02.17-0011</t>
        </is>
      </c>
      <c r="D41" s="286" t="inlineStr">
        <is>
          <t>Сетка из оцинкованной проволоки диаметром 2 мм крученая</t>
        </is>
      </c>
      <c r="E41" s="283" t="inlineStr">
        <is>
          <t>м2</t>
        </is>
      </c>
      <c r="F41" s="283" t="n">
        <v>1274856</v>
      </c>
      <c r="G41" s="374" t="n">
        <v>6.6</v>
      </c>
      <c r="H41" s="374">
        <f>G41*F41</f>
        <v/>
      </c>
      <c r="J41" s="182" t="n"/>
      <c r="L41" s="145" t="n"/>
    </row>
    <row r="42">
      <c r="A42" s="7" t="n">
        <v>26</v>
      </c>
      <c r="B42" s="192" t="n"/>
      <c r="C42" s="283" t="inlineStr">
        <is>
          <t>02.1.01.02-0003</t>
        </is>
      </c>
      <c r="D42" s="286" t="inlineStr">
        <is>
          <t>Грунт песчаный (пескогрунт)</t>
        </is>
      </c>
      <c r="E42" s="283" t="inlineStr">
        <is>
          <t>м3</t>
        </is>
      </c>
      <c r="F42" s="283" t="n">
        <v>48721.1</v>
      </c>
      <c r="G42" s="374" t="n">
        <v>44.94</v>
      </c>
      <c r="H42" s="374">
        <f>G42*F42</f>
        <v/>
      </c>
      <c r="J42" s="182" t="n"/>
    </row>
    <row r="43" ht="25.5" customHeight="1" s="239">
      <c r="A43" s="7" t="n">
        <v>27</v>
      </c>
      <c r="B43" s="192" t="n"/>
      <c r="C43" s="283" t="inlineStr">
        <is>
          <t>01.7.09.02-0031</t>
        </is>
      </c>
      <c r="D43" s="286" t="inlineStr">
        <is>
          <t>Электродетонаторы: короткозамедленного действия водостойкие ЭД-КЗ</t>
        </is>
      </c>
      <c r="E43" s="283" t="inlineStr">
        <is>
          <t>1000 шт.</t>
        </is>
      </c>
      <c r="F43" s="283" t="n">
        <v>982.669</v>
      </c>
      <c r="G43" s="374" t="n">
        <v>4000</v>
      </c>
      <c r="H43" s="374">
        <f>G43*F43</f>
        <v/>
      </c>
      <c r="J43" s="182" t="n"/>
    </row>
    <row r="44" ht="25.5" customHeight="1" s="239">
      <c r="A44" s="7" t="n">
        <v>28</v>
      </c>
      <c r="B44" s="192" t="n"/>
      <c r="C44" s="283" t="inlineStr">
        <is>
          <t>01.7.02.08-0002</t>
        </is>
      </c>
      <c r="D44" s="286" t="inlineStr">
        <is>
          <t>Мешки бумажные марки НМ (непропитанные) открытые сшитые 3-слойные</t>
        </is>
      </c>
      <c r="E44" s="283" t="inlineStr">
        <is>
          <t>1000 шт.</t>
        </is>
      </c>
      <c r="F44" s="283" t="n">
        <v>737.5</v>
      </c>
      <c r="G44" s="374" t="n">
        <v>2240</v>
      </c>
      <c r="H44" s="374">
        <f>G44*F44</f>
        <v/>
      </c>
      <c r="J44" s="182" t="n"/>
    </row>
    <row r="45" ht="38.25" customHeight="1" s="239">
      <c r="A45" s="7" t="n">
        <v>29</v>
      </c>
      <c r="B45" s="192" t="n"/>
      <c r="C45" s="283" t="inlineStr">
        <is>
          <t>02.3.01.02-0016</t>
        </is>
      </c>
      <c r="D45" s="286" t="inlineStr">
        <is>
          <t>Песок природный для строительных: работ средний с крупностью зерен размером свыше 5 мм - до 5% по массе</t>
        </is>
      </c>
      <c r="E45" s="283" t="inlineStr">
        <is>
          <t>м3</t>
        </is>
      </c>
      <c r="F45" s="283" t="n">
        <v>18964</v>
      </c>
      <c r="G45" s="374" t="n">
        <v>55.26</v>
      </c>
      <c r="H45" s="374">
        <f>G45*F45</f>
        <v/>
      </c>
      <c r="J45" s="182" t="n"/>
    </row>
    <row r="46">
      <c r="A46" s="7" t="n">
        <v>30</v>
      </c>
      <c r="B46" s="192" t="n"/>
      <c r="C46" s="283" t="inlineStr">
        <is>
          <t>01.7.09.01-0002</t>
        </is>
      </c>
      <c r="D46" s="286" t="inlineStr">
        <is>
          <t>Аммонит № 6 ЖВ порошком</t>
        </is>
      </c>
      <c r="E46" s="283" t="inlineStr">
        <is>
          <t>т</t>
        </is>
      </c>
      <c r="F46" s="283" t="n">
        <v>128.1728</v>
      </c>
      <c r="G46" s="374" t="n">
        <v>4610</v>
      </c>
      <c r="H46" s="374">
        <f>G46*F46</f>
        <v/>
      </c>
      <c r="J46" s="182" t="n"/>
    </row>
    <row r="47" ht="38.25" customHeight="1" s="239">
      <c r="A47" s="7" t="n">
        <v>31</v>
      </c>
      <c r="B47" s="192" t="n"/>
      <c r="C47" s="283" t="inlineStr">
        <is>
          <t>08.1.01.02-0001</t>
        </is>
      </c>
      <c r="D47" s="286" t="inlineStr">
        <is>
          <t>Габионные конструкции матрацов «Рено» из оцинкованной сетки из проволоки диаметром 2,7 мм двойного кручения</t>
        </is>
      </c>
      <c r="E47" s="283" t="inlineStr">
        <is>
          <t>т</t>
        </is>
      </c>
      <c r="F47" s="283" t="n">
        <v>31.15</v>
      </c>
      <c r="G47" s="374" t="n">
        <v>13153.2</v>
      </c>
      <c r="H47" s="374">
        <f>G47*F47</f>
        <v/>
      </c>
      <c r="J47" s="182" t="n"/>
    </row>
    <row r="48">
      <c r="A48" s="7" t="n">
        <v>32</v>
      </c>
      <c r="B48" s="192" t="n"/>
      <c r="C48" s="283" t="inlineStr">
        <is>
          <t>01.7.09.01-0001</t>
        </is>
      </c>
      <c r="D48" s="286" t="inlineStr">
        <is>
          <t>Аммонит № 6 ЖВ в патронах</t>
        </is>
      </c>
      <c r="E48" s="283" t="inlineStr">
        <is>
          <t>т</t>
        </is>
      </c>
      <c r="F48" s="283" t="n">
        <v>42.7076</v>
      </c>
      <c r="G48" s="374" t="n">
        <v>6460</v>
      </c>
      <c r="H48" s="374">
        <f>G48*F48</f>
        <v/>
      </c>
      <c r="J48" s="182" t="n"/>
    </row>
    <row r="49" ht="25.5" customHeight="1" s="239">
      <c r="A49" s="7" t="n">
        <v>33</v>
      </c>
      <c r="B49" s="192" t="n"/>
      <c r="C49" s="283" t="inlineStr">
        <is>
          <t>01.7.12.05-0055</t>
        </is>
      </c>
      <c r="D49" s="286" t="inlineStr">
        <is>
          <t>Геотекстиль нетканый из полиэфирного волокна, иглопробивной, поверхностная плотность 300 г/м2</t>
        </is>
      </c>
      <c r="E49" s="283" t="inlineStr">
        <is>
          <t>м2</t>
        </is>
      </c>
      <c r="F49" s="283" t="n">
        <v>35200</v>
      </c>
      <c r="G49" s="374" t="n">
        <v>7.55</v>
      </c>
      <c r="H49" s="374">
        <f>G49*F49</f>
        <v/>
      </c>
      <c r="J49" s="182" t="n"/>
    </row>
    <row r="50" ht="25.5" customHeight="1" s="239">
      <c r="A50" s="7" t="n">
        <v>34</v>
      </c>
      <c r="B50" s="192" t="n"/>
      <c r="C50" s="283" t="inlineStr">
        <is>
          <t>02.2.05.04-1862</t>
        </is>
      </c>
      <c r="D50" s="286" t="inlineStr">
        <is>
          <t>Щебень из природного камня для строительных работ марка 1000, фракции 70-120 мм</t>
        </is>
      </c>
      <c r="E50" s="283" t="inlineStr">
        <is>
          <t>м3</t>
        </is>
      </c>
      <c r="F50" s="283" t="n">
        <v>2205</v>
      </c>
      <c r="G50" s="374" t="n">
        <v>78.98999999999999</v>
      </c>
      <c r="H50" s="374">
        <f>G50*F50</f>
        <v/>
      </c>
      <c r="J50" s="182" t="n"/>
    </row>
    <row r="51">
      <c r="A51" s="7" t="n">
        <v>35</v>
      </c>
      <c r="B51" s="192" t="n"/>
      <c r="C51" s="283" t="inlineStr">
        <is>
          <t>01.7.09.03-0001</t>
        </is>
      </c>
      <c r="D51" s="286" t="inlineStr">
        <is>
          <t>Провод АПРН для взрывных работ марки ВП</t>
        </is>
      </c>
      <c r="E51" s="283" t="inlineStr">
        <is>
          <t>км</t>
        </is>
      </c>
      <c r="F51" s="283" t="n">
        <v>338.881</v>
      </c>
      <c r="G51" s="374" t="n">
        <v>450</v>
      </c>
      <c r="H51" s="374">
        <f>G51*F51</f>
        <v/>
      </c>
      <c r="J51" s="182" t="n"/>
    </row>
    <row r="52" ht="25.5" customHeight="1" s="239">
      <c r="A52" s="7" t="n">
        <v>36</v>
      </c>
      <c r="B52" s="192" t="n"/>
      <c r="C52" s="283" t="inlineStr">
        <is>
          <t>01.7.12.05-0161</t>
        </is>
      </c>
      <c r="D52" s="286" t="inlineStr">
        <is>
          <t>Полотно иглопробивное для дорожного строительства «Дорнит-2»</t>
        </is>
      </c>
      <c r="E52" s="283" t="inlineStr">
        <is>
          <t>10 м2</t>
        </is>
      </c>
      <c r="F52" s="283" t="n">
        <v>973</v>
      </c>
      <c r="G52" s="374" t="n">
        <v>124.77</v>
      </c>
      <c r="H52" s="374">
        <f>G52*F52</f>
        <v/>
      </c>
      <c r="J52" s="182" t="n"/>
    </row>
    <row r="53">
      <c r="A53" s="7" t="n">
        <v>37</v>
      </c>
      <c r="B53" s="192" t="n"/>
      <c r="C53" s="283" t="inlineStr">
        <is>
          <t>02.2.04.03-0003</t>
        </is>
      </c>
      <c r="D53" s="286" t="inlineStr">
        <is>
          <t>Смесь песчано-гравийная природная</t>
        </is>
      </c>
      <c r="E53" s="283" t="inlineStr">
        <is>
          <t>м3</t>
        </is>
      </c>
      <c r="F53" s="283" t="n">
        <v>1533</v>
      </c>
      <c r="G53" s="374" t="n">
        <v>60</v>
      </c>
      <c r="H53" s="374">
        <f>G53*F53</f>
        <v/>
      </c>
      <c r="J53" s="182" t="n"/>
    </row>
    <row r="54">
      <c r="A54" s="7" t="n">
        <v>38</v>
      </c>
      <c r="B54" s="192" t="n"/>
      <c r="C54" s="283" t="inlineStr">
        <is>
          <t>01.4.01.06-0061</t>
        </is>
      </c>
      <c r="D54" s="286" t="inlineStr">
        <is>
          <t>Коронки типа: КДП43-25</t>
        </is>
      </c>
      <c r="E54" s="283" t="inlineStr">
        <is>
          <t>шт.</t>
        </is>
      </c>
      <c r="F54" s="283" t="n">
        <v>786.46</v>
      </c>
      <c r="G54" s="374" t="n">
        <v>90.8</v>
      </c>
      <c r="H54" s="374">
        <f>G54*F54</f>
        <v/>
      </c>
      <c r="J54" s="182" t="n"/>
    </row>
    <row r="55" ht="25.5" customHeight="1" s="239">
      <c r="A55" s="7" t="n">
        <v>39</v>
      </c>
      <c r="B55" s="192" t="n"/>
      <c r="C55" s="283" t="inlineStr">
        <is>
          <t>08.4.03.03-0022</t>
        </is>
      </c>
      <c r="D55" s="286" t="inlineStr">
        <is>
          <t>Горячекатаная арматурная сталь периодического профиля класса А-II, диаметром 12 мм</t>
        </is>
      </c>
      <c r="E55" s="283" t="inlineStr">
        <is>
          <t>т</t>
        </is>
      </c>
      <c r="F55" s="283" t="n">
        <v>11.48</v>
      </c>
      <c r="G55" s="374" t="n">
        <v>5950</v>
      </c>
      <c r="H55" s="374">
        <f>G55*F55</f>
        <v/>
      </c>
      <c r="J55" s="182" t="n"/>
    </row>
    <row r="56" ht="38.25" customHeight="1" s="239">
      <c r="A56" s="7" t="n">
        <v>40</v>
      </c>
      <c r="B56" s="192" t="n"/>
      <c r="C56" s="191" t="inlineStr">
        <is>
          <t>102-0061</t>
        </is>
      </c>
      <c r="D56" s="286" t="inlineStr">
        <is>
          <t>Доски обрезные хвойных пород длиной 4-6,5 м, шириной 75-150 мм, толщиной 44 мм и более, III сорта</t>
        </is>
      </c>
      <c r="E56" s="283" t="inlineStr">
        <is>
          <t>м3</t>
        </is>
      </c>
      <c r="F56" s="283" t="n">
        <v>63.7</v>
      </c>
      <c r="G56" s="374" t="n">
        <v>1056</v>
      </c>
      <c r="H56" s="374">
        <f>G56*F56</f>
        <v/>
      </c>
      <c r="J56" s="182" t="n"/>
    </row>
    <row r="57" ht="25.5" customHeight="1" s="239">
      <c r="A57" s="7" t="n">
        <v>41</v>
      </c>
      <c r="B57" s="192" t="n"/>
      <c r="C57" s="191" t="inlineStr">
        <is>
          <t>101-1989</t>
        </is>
      </c>
      <c r="D57" s="286" t="inlineStr">
        <is>
          <t>Проволока стальная низкоуглеродистая разного назначения оцинкованная диаметром 2,2 мм</t>
        </is>
      </c>
      <c r="E57" s="283" t="inlineStr">
        <is>
          <t>т</t>
        </is>
      </c>
      <c r="F57" s="283" t="n">
        <v>3.591</v>
      </c>
      <c r="G57" s="374" t="n">
        <v>12110.78</v>
      </c>
      <c r="H57" s="374">
        <f>G57*F57</f>
        <v/>
      </c>
      <c r="J57" s="182" t="n"/>
    </row>
    <row r="58" ht="25.5" customHeight="1" s="239">
      <c r="A58" s="7" t="n">
        <v>42</v>
      </c>
      <c r="B58" s="192" t="n"/>
      <c r="C58" s="191" t="inlineStr">
        <is>
          <t>109-0154</t>
        </is>
      </c>
      <c r="D58" s="286" t="inlineStr">
        <is>
          <t>Сталь буровая шестигранная пустотелая марки 55С2, наружный размер 22 мм, внутренний диаметр: 6,5 мм</t>
        </is>
      </c>
      <c r="E58" s="283" t="inlineStr">
        <is>
          <t>кг</t>
        </is>
      </c>
      <c r="F58" s="283" t="n">
        <v>1791.61</v>
      </c>
      <c r="G58" s="374" t="n">
        <v>19.43</v>
      </c>
      <c r="H58" s="374">
        <f>G58*F58</f>
        <v/>
      </c>
      <c r="J58" s="182" t="n"/>
    </row>
    <row r="59" ht="25.5" customHeight="1" s="239">
      <c r="A59" s="7" t="n">
        <v>43</v>
      </c>
      <c r="B59" s="192" t="n"/>
      <c r="C59" s="191" t="inlineStr">
        <is>
          <t>102-0037</t>
        </is>
      </c>
      <c r="D59" s="286" t="inlineStr">
        <is>
          <t>Брусья необрезные хвойных пород длиной 4-6,5 м, все ширины, толщиной 100, 125 мм, III сорта</t>
        </is>
      </c>
      <c r="E59" s="283" t="inlineStr">
        <is>
          <t>м3</t>
        </is>
      </c>
      <c r="F59" s="283" t="n">
        <v>23.8</v>
      </c>
      <c r="G59" s="374" t="n">
        <v>1081.68</v>
      </c>
      <c r="H59" s="374">
        <f>G59*F59</f>
        <v/>
      </c>
      <c r="J59" s="182" t="n"/>
    </row>
    <row r="60">
      <c r="A60" s="7" t="n">
        <v>44</v>
      </c>
      <c r="B60" s="192" t="n"/>
      <c r="C60" s="191" t="inlineStr">
        <is>
          <t>101-1805</t>
        </is>
      </c>
      <c r="D60" s="286" t="inlineStr">
        <is>
          <t>Гвозди строительные</t>
        </is>
      </c>
      <c r="E60" s="283" t="inlineStr">
        <is>
          <t>т</t>
        </is>
      </c>
      <c r="F60" s="283" t="n">
        <v>0.28</v>
      </c>
      <c r="G60" s="374" t="n">
        <v>11978</v>
      </c>
      <c r="H60" s="374">
        <f>G60*F60</f>
        <v/>
      </c>
      <c r="J60" s="182" t="n"/>
    </row>
    <row r="61">
      <c r="A61" s="7" t="n">
        <v>45</v>
      </c>
      <c r="B61" s="192" t="n"/>
      <c r="C61" s="191" t="inlineStr">
        <is>
          <t>101-2109</t>
        </is>
      </c>
      <c r="D61" s="286" t="inlineStr">
        <is>
          <t>Карборунд</t>
        </is>
      </c>
      <c r="E61" s="283" t="inlineStr">
        <is>
          <t>кг</t>
        </is>
      </c>
      <c r="F61" s="283" t="n">
        <v>138.66</v>
      </c>
      <c r="G61" s="374" t="n">
        <v>5.71</v>
      </c>
      <c r="H61" s="374">
        <f>G61*F61</f>
        <v/>
      </c>
      <c r="J61" s="182" t="n"/>
    </row>
    <row r="62">
      <c r="A62" s="7" t="n">
        <v>46</v>
      </c>
      <c r="B62" s="192" t="n"/>
      <c r="C62" s="191" t="inlineStr">
        <is>
          <t>411-0001</t>
        </is>
      </c>
      <c r="D62" s="286" t="inlineStr">
        <is>
          <t>Вода</t>
        </is>
      </c>
      <c r="E62" s="283" t="inlineStr">
        <is>
          <t>м3</t>
        </is>
      </c>
      <c r="F62" s="283" t="n">
        <v>24.5</v>
      </c>
      <c r="G62" s="374" t="n">
        <v>2.44</v>
      </c>
      <c r="H62" s="374">
        <f>G62*F62</f>
        <v/>
      </c>
      <c r="J62" s="182" t="n"/>
    </row>
    <row r="63">
      <c r="A63" s="7" t="n">
        <v>47</v>
      </c>
      <c r="B63" s="192" t="n"/>
      <c r="C63" s="191" t="inlineStr">
        <is>
          <t>101-0782</t>
        </is>
      </c>
      <c r="D63" s="286" t="inlineStr">
        <is>
          <t>Поковки из квадратных заготовок, масса 1,8 кг</t>
        </is>
      </c>
      <c r="E63" s="283" t="inlineStr">
        <is>
          <t>т</t>
        </is>
      </c>
      <c r="F63" s="283" t="n">
        <v>0.0046</v>
      </c>
      <c r="G63" s="374" t="n">
        <v>5989</v>
      </c>
      <c r="H63" s="374">
        <f>G63*F63</f>
        <v/>
      </c>
      <c r="J63" s="182" t="n"/>
    </row>
    <row r="66">
      <c r="B66" s="237" t="inlineStr">
        <is>
          <t>Составил ______________________    Д.А. Самуйленко</t>
        </is>
      </c>
    </row>
    <row r="67">
      <c r="B67" s="130" t="inlineStr">
        <is>
          <t xml:space="preserve">                         (подпись, инициалы, фамилия)</t>
        </is>
      </c>
    </row>
    <row r="69">
      <c r="B69" s="237" t="inlineStr">
        <is>
          <t>Проверил ______________________        А.В. Костянецкая</t>
        </is>
      </c>
    </row>
    <row r="70">
      <c r="B70" s="13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A20:E20"/>
    <mergeCell ref="E9:E10"/>
    <mergeCell ref="F9:F10"/>
    <mergeCell ref="A9:A10"/>
    <mergeCell ref="A39:E39"/>
    <mergeCell ref="A2:H2"/>
    <mergeCell ref="C4:H4"/>
    <mergeCell ref="G9:H9"/>
    <mergeCell ref="A40:E40"/>
    <mergeCell ref="A18:E18"/>
    <mergeCell ref="A6:H6"/>
  </mergeCells>
  <pageMargins left="0.7" right="0.7" top="0.75" bottom="0.75" header="0.3" footer="0.3"/>
  <pageSetup orientation="portrait" paperSize="9" scale="54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40" workbookViewId="0">
      <selection activeCell="B45" sqref="B45"/>
    </sheetView>
  </sheetViews>
  <sheetFormatPr baseColWidth="8" defaultRowHeight="15"/>
  <cols>
    <col width="4.140625" customWidth="1" style="239" min="1" max="1"/>
    <col width="36.28515625" customWidth="1" style="239" min="2" max="2"/>
    <col width="18.85546875" customWidth="1" style="239" min="3" max="3"/>
    <col width="18.28515625" customWidth="1" style="239" min="4" max="4"/>
    <col width="18.85546875" customWidth="1" style="239" min="5" max="5"/>
    <col width="9.140625" customWidth="1" style="239" min="6" max="6"/>
    <col width="13.42578125" customWidth="1" style="239" min="7" max="7"/>
    <col width="9.140625" customWidth="1" style="239" min="8" max="11"/>
    <col width="13.5703125" customWidth="1" style="239" min="12" max="12"/>
    <col width="9.140625" customWidth="1" style="239" min="13" max="13"/>
  </cols>
  <sheetData>
    <row r="1">
      <c r="B1" s="216" t="n"/>
      <c r="C1" s="216" t="n"/>
      <c r="D1" s="216" t="n"/>
      <c r="E1" s="216" t="n"/>
    </row>
    <row r="2">
      <c r="B2" s="216" t="n"/>
      <c r="C2" s="216" t="n"/>
      <c r="D2" s="216" t="n"/>
      <c r="E2" s="301" t="inlineStr">
        <is>
          <t>Приложение № 4</t>
        </is>
      </c>
    </row>
    <row r="3">
      <c r="B3" s="216" t="n"/>
      <c r="C3" s="216" t="n"/>
      <c r="D3" s="216" t="n"/>
      <c r="E3" s="216" t="n"/>
    </row>
    <row r="4">
      <c r="B4" s="216" t="n"/>
      <c r="C4" s="216" t="n"/>
      <c r="D4" s="216" t="n"/>
      <c r="E4" s="216" t="n"/>
    </row>
    <row r="5">
      <c r="B5" s="249" t="inlineStr">
        <is>
          <t>Ресурсная модель</t>
        </is>
      </c>
    </row>
    <row r="6">
      <c r="B6" s="153" t="n"/>
      <c r="C6" s="216" t="n"/>
      <c r="D6" s="216" t="n"/>
      <c r="E6" s="216" t="n"/>
    </row>
    <row r="7" ht="57" customHeight="1" s="239">
      <c r="B7" s="278" t="inlineStr">
        <is>
          <t>Наименование разрабатываемого показателя УНЦ — Подготовка и устройство территории ПС (ЗПС) Амурская область</t>
        </is>
      </c>
    </row>
    <row r="8">
      <c r="B8" s="279" t="inlineStr">
        <is>
          <t>Единица измерения  — 1 м2</t>
        </is>
      </c>
    </row>
    <row r="9">
      <c r="B9" s="153" t="n"/>
      <c r="C9" s="216" t="n"/>
      <c r="D9" s="216" t="n"/>
      <c r="E9" s="216" t="n"/>
    </row>
    <row r="10" ht="51" customHeight="1" s="239">
      <c r="B10" s="283" t="inlineStr">
        <is>
          <t>Наименование</t>
        </is>
      </c>
      <c r="C10" s="283" t="inlineStr">
        <is>
          <t>Сметная стоимость в ценах на 01.01.2023
 (руб.)</t>
        </is>
      </c>
      <c r="D10" s="283" t="inlineStr">
        <is>
          <t>Удельный вес, 
(в СМР)</t>
        </is>
      </c>
      <c r="E10" s="283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47">
        <f>'Прил.5 Расчет СМР и ОБ'!J14</f>
        <v/>
      </c>
      <c r="D11" s="148">
        <f>C11/$C$24</f>
        <v/>
      </c>
      <c r="E11" s="148">
        <f>C11/$C$40</f>
        <v/>
      </c>
    </row>
    <row r="12">
      <c r="B12" s="99" t="inlineStr">
        <is>
          <t>Эксплуатация машин основных</t>
        </is>
      </c>
      <c r="C12" s="147">
        <f>'Прил.5 Расчет СМР и ОБ'!J22</f>
        <v/>
      </c>
      <c r="D12" s="148">
        <f>C12/$C$24</f>
        <v/>
      </c>
      <c r="E12" s="148">
        <f>C12/$C$40</f>
        <v/>
      </c>
    </row>
    <row r="13">
      <c r="B13" s="99" t="inlineStr">
        <is>
          <t>Эксплуатация машин прочих</t>
        </is>
      </c>
      <c r="C13" s="147">
        <f>'Прил.5 Расчет СМР и ОБ'!J38</f>
        <v/>
      </c>
      <c r="D13" s="148">
        <f>C13/$C$24</f>
        <v/>
      </c>
      <c r="E13" s="148">
        <f>C13/$C$40</f>
        <v/>
      </c>
    </row>
    <row r="14">
      <c r="B14" s="99" t="inlineStr">
        <is>
          <t>ЭКСПЛУАТАЦИЯ МАШИН, ВСЕГО:</t>
        </is>
      </c>
      <c r="C14" s="147">
        <f>C13+C12</f>
        <v/>
      </c>
      <c r="D14" s="148">
        <f>C14/$C$24</f>
        <v/>
      </c>
      <c r="E14" s="148">
        <f>C14/$C$40</f>
        <v/>
      </c>
    </row>
    <row r="15">
      <c r="B15" s="99" t="inlineStr">
        <is>
          <t>в том числе зарплата машинистов</t>
        </is>
      </c>
      <c r="C15" s="147">
        <f>'Прил.5 Расчет СМР и ОБ'!J16</f>
        <v/>
      </c>
      <c r="D15" s="148">
        <f>C15/$C$24</f>
        <v/>
      </c>
      <c r="E15" s="148">
        <f>C15/$C$40</f>
        <v/>
      </c>
    </row>
    <row r="16">
      <c r="B16" s="99" t="inlineStr">
        <is>
          <t>Материалы основные</t>
        </is>
      </c>
      <c r="C16" s="147">
        <f>'Прил.5 Расчет СМР и ОБ'!J53</f>
        <v/>
      </c>
      <c r="D16" s="148">
        <f>C16/$C$24</f>
        <v/>
      </c>
      <c r="E16" s="148">
        <f>C16/$C$40</f>
        <v/>
      </c>
    </row>
    <row r="17">
      <c r="B17" s="99" t="inlineStr">
        <is>
          <t>Материалы прочие</t>
        </is>
      </c>
      <c r="C17" s="147">
        <f>'Прил.5 Расчет СМР и ОБ'!J72</f>
        <v/>
      </c>
      <c r="D17" s="148">
        <f>C17/$C$24</f>
        <v/>
      </c>
      <c r="E17" s="148">
        <f>C17/$C$40</f>
        <v/>
      </c>
      <c r="G17" s="381" t="n"/>
    </row>
    <row r="18">
      <c r="B18" s="99" t="inlineStr">
        <is>
          <t>МАТЕРИАЛЫ, ВСЕГО:</t>
        </is>
      </c>
      <c r="C18" s="147">
        <f>C17+C16</f>
        <v/>
      </c>
      <c r="D18" s="148">
        <f>C18/$C$24</f>
        <v/>
      </c>
      <c r="E18" s="148">
        <f>C18/$C$40</f>
        <v/>
      </c>
    </row>
    <row r="19">
      <c r="B19" s="99" t="inlineStr">
        <is>
          <t>ИТОГО</t>
        </is>
      </c>
      <c r="C19" s="147">
        <f>C18+C14+C11</f>
        <v/>
      </c>
      <c r="D19" s="148" t="n"/>
      <c r="E19" s="99" t="n"/>
    </row>
    <row r="20">
      <c r="B20" s="99" t="inlineStr">
        <is>
          <t>Сметная прибыль, руб.</t>
        </is>
      </c>
      <c r="C20" s="147">
        <f>ROUND(C21*(C11+C15),2)</f>
        <v/>
      </c>
      <c r="D20" s="148">
        <f>C20/$C$24</f>
        <v/>
      </c>
      <c r="E20" s="148">
        <f>C20/$C$40</f>
        <v/>
      </c>
    </row>
    <row r="21">
      <c r="B21" s="99" t="inlineStr">
        <is>
          <t>Сметная прибыль, %</t>
        </is>
      </c>
      <c r="C21" s="151">
        <f>'Прил.5 Расчет СМР и ОБ'!D76</f>
        <v/>
      </c>
      <c r="D21" s="148" t="n"/>
      <c r="E21" s="99" t="n"/>
    </row>
    <row r="22">
      <c r="B22" s="99" t="inlineStr">
        <is>
          <t>Накладные расходы, руб.</t>
        </is>
      </c>
      <c r="C22" s="147">
        <f>ROUND(C23*(C11+C15),2)</f>
        <v/>
      </c>
      <c r="D22" s="148">
        <f>C22/$C$24</f>
        <v/>
      </c>
      <c r="E22" s="148">
        <f>C22/$C$40</f>
        <v/>
      </c>
    </row>
    <row r="23">
      <c r="B23" s="99" t="inlineStr">
        <is>
          <t>Накладные расходы, %</t>
        </is>
      </c>
      <c r="C23" s="151">
        <f>'Прил.5 Расчет СМР и ОБ'!D75</f>
        <v/>
      </c>
      <c r="D23" s="148" t="n"/>
      <c r="E23" s="99" t="n"/>
    </row>
    <row r="24">
      <c r="B24" s="99" t="inlineStr">
        <is>
          <t>ВСЕГО СМР с НР и СП</t>
        </is>
      </c>
      <c r="C24" s="147">
        <f>C19+C20+C22</f>
        <v/>
      </c>
      <c r="D24" s="148">
        <f>C24/$C$24</f>
        <v/>
      </c>
      <c r="E24" s="148">
        <f>C24/$C$40</f>
        <v/>
      </c>
    </row>
    <row r="25" ht="25.5" customHeight="1" s="239">
      <c r="B25" s="99" t="inlineStr">
        <is>
          <t>ВСЕГО стоимость оборудования, в том числе</t>
        </is>
      </c>
      <c r="C25" s="147">
        <f>'Прил.5 Расчет СМР и ОБ'!J44</f>
        <v/>
      </c>
      <c r="D25" s="148" t="n"/>
      <c r="E25" s="148">
        <f>C25/$C$40</f>
        <v/>
      </c>
    </row>
    <row r="26" ht="25.5" customHeight="1" s="239">
      <c r="B26" s="99" t="inlineStr">
        <is>
          <t>стоимость оборудования технологического</t>
        </is>
      </c>
      <c r="C26" s="147">
        <f>'Прил.5 Расчет СМР и ОБ'!J45</f>
        <v/>
      </c>
      <c r="D26" s="148" t="n"/>
      <c r="E26" s="148">
        <f>C26/$C$40</f>
        <v/>
      </c>
    </row>
    <row r="27">
      <c r="B27" s="99" t="inlineStr">
        <is>
          <t>ИТОГО (СМР + ОБОРУДОВАНИЕ)</t>
        </is>
      </c>
      <c r="C27" s="150">
        <f>C24+C25</f>
        <v/>
      </c>
      <c r="D27" s="148" t="n"/>
      <c r="E27" s="148">
        <f>C27/$C$40</f>
        <v/>
      </c>
      <c r="G27" s="149" t="n"/>
    </row>
    <row r="28" ht="33" customHeight="1" s="239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39">
      <c r="B29" s="99" t="inlineStr">
        <is>
          <t>Временные здания и сооружения - 3,9%</t>
        </is>
      </c>
      <c r="C29" s="150">
        <f>ROUND(C24*3.9%,2)</f>
        <v/>
      </c>
      <c r="D29" s="99" t="n"/>
      <c r="E29" s="148">
        <f>C29/$C$40</f>
        <v/>
      </c>
    </row>
    <row r="30" ht="38.25" customHeight="1" s="239">
      <c r="B30" s="99" t="inlineStr">
        <is>
          <t>Дополнительные затраты при производстве строительно-монтажных работ в зимнее время - 7%*0,9</t>
        </is>
      </c>
      <c r="C30" s="150">
        <f>ROUND((C24+C29)*7%*0.9,2)</f>
        <v/>
      </c>
      <c r="D30" s="99" t="n"/>
      <c r="E30" s="148">
        <f>C30/$C$40</f>
        <v/>
      </c>
    </row>
    <row r="31">
      <c r="B31" s="99" t="inlineStr">
        <is>
          <t>Пусконаладочные работы</t>
        </is>
      </c>
      <c r="C31" s="150" t="n">
        <v>0</v>
      </c>
      <c r="D31" s="99" t="n"/>
      <c r="E31" s="148">
        <f>C31/$C$40</f>
        <v/>
      </c>
    </row>
    <row r="32" ht="25.5" customHeight="1" s="239">
      <c r="B32" s="99" t="inlineStr">
        <is>
          <t>Затраты по перевозке работников к месту работы и обратно</t>
        </is>
      </c>
      <c r="C32" s="150" t="n">
        <v>0</v>
      </c>
      <c r="D32" s="99" t="n"/>
      <c r="E32" s="148">
        <f>C32/$C$40</f>
        <v/>
      </c>
    </row>
    <row r="33" ht="25.5" customHeight="1" s="239">
      <c r="B33" s="99" t="inlineStr">
        <is>
          <t>Затраты, связанные с осуществлением работ вахтовым методом</t>
        </is>
      </c>
      <c r="C33" s="150">
        <f>ROUND(C27*0%,2)</f>
        <v/>
      </c>
      <c r="D33" s="99" t="n"/>
      <c r="E33" s="148">
        <f>C33/$C$40</f>
        <v/>
      </c>
    </row>
    <row r="34" ht="51" customHeight="1" s="239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0" t="n">
        <v>0</v>
      </c>
      <c r="D34" s="99" t="n"/>
      <c r="E34" s="148">
        <f>C34/$C$40</f>
        <v/>
      </c>
    </row>
    <row r="35" ht="76.5" customHeight="1" s="239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0">
        <f>ROUND(C27*0%,2)</f>
        <v/>
      </c>
      <c r="D35" s="99" t="n"/>
      <c r="E35" s="148">
        <f>C35/$C$40</f>
        <v/>
      </c>
    </row>
    <row r="36" ht="25.5" customHeight="1" s="239">
      <c r="B36" s="99" t="inlineStr">
        <is>
          <t>Строительный контроль и содержание службы заказчика - 2,14%</t>
        </is>
      </c>
      <c r="C36" s="150">
        <f>ROUND((C27+C32+C33+C34+C35+C29+C31+C30)*2.14%,2)</f>
        <v/>
      </c>
      <c r="D36" s="99" t="n"/>
      <c r="E36" s="148">
        <f>C36/$C$40</f>
        <v/>
      </c>
      <c r="G36" s="107" t="n"/>
      <c r="L36" s="149" t="n"/>
    </row>
    <row r="37">
      <c r="B37" s="99" t="inlineStr">
        <is>
          <t>Авторский надзор - 0,2%</t>
        </is>
      </c>
      <c r="C37" s="150">
        <f>ROUND((C27+C32+C33+C34+C35+C29+C31+C30)*0.2%,2)</f>
        <v/>
      </c>
      <c r="D37" s="99" t="n"/>
      <c r="E37" s="148">
        <f>C37/$C$40</f>
        <v/>
      </c>
      <c r="G37" s="110" t="n"/>
      <c r="L37" s="149" t="n"/>
    </row>
    <row r="38" ht="38.25" customHeight="1" s="239">
      <c r="B38" s="99" t="inlineStr">
        <is>
          <t>ИТОГО (СМР+ОБОРУДОВАНИЕ+ПРОЧ. ЗАТР., УЧТЕННЫЕ ПОКАЗАТЕЛЕМ)</t>
        </is>
      </c>
      <c r="C38" s="147">
        <f>C27+C32+C33+C34+C35+C29+C31+C30+C36+C37</f>
        <v/>
      </c>
      <c r="D38" s="99" t="n"/>
      <c r="E38" s="148">
        <f>C38/$C$40</f>
        <v/>
      </c>
    </row>
    <row r="39" ht="13.5" customHeight="1" s="239">
      <c r="B39" s="99" t="inlineStr">
        <is>
          <t>Непредвиденные расходы</t>
        </is>
      </c>
      <c r="C39" s="147">
        <f>ROUND(C38*3%,2)</f>
        <v/>
      </c>
      <c r="D39" s="99" t="n"/>
      <c r="E39" s="148">
        <f>C39/$C$38</f>
        <v/>
      </c>
    </row>
    <row r="40">
      <c r="B40" s="99" t="inlineStr">
        <is>
          <t>ВСЕГО:</t>
        </is>
      </c>
      <c r="C40" s="147">
        <f>C39+C38</f>
        <v/>
      </c>
      <c r="D40" s="99" t="n"/>
      <c r="E40" s="148">
        <f>C40/$C$40</f>
        <v/>
      </c>
    </row>
    <row r="41">
      <c r="B41" s="99" t="inlineStr">
        <is>
          <t>ИТОГО ПОКАЗАТЕЛЬ НА ЕД. ИЗМ.</t>
        </is>
      </c>
      <c r="C41" s="147">
        <f>C40/'Прил.5 Расчет СМР и ОБ'!E79</f>
        <v/>
      </c>
      <c r="D41" s="99" t="n"/>
      <c r="E41" s="99" t="n"/>
    </row>
    <row r="42">
      <c r="B42" s="146" t="n"/>
      <c r="C42" s="216" t="n"/>
      <c r="D42" s="216" t="n"/>
      <c r="E42" s="216" t="n"/>
    </row>
    <row r="43">
      <c r="B43" s="146" t="inlineStr">
        <is>
          <t>Составил ____________________________  Д.А. Самуйленко</t>
        </is>
      </c>
      <c r="C43" s="216" t="n"/>
      <c r="D43" s="216" t="n"/>
      <c r="E43" s="216" t="n"/>
    </row>
    <row r="44">
      <c r="B44" s="146" t="inlineStr">
        <is>
          <t xml:space="preserve">(должность, подпись, инициалы, фамилия) </t>
        </is>
      </c>
      <c r="C44" s="216" t="n"/>
      <c r="D44" s="216" t="n"/>
      <c r="E44" s="216" t="n"/>
    </row>
    <row r="45">
      <c r="B45" s="146" t="n"/>
      <c r="C45" s="216" t="n"/>
      <c r="D45" s="216" t="n"/>
      <c r="E45" s="216" t="n"/>
    </row>
    <row r="46">
      <c r="B46" s="146" t="inlineStr">
        <is>
          <t>Проверил ____________________________ А.В. Костянецкая</t>
        </is>
      </c>
      <c r="C46" s="216" t="n"/>
      <c r="D46" s="216" t="n"/>
      <c r="E46" s="216" t="n"/>
    </row>
    <row r="47">
      <c r="B47" s="279" t="inlineStr">
        <is>
          <t>(должность, подпись, инициалы, фамилия)</t>
        </is>
      </c>
      <c r="D47" s="216" t="n"/>
      <c r="E47" s="216" t="n"/>
    </row>
    <row r="49">
      <c r="B49" s="216" t="n"/>
      <c r="C49" s="216" t="n"/>
      <c r="D49" s="216" t="n"/>
      <c r="E49" s="216" t="n"/>
    </row>
    <row r="50">
      <c r="B50" s="216" t="n"/>
      <c r="C50" s="216" t="n"/>
      <c r="D50" s="216" t="n"/>
      <c r="E50" s="2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5"/>
  <sheetViews>
    <sheetView view="pageBreakPreview" topLeftCell="A19" zoomScale="85" workbookViewId="0">
      <selection activeCell="B81" sqref="B81"/>
    </sheetView>
  </sheetViews>
  <sheetFormatPr baseColWidth="8" defaultColWidth="9.140625" defaultRowHeight="15" outlineLevelRow="2"/>
  <cols>
    <col width="5.7109375" customWidth="1" style="227" min="1" max="1"/>
    <col width="22.5703125" customWidth="1" style="227" min="2" max="2"/>
    <col width="39.28515625" customWidth="1" style="227" min="3" max="3"/>
    <col width="13.5703125" customWidth="1" style="227" min="4" max="4"/>
    <col width="12.7109375" customWidth="1" style="227" min="5" max="5"/>
    <col width="14.5703125" customWidth="1" style="227" min="6" max="6"/>
    <col width="13.42578125" customWidth="1" style="227" min="7" max="7"/>
    <col width="12.7109375" customWidth="1" style="227" min="8" max="8"/>
    <col width="13.85546875" customWidth="1" style="227" min="9" max="9"/>
    <col width="17.5703125" customWidth="1" style="227" min="10" max="10"/>
    <col width="10.85546875" customWidth="1" style="227" min="11" max="11"/>
    <col width="13.85546875" customWidth="1" style="227" min="12" max="12"/>
  </cols>
  <sheetData>
    <row r="1">
      <c r="M1" s="227" t="n"/>
      <c r="N1" s="227" t="n"/>
    </row>
    <row r="2" ht="15.75" customHeight="1" s="239">
      <c r="H2" s="280" t="inlineStr">
        <is>
          <t>Приложение №5</t>
        </is>
      </c>
      <c r="M2" s="227" t="n"/>
      <c r="N2" s="227" t="n"/>
    </row>
    <row r="3">
      <c r="M3" s="227" t="n"/>
      <c r="N3" s="227" t="n"/>
    </row>
    <row r="4" ht="12.75" customFormat="1" customHeight="1" s="216">
      <c r="A4" s="249" t="inlineStr">
        <is>
          <t>Расчет стоимости СМР и оборудования</t>
        </is>
      </c>
    </row>
    <row r="5" ht="12.75" customFormat="1" customHeight="1" s="216">
      <c r="A5" s="249" t="n"/>
      <c r="B5" s="249" t="n"/>
      <c r="C5" s="310" t="n"/>
      <c r="D5" s="249" t="n"/>
      <c r="E5" s="249" t="n"/>
      <c r="F5" s="249" t="n"/>
      <c r="G5" s="249" t="n"/>
      <c r="H5" s="249" t="n"/>
      <c r="I5" s="249" t="n"/>
      <c r="J5" s="249" t="n"/>
    </row>
    <row r="6" ht="38.25" customFormat="1" customHeight="1" s="216">
      <c r="A6" s="127" t="inlineStr">
        <is>
          <t>Наименование разрабатываемого показателя УНЦ</t>
        </is>
      </c>
      <c r="B6" s="126" t="n"/>
      <c r="C6" s="126" t="n"/>
      <c r="D6" s="252" t="inlineStr">
        <is>
          <t>Подготовка и устройство территории ПС (ЗПС) Амурская область</t>
        </is>
      </c>
    </row>
    <row r="7" ht="12.75" customFormat="1" customHeight="1" s="216">
      <c r="A7" s="252" t="inlineStr">
        <is>
          <t>Единица измерения  — 1 м2</t>
        </is>
      </c>
      <c r="I7" s="278" t="n"/>
      <c r="J7" s="278" t="n"/>
    </row>
    <row r="8" ht="13.5" customFormat="1" customHeight="1" s="216">
      <c r="A8" s="252" t="n"/>
    </row>
    <row r="9" ht="27" customHeight="1" s="239">
      <c r="A9" s="283" t="inlineStr">
        <is>
          <t>№ пп.</t>
        </is>
      </c>
      <c r="B9" s="283" t="inlineStr">
        <is>
          <t>Код ресурса</t>
        </is>
      </c>
      <c r="C9" s="283" t="inlineStr">
        <is>
          <t>Наименование</t>
        </is>
      </c>
      <c r="D9" s="283" t="inlineStr">
        <is>
          <t>Ед. изм.</t>
        </is>
      </c>
      <c r="E9" s="283" t="inlineStr">
        <is>
          <t>Кол-во единиц по проектным данным</t>
        </is>
      </c>
      <c r="F9" s="283" t="inlineStr">
        <is>
          <t>Сметная стоимость в ценах на 01.01.2000 (руб.)</t>
        </is>
      </c>
      <c r="G9" s="369" t="n"/>
      <c r="H9" s="283" t="inlineStr">
        <is>
          <t>Удельный вес, %</t>
        </is>
      </c>
      <c r="I9" s="283" t="inlineStr">
        <is>
          <t>Сметная стоимость в ценах на 01.01.2023 (руб.)</t>
        </is>
      </c>
      <c r="J9" s="369" t="n"/>
      <c r="M9" s="227" t="n"/>
      <c r="N9" s="227" t="n"/>
    </row>
    <row r="10" ht="28.5" customHeight="1" s="239">
      <c r="A10" s="371" t="n"/>
      <c r="B10" s="371" t="n"/>
      <c r="C10" s="371" t="n"/>
      <c r="D10" s="371" t="n"/>
      <c r="E10" s="371" t="n"/>
      <c r="F10" s="283" t="inlineStr">
        <is>
          <t>на ед. изм.</t>
        </is>
      </c>
      <c r="G10" s="283" t="inlineStr">
        <is>
          <t>общая</t>
        </is>
      </c>
      <c r="H10" s="371" t="n"/>
      <c r="I10" s="283" t="inlineStr">
        <is>
          <t>на ед. изм.</t>
        </is>
      </c>
      <c r="J10" s="283" t="inlineStr">
        <is>
          <t>общая</t>
        </is>
      </c>
      <c r="M10" s="227" t="n"/>
      <c r="N10" s="227" t="n"/>
    </row>
    <row r="11">
      <c r="A11" s="283" t="n">
        <v>1</v>
      </c>
      <c r="B11" s="283" t="n">
        <v>2</v>
      </c>
      <c r="C11" s="283" t="n">
        <v>3</v>
      </c>
      <c r="D11" s="283" t="n">
        <v>4</v>
      </c>
      <c r="E11" s="283" t="n">
        <v>5</v>
      </c>
      <c r="F11" s="283" t="n">
        <v>6</v>
      </c>
      <c r="G11" s="283" t="n">
        <v>7</v>
      </c>
      <c r="H11" s="283" t="n">
        <v>8</v>
      </c>
      <c r="I11" s="284" t="n">
        <v>9</v>
      </c>
      <c r="J11" s="284" t="n">
        <v>10</v>
      </c>
      <c r="M11" s="227" t="n"/>
      <c r="N11" s="227" t="n"/>
    </row>
    <row r="12">
      <c r="A12" s="283" t="n"/>
      <c r="B12" s="290" t="inlineStr">
        <is>
          <t>Затраты труда рабочих-строителей</t>
        </is>
      </c>
      <c r="C12" s="368" t="n"/>
      <c r="D12" s="368" t="n"/>
      <c r="E12" s="368" t="n"/>
      <c r="F12" s="368" t="n"/>
      <c r="G12" s="368" t="n"/>
      <c r="H12" s="369" t="n"/>
      <c r="I12" s="120" t="n"/>
      <c r="J12" s="120" t="n"/>
    </row>
    <row r="13" ht="25.5" customHeight="1" s="239">
      <c r="A13" s="283" t="n">
        <v>1</v>
      </c>
      <c r="B13" s="160" t="inlineStr">
        <is>
          <t>1-2-7</t>
        </is>
      </c>
      <c r="C13" s="286" t="inlineStr">
        <is>
          <t>Затраты труда рабочих (средний разряд работы 2,7)</t>
        </is>
      </c>
      <c r="D13" s="283" t="inlineStr">
        <is>
          <t>чел.-ч</t>
        </is>
      </c>
      <c r="E13" s="287" t="n">
        <v>427770.89</v>
      </c>
      <c r="F13" s="287">
        <f>G13/E13</f>
        <v/>
      </c>
      <c r="G13" s="374" t="n">
        <v>3646591.85</v>
      </c>
      <c r="H13" s="289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27">
      <c r="A14" s="283" t="n"/>
      <c r="B14" s="283" t="n"/>
      <c r="C14" s="290" t="inlineStr">
        <is>
          <t>Итого по разделу "Затраты труда рабочих-строителей"</t>
        </is>
      </c>
      <c r="D14" s="283" t="inlineStr">
        <is>
          <t>чел.-ч.</t>
        </is>
      </c>
      <c r="E14" s="287">
        <f>SUM(E13)</f>
        <v/>
      </c>
      <c r="F14" s="288" t="n"/>
      <c r="G14" s="374">
        <f>SUM(G13)</f>
        <v/>
      </c>
      <c r="H14" s="291" t="n">
        <v>1</v>
      </c>
      <c r="I14" s="183" t="n"/>
      <c r="J14" s="26">
        <f>SUM(J13)</f>
        <v/>
      </c>
    </row>
    <row r="15" ht="14.25" customFormat="1" customHeight="1" s="227">
      <c r="A15" s="283" t="n"/>
      <c r="B15" s="286" t="inlineStr">
        <is>
          <t>Затраты труда машинистов</t>
        </is>
      </c>
      <c r="C15" s="368" t="n"/>
      <c r="D15" s="368" t="n"/>
      <c r="E15" s="368" t="n"/>
      <c r="F15" s="368" t="n"/>
      <c r="G15" s="368" t="n"/>
      <c r="H15" s="369" t="n"/>
      <c r="I15" s="120" t="n"/>
      <c r="J15" s="120" t="n"/>
    </row>
    <row r="16" ht="14.25" customFormat="1" customHeight="1" s="227">
      <c r="A16" s="283" t="n">
        <v>2</v>
      </c>
      <c r="B16" s="283" t="n">
        <v>2</v>
      </c>
      <c r="C16" s="286" t="inlineStr">
        <is>
          <t>Затраты труда машинистов</t>
        </is>
      </c>
      <c r="D16" s="283" t="inlineStr">
        <is>
          <t>чел.-ч.</t>
        </is>
      </c>
      <c r="E16" s="287">
        <f>36323.45+137911.1</f>
        <v/>
      </c>
      <c r="F16" s="215">
        <f>G16/E16</f>
        <v/>
      </c>
      <c r="G16" s="374">
        <f>370353.59+1861799.85</f>
        <v/>
      </c>
      <c r="H16" s="291" t="n">
        <v>1</v>
      </c>
      <c r="I16" s="26">
        <f>ROUND(F16*Прил.10!$D$11,2)</f>
        <v/>
      </c>
      <c r="J16" s="26">
        <f>ROUND(I16*E16,2)</f>
        <v/>
      </c>
      <c r="K16" s="188" t="n"/>
      <c r="L16" s="189" t="n"/>
    </row>
    <row r="17" ht="14.25" customFormat="1" customHeight="1" s="227">
      <c r="A17" s="283" t="n"/>
      <c r="B17" s="290" t="inlineStr">
        <is>
          <t>Машины и механизмы</t>
        </is>
      </c>
      <c r="C17" s="368" t="n"/>
      <c r="D17" s="368" t="n"/>
      <c r="E17" s="368" t="n"/>
      <c r="F17" s="368" t="n"/>
      <c r="G17" s="368" t="n"/>
      <c r="H17" s="369" t="n"/>
      <c r="I17" s="120" t="n"/>
      <c r="J17" s="120" t="n"/>
    </row>
    <row r="18" ht="14.25" customFormat="1" customHeight="1" s="227">
      <c r="A18" s="284" t="n"/>
      <c r="B18" s="292" t="inlineStr">
        <is>
          <t>Основные машины и механизмы</t>
        </is>
      </c>
      <c r="C18" s="382" t="n"/>
      <c r="D18" s="382" t="n"/>
      <c r="E18" s="382" t="n"/>
      <c r="F18" s="382" t="n"/>
      <c r="G18" s="382" t="n"/>
      <c r="H18" s="383" t="n"/>
      <c r="I18" s="171" t="n"/>
      <c r="J18" s="171" t="n"/>
    </row>
    <row r="19" ht="25.5" customFormat="1" customHeight="1" s="227">
      <c r="A19" s="283" t="n">
        <v>3</v>
      </c>
      <c r="B19" s="7" t="inlineStr">
        <is>
          <t>91.14.02-004</t>
        </is>
      </c>
      <c r="C19" s="286" t="inlineStr">
        <is>
          <t>Автомобили бортовые, грузоподъемность до 15т</t>
        </is>
      </c>
      <c r="D19" s="283" t="inlineStr">
        <is>
          <t>маш.час</t>
        </is>
      </c>
      <c r="E19" s="197" t="n">
        <v>137911.1</v>
      </c>
      <c r="F19" s="3" t="n">
        <v>92.94</v>
      </c>
      <c r="G19" s="374">
        <f>ROUND(E19*F19,2)</f>
        <v/>
      </c>
      <c r="H19" s="289">
        <f>G19/$G$39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27">
      <c r="A20" s="283" t="n">
        <v>4</v>
      </c>
      <c r="B20" s="160" t="inlineStr">
        <is>
          <t>91.04.01-043</t>
        </is>
      </c>
      <c r="C20" s="286" t="inlineStr">
        <is>
          <t>Молотки бурильные: средние</t>
        </is>
      </c>
      <c r="D20" s="283" t="inlineStr">
        <is>
          <t>маш.час</t>
        </is>
      </c>
      <c r="E20" s="287" t="n">
        <v>66826.64</v>
      </c>
      <c r="F20" s="283" t="n">
        <v>58.67</v>
      </c>
      <c r="G20" s="374">
        <f>ROUND(E20*F20,2)</f>
        <v/>
      </c>
      <c r="H20" s="289">
        <f>G20/$G$39</f>
        <v/>
      </c>
      <c r="I20" s="26">
        <f>ROUND(F20*Прил.10!$D$12,2)</f>
        <v/>
      </c>
      <c r="J20" s="26">
        <f>ROUND(I20*E20,2)</f>
        <v/>
      </c>
    </row>
    <row r="21" ht="38.25" customFormat="1" customHeight="1" s="227">
      <c r="A21" s="283" t="n">
        <v>5</v>
      </c>
      <c r="B21" s="160" t="inlineStr">
        <is>
          <t>91.18.01-004</t>
        </is>
      </c>
      <c r="C21" s="286" t="inlineStr">
        <is>
          <t>Компрессоры передвижные с двигателем внутреннего сгорания давлением: 800 кПа (8 ат), производительность 10 м3/мин</t>
        </is>
      </c>
      <c r="D21" s="283" t="inlineStr">
        <is>
          <t>маш.час</t>
        </is>
      </c>
      <c r="E21" s="287" t="n">
        <v>33507.89</v>
      </c>
      <c r="F21" s="283" t="n">
        <v>91.63</v>
      </c>
      <c r="G21" s="374">
        <f>ROUND(E21*F21,2)</f>
        <v/>
      </c>
      <c r="H21" s="289">
        <f>G21/$G$39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27">
      <c r="A22" s="283" t="n"/>
      <c r="B22" s="160" t="n"/>
      <c r="C22" s="167" t="inlineStr">
        <is>
          <t>Итого основные машины и механизмы</t>
        </is>
      </c>
      <c r="D22" s="283" t="n"/>
      <c r="E22" s="287" t="n"/>
      <c r="F22" s="283" t="n"/>
      <c r="G22" s="374">
        <f>SUM(G19:G21)</f>
        <v/>
      </c>
      <c r="H22" s="289">
        <f>G22/G39</f>
        <v/>
      </c>
      <c r="I22" s="26" t="n"/>
      <c r="J22" s="26">
        <f>SUM(J19:J21)</f>
        <v/>
      </c>
    </row>
    <row r="23" hidden="1" outlineLevel="1" ht="14.25" customFormat="1" customHeight="1" s="227">
      <c r="A23" s="283" t="n">
        <v>6</v>
      </c>
      <c r="B23" s="160" t="inlineStr">
        <is>
          <t>91.01.01-036</t>
        </is>
      </c>
      <c r="C23" s="286" t="inlineStr">
        <is>
          <t>Бульдозеры, мощность 96 кВт (130 л.с.)</t>
        </is>
      </c>
      <c r="D23" s="283" t="inlineStr">
        <is>
          <t>маш.час</t>
        </is>
      </c>
      <c r="E23" s="287" t="n">
        <v>986.11</v>
      </c>
      <c r="F23" s="283" t="n">
        <v>94.05</v>
      </c>
      <c r="G23" s="374">
        <f>ROUND(E23*F23,2)</f>
        <v/>
      </c>
      <c r="H23" s="289">
        <f>G23/$G$39</f>
        <v/>
      </c>
      <c r="I23" s="26">
        <f>ROUND(F23*Прил.10!$D$12,2)</f>
        <v/>
      </c>
      <c r="J23" s="26">
        <f>ROUND(I23*E23,2)</f>
        <v/>
      </c>
    </row>
    <row r="24" hidden="1" outlineLevel="1" ht="51" customFormat="1" customHeight="1" s="227">
      <c r="A24" s="283" t="n">
        <v>7</v>
      </c>
      <c r="B24" s="160" t="inlineStr">
        <is>
          <t>91.18.01-007</t>
        </is>
      </c>
      <c r="C24" s="28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283" t="inlineStr">
        <is>
          <t>маш.час</t>
        </is>
      </c>
      <c r="E24" s="287" t="n">
        <v>896</v>
      </c>
      <c r="F24" s="283" t="n">
        <v>90</v>
      </c>
      <c r="G24" s="374">
        <f>ROUND(E24*F24,2)</f>
        <v/>
      </c>
      <c r="H24" s="374">
        <f>G24/$G$39</f>
        <v/>
      </c>
      <c r="I24" s="374">
        <f>ROUND(F24*Прил.10!$D$12,2)</f>
        <v/>
      </c>
      <c r="J24" s="374">
        <f>ROUND(I24*E24,2)</f>
        <v/>
      </c>
    </row>
    <row r="25" hidden="1" outlineLevel="1" ht="25.5" customFormat="1" customHeight="1" s="227">
      <c r="A25" s="283" t="n">
        <v>8</v>
      </c>
      <c r="B25" s="160" t="inlineStr">
        <is>
          <t>91.14.02-001</t>
        </is>
      </c>
      <c r="C25" s="286" t="inlineStr">
        <is>
          <t>Автомобили бортовые, грузоподъемность до 5 т</t>
        </is>
      </c>
      <c r="D25" s="283" t="inlineStr">
        <is>
          <t>маш.час</t>
        </is>
      </c>
      <c r="E25" s="287" t="n">
        <v>888.1</v>
      </c>
      <c r="F25" s="283" t="n">
        <v>87.17</v>
      </c>
      <c r="G25" s="374">
        <f>ROUND(E25*F25,2)</f>
        <v/>
      </c>
      <c r="H25" s="374">
        <f>G25/$G$39</f>
        <v/>
      </c>
      <c r="I25" s="374">
        <f>ROUND(F25*Прил.10!$D$12,2)</f>
        <v/>
      </c>
      <c r="J25" s="374">
        <f>ROUND(I25*E25,2)</f>
        <v/>
      </c>
    </row>
    <row r="26" hidden="1" outlineLevel="1" ht="25.5" customFormat="1" customHeight="1" s="227">
      <c r="A26" s="283" t="n">
        <v>9</v>
      </c>
      <c r="B26" s="160" t="inlineStr">
        <is>
          <t>91.05.05-014</t>
        </is>
      </c>
      <c r="C26" s="286" t="inlineStr">
        <is>
          <t>Краны на автомобильном ходу, грузоподъемность 10 т</t>
        </is>
      </c>
      <c r="D26" s="283" t="inlineStr">
        <is>
          <t>маш.час</t>
        </is>
      </c>
      <c r="E26" s="287" t="n">
        <v>386.22</v>
      </c>
      <c r="F26" s="283" t="n">
        <v>111.99</v>
      </c>
      <c r="G26" s="374">
        <f>ROUND(E26*F26,2)</f>
        <v/>
      </c>
      <c r="H26" s="374">
        <f>G26/$G$39</f>
        <v/>
      </c>
      <c r="I26" s="374">
        <f>ROUND(F26*Прил.10!$D$12,2)</f>
        <v/>
      </c>
      <c r="J26" s="374">
        <f>ROUND(I26*E26,2)</f>
        <v/>
      </c>
    </row>
    <row r="27" hidden="1" outlineLevel="1" ht="25.5" customFormat="1" customHeight="1" s="227">
      <c r="A27" s="283" t="n">
        <v>10</v>
      </c>
      <c r="B27" s="160" t="inlineStr">
        <is>
          <t>91.13.03-112</t>
        </is>
      </c>
      <c r="C27" s="286" t="inlineStr">
        <is>
          <t>Спецавтомобили-вездеходы, грузоподъемность до 1,5 т</t>
        </is>
      </c>
      <c r="D27" s="283" t="inlineStr">
        <is>
          <t>маш.час</t>
        </is>
      </c>
      <c r="E27" s="287" t="n">
        <v>457.07</v>
      </c>
      <c r="F27" s="283" t="n">
        <v>92.86</v>
      </c>
      <c r="G27" s="374">
        <f>ROUND(E27*F27,2)</f>
        <v/>
      </c>
      <c r="H27" s="374">
        <f>G27/$G$39</f>
        <v/>
      </c>
      <c r="I27" s="374">
        <f>ROUND(F27*Прил.10!$D$12,2)</f>
        <v/>
      </c>
      <c r="J27" s="374">
        <f>ROUND(I27*E27,2)</f>
        <v/>
      </c>
    </row>
    <row r="28" hidden="1" outlineLevel="1" ht="14.25" customFormat="1" customHeight="1" s="227">
      <c r="A28" s="283" t="n">
        <v>11</v>
      </c>
      <c r="B28" s="160" t="inlineStr">
        <is>
          <t>91.08.03-029</t>
        </is>
      </c>
      <c r="C28" s="286" t="inlineStr">
        <is>
          <t>Катки на пневмоколесном ходу 16 т</t>
        </is>
      </c>
      <c r="D28" s="283" t="inlineStr">
        <is>
          <t>маш.час</t>
        </is>
      </c>
      <c r="E28" s="287" t="n">
        <v>57.73</v>
      </c>
      <c r="F28" s="283" t="n">
        <v>331.98</v>
      </c>
      <c r="G28" s="374">
        <f>ROUND(E28*F28,2)</f>
        <v/>
      </c>
      <c r="H28" s="374">
        <f>G28/$G$39</f>
        <v/>
      </c>
      <c r="I28" s="374">
        <f>ROUND(F28*Прил.10!$D$12,2)</f>
        <v/>
      </c>
      <c r="J28" s="374">
        <f>ROUND(I28*E28,2)</f>
        <v/>
      </c>
    </row>
    <row r="29" hidden="1" outlineLevel="1" ht="14.25" customFormat="1" customHeight="1" s="227">
      <c r="A29" s="283" t="n">
        <v>12</v>
      </c>
      <c r="B29" s="160" t="inlineStr">
        <is>
          <t>30101</t>
        </is>
      </c>
      <c r="C29" s="286" t="inlineStr">
        <is>
          <t>Автопогрузчики 5 т</t>
        </is>
      </c>
      <c r="D29" s="283" t="inlineStr">
        <is>
          <t>маш.час</t>
        </is>
      </c>
      <c r="E29" s="287" t="n">
        <v>154</v>
      </c>
      <c r="F29" s="283" t="n">
        <v>89.98999999999999</v>
      </c>
      <c r="G29" s="374">
        <f>ROUND(E29*F29,2)</f>
        <v/>
      </c>
      <c r="H29" s="374">
        <f>G29/$G$39</f>
        <v/>
      </c>
      <c r="I29" s="374">
        <f>ROUND(F29*Прил.10!$D$12,2)</f>
        <v/>
      </c>
      <c r="J29" s="374">
        <f>ROUND(I29*E29,2)</f>
        <v/>
      </c>
    </row>
    <row r="30" hidden="1" outlineLevel="1" ht="14.25" customFormat="1" customHeight="1" s="227">
      <c r="A30" s="283" t="n">
        <v>13</v>
      </c>
      <c r="B30" s="160" t="inlineStr">
        <is>
          <t>91.13.01-038</t>
        </is>
      </c>
      <c r="C30" s="286" t="inlineStr">
        <is>
          <t>Машины поливомоечные 6000 л</t>
        </is>
      </c>
      <c r="D30" s="283" t="inlineStr">
        <is>
          <t>маш.час</t>
        </is>
      </c>
      <c r="E30" s="287" t="n">
        <v>77</v>
      </c>
      <c r="F30" s="283" t="n">
        <v>110</v>
      </c>
      <c r="G30" s="374">
        <f>ROUND(E30*F30,2)</f>
        <v/>
      </c>
      <c r="H30" s="374">
        <f>G30/$G$39</f>
        <v/>
      </c>
      <c r="I30" s="374">
        <f>ROUND(F30*Прил.10!$D$12,2)</f>
        <v/>
      </c>
      <c r="J30" s="374">
        <f>ROUND(I30*E30,2)</f>
        <v/>
      </c>
    </row>
    <row r="31" hidden="1" outlineLevel="2" ht="38.25" customFormat="1" customHeight="1" s="227">
      <c r="A31" s="283" t="n">
        <v>14</v>
      </c>
      <c r="B31" s="160" t="inlineStr">
        <is>
          <t>91.01.05-085</t>
        </is>
      </c>
      <c r="C31" s="286" t="inlineStr">
        <is>
          <t>Экскаваторы одноковшовые дизельные на гусеничном ходу при работе на других видах строительства 0,5 м3</t>
        </is>
      </c>
      <c r="D31" s="283" t="inlineStr">
        <is>
          <t>маш.час</t>
        </is>
      </c>
      <c r="E31" s="287" t="n">
        <v>84</v>
      </c>
      <c r="F31" s="283" t="n">
        <v>100</v>
      </c>
      <c r="G31" s="374">
        <f>ROUND(E31*F31,2)</f>
        <v/>
      </c>
      <c r="H31" s="374">
        <f>G31/$G$39</f>
        <v/>
      </c>
      <c r="I31" s="374">
        <f>ROUND(F31*Прил.10!$D$12,2)</f>
        <v/>
      </c>
      <c r="J31" s="374">
        <f>ROUND(I31*E31,2)</f>
        <v/>
      </c>
    </row>
    <row r="32" hidden="1" outlineLevel="2" ht="25.5" customFormat="1" customHeight="1" s="227">
      <c r="A32" s="283" t="n">
        <v>15</v>
      </c>
      <c r="B32" s="160" t="inlineStr">
        <is>
          <t>91.01.01-035</t>
        </is>
      </c>
      <c r="C32" s="286" t="inlineStr">
        <is>
          <t>Бульдозеры при работе на других видах строительства 79 кВт (108 л.с.)</t>
        </is>
      </c>
      <c r="D32" s="283" t="inlineStr">
        <is>
          <t>маш.час</t>
        </is>
      </c>
      <c r="E32" s="287" t="n">
        <v>97.5</v>
      </c>
      <c r="F32" s="283" t="n">
        <v>79.06999999999999</v>
      </c>
      <c r="G32" s="374">
        <f>ROUND(E32*F32,2)</f>
        <v/>
      </c>
      <c r="H32" s="374">
        <f>G32/$G$39</f>
        <v/>
      </c>
      <c r="I32" s="374">
        <f>ROUND(F32*Прил.10!$D$12,2)</f>
        <v/>
      </c>
      <c r="J32" s="374">
        <f>ROUND(I32*E32,2)</f>
        <v/>
      </c>
    </row>
    <row r="33" hidden="1" outlineLevel="2" ht="25.5" customFormat="1" customHeight="1" s="227">
      <c r="A33" s="283" t="n">
        <v>16</v>
      </c>
      <c r="B33" s="160" t="inlineStr">
        <is>
          <t>91.14.03-002</t>
        </is>
      </c>
      <c r="C33" s="286" t="inlineStr">
        <is>
          <t>Автомобиль-самосвал, грузоподъемность до 10 т</t>
        </is>
      </c>
      <c r="D33" s="283" t="inlineStr">
        <is>
          <t>маш.час</t>
        </is>
      </c>
      <c r="E33" s="287" t="n">
        <v>77</v>
      </c>
      <c r="F33" s="283" t="n">
        <v>87.48999999999999</v>
      </c>
      <c r="G33" s="374">
        <f>ROUND(E33*F33,2)</f>
        <v/>
      </c>
      <c r="H33" s="374">
        <f>G33/$G$39</f>
        <v/>
      </c>
      <c r="I33" s="374">
        <f>ROUND(F33*Прил.10!$D$12,2)</f>
        <v/>
      </c>
      <c r="J33" s="374">
        <f>ROUND(I33*E33,2)</f>
        <v/>
      </c>
    </row>
    <row r="34" hidden="1" outlineLevel="2" ht="14.25" customFormat="1" customHeight="1" s="227">
      <c r="A34" s="283" t="n">
        <v>17</v>
      </c>
      <c r="B34" s="160" t="n">
        <v>331542</v>
      </c>
      <c r="C34" s="286" t="inlineStr">
        <is>
          <t>Станки для заточки бурового инструмента</t>
        </is>
      </c>
      <c r="D34" s="283" t="inlineStr">
        <is>
          <t>маш.час</t>
        </is>
      </c>
      <c r="E34" s="287" t="n">
        <v>78.8</v>
      </c>
      <c r="F34" s="283" t="n">
        <v>14.45</v>
      </c>
      <c r="G34" s="374">
        <f>ROUND(E34*F34,2)</f>
        <v/>
      </c>
      <c r="H34" s="374">
        <f>G34/$G$39</f>
        <v/>
      </c>
      <c r="I34" s="374">
        <f>ROUND(F34*Прил.10!$D$12,2)</f>
        <v/>
      </c>
      <c r="J34" s="374">
        <f>ROUND(I34*E34,2)</f>
        <v/>
      </c>
    </row>
    <row r="35" hidden="1" outlineLevel="2" ht="25.5" customFormat="1" customHeight="1" s="227">
      <c r="A35" s="283" t="n">
        <v>18</v>
      </c>
      <c r="B35" s="160" t="n">
        <v>331100</v>
      </c>
      <c r="C35" s="286" t="inlineStr">
        <is>
          <t>Трамбовки пневматические при работе от передвижных компрессорных станций</t>
        </is>
      </c>
      <c r="D35" s="283" t="inlineStr">
        <is>
          <t>маш.час</t>
        </is>
      </c>
      <c r="E35" s="287" t="n">
        <v>1792</v>
      </c>
      <c r="F35" s="283" t="n">
        <v>0.55</v>
      </c>
      <c r="G35" s="374">
        <f>ROUND(E35*F35,2)</f>
        <v/>
      </c>
      <c r="H35" s="374">
        <f>G35/$G$39</f>
        <v/>
      </c>
      <c r="I35" s="374">
        <f>ROUND(F35*Прил.10!$D$12,2)</f>
        <v/>
      </c>
      <c r="J35" s="374">
        <f>ROUND(I35*E35,2)</f>
        <v/>
      </c>
    </row>
    <row r="36" hidden="1" outlineLevel="2" ht="14.25" customFormat="1" customHeight="1" s="227">
      <c r="A36" s="283" t="n">
        <v>19</v>
      </c>
      <c r="B36" s="160" t="n">
        <v>331601</v>
      </c>
      <c r="C36" s="286" t="inlineStr">
        <is>
          <t>Пила с карбюраторным двигателем</t>
        </is>
      </c>
      <c r="D36" s="283" t="inlineStr">
        <is>
          <t>маш.час</t>
        </is>
      </c>
      <c r="E36" s="287" t="n">
        <v>161</v>
      </c>
      <c r="F36" s="283" t="n">
        <v>5.09</v>
      </c>
      <c r="G36" s="374">
        <f>ROUND(E36*F36,2)</f>
        <v/>
      </c>
      <c r="H36" s="374">
        <f>G36/$G$39</f>
        <v/>
      </c>
      <c r="I36" s="374">
        <f>ROUND(F36*Прил.10!$D$12,2)</f>
        <v/>
      </c>
      <c r="J36" s="374">
        <f>ROUND(I36*E36,2)</f>
        <v/>
      </c>
    </row>
    <row r="37" hidden="1" outlineLevel="2" ht="25.5" customFormat="1" customHeight="1" s="227">
      <c r="A37" s="283" t="n">
        <v>20</v>
      </c>
      <c r="B37" s="160" t="n">
        <v>100602</v>
      </c>
      <c r="C37" s="286" t="inlineStr">
        <is>
          <t>Молотки бурильные: легкие при работе от передвижных компрессорных станций</t>
        </is>
      </c>
      <c r="D37" s="283" t="inlineStr">
        <is>
          <t>маш.час</t>
        </is>
      </c>
      <c r="E37" s="287" t="n">
        <v>189.13</v>
      </c>
      <c r="F37" s="283" t="n">
        <v>2.99</v>
      </c>
      <c r="G37" s="374">
        <f>ROUND(E37*F37,2)</f>
        <v/>
      </c>
      <c r="H37" s="374">
        <f>G37/$G$39</f>
        <v/>
      </c>
      <c r="I37" s="374">
        <f>ROUND(F37*Прил.10!$D$12,2)</f>
        <v/>
      </c>
      <c r="J37" s="374">
        <f>ROUND(I37*E37,2)</f>
        <v/>
      </c>
    </row>
    <row r="38" collapsed="1" ht="14.25" customFormat="1" customHeight="1" s="227">
      <c r="A38" s="283" t="n"/>
      <c r="B38" s="283" t="n"/>
      <c r="C38" s="286" t="inlineStr">
        <is>
          <t>Итого прочие машины и механизмы</t>
        </is>
      </c>
      <c r="D38" s="283" t="n"/>
      <c r="E38" s="287" t="n"/>
      <c r="F38" s="26" t="n"/>
      <c r="G38" s="374">
        <f>SUM(G23:G37)</f>
        <v/>
      </c>
      <c r="H38" s="374">
        <f>G38/G39</f>
        <v/>
      </c>
      <c r="I38" s="374" t="n"/>
      <c r="J38" s="374">
        <f>SUM(J23:J37)</f>
        <v/>
      </c>
    </row>
    <row r="39" ht="25.5" customFormat="1" customHeight="1" s="227">
      <c r="A39" s="283" t="n"/>
      <c r="B39" s="285" t="n"/>
      <c r="C39" s="173" t="inlineStr">
        <is>
          <t>Итого по разделу «Машины и механизмы»</t>
        </is>
      </c>
      <c r="D39" s="285" t="n"/>
      <c r="E39" s="174" t="n"/>
      <c r="F39" s="175" t="n"/>
      <c r="G39" s="384">
        <f>G22+G38</f>
        <v/>
      </c>
      <c r="H39" s="385">
        <f>H22+H38</f>
        <v/>
      </c>
      <c r="I39" s="385" t="n"/>
      <c r="J39" s="384">
        <f>J22+J38</f>
        <v/>
      </c>
    </row>
    <row r="40" ht="14.25" customFormat="1" customHeight="1" s="227">
      <c r="A40" s="283" t="n"/>
      <c r="B40" s="290" t="inlineStr">
        <is>
          <t>Оборудование</t>
        </is>
      </c>
      <c r="C40" s="368" t="n"/>
      <c r="D40" s="368" t="n"/>
      <c r="E40" s="368" t="n"/>
      <c r="F40" s="368" t="n"/>
      <c r="G40" s="368" t="n"/>
      <c r="H40" s="369" t="n"/>
      <c r="I40" s="120" t="n"/>
      <c r="J40" s="120" t="n"/>
    </row>
    <row r="41">
      <c r="A41" s="283" t="n"/>
      <c r="B41" s="286" t="inlineStr">
        <is>
          <t>Основное оборудование</t>
        </is>
      </c>
      <c r="C41" s="368" t="n"/>
      <c r="D41" s="368" t="n"/>
      <c r="E41" s="368" t="n"/>
      <c r="F41" s="368" t="n"/>
      <c r="G41" s="368" t="n"/>
      <c r="H41" s="369" t="n"/>
      <c r="I41" s="120" t="n"/>
      <c r="J41" s="120" t="n"/>
    </row>
    <row r="42">
      <c r="A42" s="283" t="n"/>
      <c r="B42" s="283" t="n"/>
      <c r="C42" s="286" t="inlineStr">
        <is>
          <t>Итого основное оборудование</t>
        </is>
      </c>
      <c r="D42" s="283" t="n"/>
      <c r="E42" s="386" t="n"/>
      <c r="F42" s="288" t="n"/>
      <c r="G42" s="26" t="n">
        <v>0</v>
      </c>
      <c r="H42" s="291" t="n">
        <v>0</v>
      </c>
      <c r="I42" s="122" t="n"/>
      <c r="J42" s="26" t="n">
        <v>0</v>
      </c>
    </row>
    <row r="43">
      <c r="A43" s="283" t="n"/>
      <c r="B43" s="283" t="n"/>
      <c r="C43" s="286" t="inlineStr">
        <is>
          <t>Итого прочее оборудование</t>
        </is>
      </c>
      <c r="D43" s="283" t="n"/>
      <c r="E43" s="387" t="n"/>
      <c r="F43" s="288" t="n"/>
      <c r="G43" s="26" t="n">
        <v>0</v>
      </c>
      <c r="H43" s="289" t="n">
        <v>0</v>
      </c>
      <c r="I43" s="165" t="n"/>
      <c r="J43" s="164" t="n">
        <v>0</v>
      </c>
    </row>
    <row r="44">
      <c r="A44" s="283" t="n"/>
      <c r="B44" s="284" t="n"/>
      <c r="C44" s="161" t="inlineStr">
        <is>
          <t>Итого по разделу «Оборудование»</t>
        </is>
      </c>
      <c r="D44" s="284" t="n"/>
      <c r="E44" s="293" t="n"/>
      <c r="F44" s="294" t="n"/>
      <c r="G44" s="164">
        <f>G42</f>
        <v/>
      </c>
      <c r="H44" s="295" t="n">
        <v>0</v>
      </c>
      <c r="I44" s="165" t="n"/>
      <c r="J44" s="164">
        <f>J42</f>
        <v/>
      </c>
    </row>
    <row r="45" ht="25.5" customHeight="1" s="239">
      <c r="A45" s="283" t="n"/>
      <c r="B45" s="283" t="n"/>
      <c r="C45" s="286" t="inlineStr">
        <is>
          <t>в том числе технологическое оборудование</t>
        </is>
      </c>
      <c r="D45" s="283" t="n"/>
      <c r="E45" s="387" t="n"/>
      <c r="F45" s="288" t="n"/>
      <c r="G45" s="26">
        <f>G44</f>
        <v/>
      </c>
      <c r="H45" s="289" t="n"/>
      <c r="I45" s="26" t="n"/>
      <c r="J45" s="26">
        <f>J44</f>
        <v/>
      </c>
    </row>
    <row r="46" ht="14.25" customFormat="1" customHeight="1" s="227">
      <c r="A46" s="283" t="n"/>
      <c r="B46" s="290" t="inlineStr">
        <is>
          <t>Материалы</t>
        </is>
      </c>
      <c r="C46" s="368" t="n"/>
      <c r="D46" s="368" t="n"/>
      <c r="E46" s="368" t="n"/>
      <c r="F46" s="368" t="n"/>
      <c r="G46" s="368" t="n"/>
      <c r="H46" s="369" t="n"/>
      <c r="I46" s="120" t="n"/>
      <c r="J46" s="120" t="n"/>
    </row>
    <row r="47" ht="14.25" customFormat="1" customHeight="1" s="227">
      <c r="A47" s="283" t="n"/>
      <c r="B47" s="286" t="inlineStr">
        <is>
          <t>Основные материалы</t>
        </is>
      </c>
      <c r="C47" s="368" t="n"/>
      <c r="D47" s="368" t="n"/>
      <c r="E47" s="368" t="n"/>
      <c r="F47" s="368" t="n"/>
      <c r="G47" s="368" t="n"/>
      <c r="H47" s="369" t="n"/>
      <c r="I47" s="120" t="n"/>
      <c r="J47" s="120" t="n"/>
    </row>
    <row r="48" ht="25.5" customFormat="1" customHeight="1" s="227">
      <c r="A48" s="283" t="n">
        <v>21</v>
      </c>
      <c r="B48" s="283" t="inlineStr">
        <is>
          <t>08.1.02.17-0011</t>
        </is>
      </c>
      <c r="C48" s="286" t="inlineStr">
        <is>
          <t>Сетка из оцинкованной проволоки диаметром 2 мм крученая</t>
        </is>
      </c>
      <c r="D48" s="283" t="inlineStr">
        <is>
          <t>м2</t>
        </is>
      </c>
      <c r="E48" s="160" t="n">
        <v>1274856</v>
      </c>
      <c r="F48" s="283" t="n">
        <v>6.6</v>
      </c>
      <c r="G48" s="374">
        <f>F48*E48</f>
        <v/>
      </c>
      <c r="H48" s="374">
        <f>G48/$G$73</f>
        <v/>
      </c>
      <c r="I48" s="378">
        <f>ROUND(F48*Прил.10!$D$13,2)</f>
        <v/>
      </c>
      <c r="J48" s="378">
        <f>ROUND(I48*E48,2)</f>
        <v/>
      </c>
    </row>
    <row r="49" ht="14.25" customFormat="1" customHeight="1" s="227">
      <c r="A49" s="283" t="n">
        <v>22</v>
      </c>
      <c r="B49" s="283" t="inlineStr">
        <is>
          <t>02.1.01.02-0003</t>
        </is>
      </c>
      <c r="C49" s="286" t="inlineStr">
        <is>
          <t>Грунт песчаный (пескогрунт)</t>
        </is>
      </c>
      <c r="D49" s="283" t="inlineStr">
        <is>
          <t>м3</t>
        </is>
      </c>
      <c r="E49" s="160" t="n">
        <v>48721.1</v>
      </c>
      <c r="F49" s="283" t="n">
        <v>44.94</v>
      </c>
      <c r="G49" s="374">
        <f>F49*E49</f>
        <v/>
      </c>
      <c r="H49" s="374">
        <f>G49/$G$73</f>
        <v/>
      </c>
      <c r="I49" s="378">
        <f>ROUND(F49*Прил.10!$D$13,2)</f>
        <v/>
      </c>
      <c r="J49" s="378">
        <f>ROUND(I49*E49,2)</f>
        <v/>
      </c>
    </row>
    <row r="50" ht="25.5" customFormat="1" customHeight="1" s="227">
      <c r="A50" s="283" t="n">
        <v>23</v>
      </c>
      <c r="B50" s="283" t="inlineStr">
        <is>
          <t>01.7.09.02-0031</t>
        </is>
      </c>
      <c r="C50" s="286" t="inlineStr">
        <is>
          <t>Электродетонаторы: короткозамедленного действия водостойкие ЭД-КЗ</t>
        </is>
      </c>
      <c r="D50" s="283" t="inlineStr">
        <is>
          <t>1000 шт.</t>
        </is>
      </c>
      <c r="E50" s="160" t="n">
        <v>982.669</v>
      </c>
      <c r="F50" s="283" t="n">
        <v>4000</v>
      </c>
      <c r="G50" s="374">
        <f>F50*E50</f>
        <v/>
      </c>
      <c r="H50" s="374">
        <f>G50/$G$73</f>
        <v/>
      </c>
      <c r="I50" s="378">
        <f>ROUND(F50*Прил.10!$D$13,2)</f>
        <v/>
      </c>
      <c r="J50" s="378">
        <f>ROUND(I50*E50,2)</f>
        <v/>
      </c>
    </row>
    <row r="51" ht="38.25" customFormat="1" customHeight="1" s="227">
      <c r="A51" s="283" t="n">
        <v>24</v>
      </c>
      <c r="B51" s="283" t="inlineStr">
        <is>
          <t>01.7.02.08-0002</t>
        </is>
      </c>
      <c r="C51" s="286" t="inlineStr">
        <is>
          <t>Мешки бумажные марки НМ (непропитанные) открытые сшитые 3-слойные</t>
        </is>
      </c>
      <c r="D51" s="283" t="inlineStr">
        <is>
          <t>1000 шт.</t>
        </is>
      </c>
      <c r="E51" s="160" t="n">
        <v>737.5</v>
      </c>
      <c r="F51" s="283" t="n">
        <v>2240</v>
      </c>
      <c r="G51" s="374">
        <f>F51*E51</f>
        <v/>
      </c>
      <c r="H51" s="374">
        <f>G51/$G$73</f>
        <v/>
      </c>
      <c r="I51" s="378">
        <f>ROUND(F51*Прил.10!$D$13,2)</f>
        <v/>
      </c>
      <c r="J51" s="378">
        <f>ROUND(I51*E51,2)</f>
        <v/>
      </c>
    </row>
    <row r="52" ht="38.25" customFormat="1" customHeight="1" s="227">
      <c r="A52" s="283" t="n">
        <v>25</v>
      </c>
      <c r="B52" s="283" t="inlineStr">
        <is>
          <t>02.3.01.02-0016</t>
        </is>
      </c>
      <c r="C52" s="286" t="inlineStr">
        <is>
          <t>Песок природный для строительных: работ средний с крупностью зерен размером свыше 5 мм - до 5% по массе</t>
        </is>
      </c>
      <c r="D52" s="283" t="inlineStr">
        <is>
          <t>м3</t>
        </is>
      </c>
      <c r="E52" s="160" t="n">
        <v>18964</v>
      </c>
      <c r="F52" s="284" t="n">
        <v>55.26</v>
      </c>
      <c r="G52" s="388">
        <f>F52*E52</f>
        <v/>
      </c>
      <c r="H52" s="388">
        <f>G52/$G$73</f>
        <v/>
      </c>
      <c r="I52" s="389">
        <f>ROUND(F52*Прил.10!$D$13,2)</f>
        <v/>
      </c>
      <c r="J52" s="389">
        <f>ROUND(I52*E52,2)</f>
        <v/>
      </c>
    </row>
    <row r="53" ht="14.25" customFormat="1" customHeight="1" s="227">
      <c r="A53" s="283" t="n"/>
      <c r="B53" s="160" t="n"/>
      <c r="C53" s="292" t="inlineStr">
        <is>
          <t>Итого основные материалы</t>
        </is>
      </c>
      <c r="D53" s="284" t="n"/>
      <c r="E53" s="195" t="n"/>
      <c r="F53" s="287" t="n"/>
      <c r="G53" s="374">
        <f>SUM(G48:G52)</f>
        <v/>
      </c>
      <c r="H53" s="374">
        <f>G53/$G$73</f>
        <v/>
      </c>
      <c r="I53" s="390" t="n"/>
      <c r="J53" s="374">
        <f>SUM(J48:J52)</f>
        <v/>
      </c>
    </row>
    <row r="54" hidden="1" outlineLevel="1" ht="14.25" customFormat="1" customHeight="1" s="227">
      <c r="A54" s="283" t="n">
        <v>26</v>
      </c>
      <c r="B54" s="283" t="inlineStr">
        <is>
          <t>01.7.09.01-0002</t>
        </is>
      </c>
      <c r="C54" s="286" t="inlineStr">
        <is>
          <t>Аммонит № 6 ЖВ порошком</t>
        </is>
      </c>
      <c r="D54" s="283" t="inlineStr">
        <is>
          <t>т</t>
        </is>
      </c>
      <c r="E54" s="196" t="n">
        <v>128.1728</v>
      </c>
      <c r="F54" s="283" t="n">
        <v>4610</v>
      </c>
      <c r="G54" s="374">
        <f>F54*E54</f>
        <v/>
      </c>
      <c r="H54" s="374">
        <f>G54/$G$73</f>
        <v/>
      </c>
      <c r="I54" s="378">
        <f>ROUND(F54*Прил.10!$D$13,2)</f>
        <v/>
      </c>
      <c r="J54" s="378">
        <f>ROUND(I54*E54,2)</f>
        <v/>
      </c>
    </row>
    <row r="55" hidden="1" outlineLevel="1" ht="38.25" customFormat="1" customHeight="1" s="227">
      <c r="A55" s="283" t="n">
        <v>27</v>
      </c>
      <c r="B55" s="283" t="inlineStr">
        <is>
          <t>08.1.01.02-0001</t>
        </is>
      </c>
      <c r="C55" s="286" t="inlineStr">
        <is>
          <t>Габионные конструкции матрацов «Рено» из оцинкованной сетки из проволоки диаметром 2,7 мм двойного кручения</t>
        </is>
      </c>
      <c r="D55" s="283" t="inlineStr">
        <is>
          <t>т</t>
        </is>
      </c>
      <c r="E55" s="160" t="n">
        <v>31.15</v>
      </c>
      <c r="F55" s="285" t="n">
        <v>13153.2</v>
      </c>
      <c r="G55" s="384">
        <f>F55*E55</f>
        <v/>
      </c>
      <c r="H55" s="384">
        <f>G55/$G$73</f>
        <v/>
      </c>
      <c r="I55" s="391">
        <f>ROUND(F55*Прил.10!$D$13,2)</f>
        <v/>
      </c>
      <c r="J55" s="391">
        <f>ROUND(I55*E55,2)</f>
        <v/>
      </c>
    </row>
    <row r="56" hidden="1" outlineLevel="1" ht="14.25" customFormat="1" customHeight="1" s="227">
      <c r="A56" s="283" t="n">
        <v>28</v>
      </c>
      <c r="B56" s="283" t="inlineStr">
        <is>
          <t>01.7.09.01-0001</t>
        </is>
      </c>
      <c r="C56" s="286" t="inlineStr">
        <is>
          <t>Аммонит № 6 ЖВ в патронах</t>
        </is>
      </c>
      <c r="D56" s="283" t="inlineStr">
        <is>
          <t>т</t>
        </is>
      </c>
      <c r="E56" s="160" t="n">
        <v>42.7076</v>
      </c>
      <c r="F56" s="283" t="n">
        <v>6460</v>
      </c>
      <c r="G56" s="384">
        <f>F56*E56</f>
        <v/>
      </c>
      <c r="H56" s="384">
        <f>G56/$G$73</f>
        <v/>
      </c>
      <c r="I56" s="391">
        <f>ROUND(F56*Прил.10!$D$13,2)</f>
        <v/>
      </c>
      <c r="J56" s="391">
        <f>ROUND(I56*E56,2)</f>
        <v/>
      </c>
    </row>
    <row r="57" hidden="1" outlineLevel="1" ht="38.25" customFormat="1" customHeight="1" s="227">
      <c r="A57" s="283" t="n">
        <v>29</v>
      </c>
      <c r="B57" s="283" t="inlineStr">
        <is>
          <t>01.7.12.05-0055</t>
        </is>
      </c>
      <c r="C57" s="286" t="inlineStr">
        <is>
          <t>Геотекстиль нетканый из полиэфирного волокна, иглопробивной, поверхностная плотность 300 г/м2</t>
        </is>
      </c>
      <c r="D57" s="283" t="inlineStr">
        <is>
          <t>м2</t>
        </is>
      </c>
      <c r="E57" s="160" t="n">
        <v>35200</v>
      </c>
      <c r="F57" s="283" t="n">
        <v>7.55</v>
      </c>
      <c r="G57" s="384">
        <f>F57*E57</f>
        <v/>
      </c>
      <c r="H57" s="384">
        <f>G57/$G$73</f>
        <v/>
      </c>
      <c r="I57" s="391">
        <f>ROUND(F57*Прил.10!$D$13,2)</f>
        <v/>
      </c>
      <c r="J57" s="391">
        <f>ROUND(I57*E57,2)</f>
        <v/>
      </c>
    </row>
    <row r="58" hidden="1" outlineLevel="1" ht="38.25" customFormat="1" customHeight="1" s="227">
      <c r="A58" s="283" t="n">
        <v>30</v>
      </c>
      <c r="B58" s="283" t="inlineStr">
        <is>
          <t>02.2.05.04-1862</t>
        </is>
      </c>
      <c r="C58" s="286" t="inlineStr">
        <is>
          <t>Щебень из природного камня для строительных работ марка 1000, фракции 70-120 мм</t>
        </is>
      </c>
      <c r="D58" s="283" t="inlineStr">
        <is>
          <t>м3</t>
        </is>
      </c>
      <c r="E58" s="160" t="n">
        <v>2205</v>
      </c>
      <c r="F58" s="283" t="n">
        <v>78.98999999999999</v>
      </c>
      <c r="G58" s="384">
        <f>F58*E58</f>
        <v/>
      </c>
      <c r="H58" s="384">
        <f>G58/$G$73</f>
        <v/>
      </c>
      <c r="I58" s="391">
        <f>ROUND(F58*Прил.10!$D$13,2)</f>
        <v/>
      </c>
      <c r="J58" s="391">
        <f>ROUND(I58*E58,2)</f>
        <v/>
      </c>
    </row>
    <row r="59" hidden="1" outlineLevel="1" ht="25.5" customFormat="1" customHeight="1" s="227">
      <c r="A59" s="283" t="n">
        <v>31</v>
      </c>
      <c r="B59" s="283" t="inlineStr">
        <is>
          <t>01.7.09.03-0001</t>
        </is>
      </c>
      <c r="C59" s="286" t="inlineStr">
        <is>
          <t>Провод АПРН для взрывных работ марки ВП</t>
        </is>
      </c>
      <c r="D59" s="283" t="inlineStr">
        <is>
          <t>км</t>
        </is>
      </c>
      <c r="E59" s="160" t="n">
        <v>338.881</v>
      </c>
      <c r="F59" s="283" t="n">
        <v>450</v>
      </c>
      <c r="G59" s="384">
        <f>F59*E59</f>
        <v/>
      </c>
      <c r="H59" s="384">
        <f>G59/$G$73</f>
        <v/>
      </c>
      <c r="I59" s="391">
        <f>ROUND(F59*Прил.10!$D$13,2)</f>
        <v/>
      </c>
      <c r="J59" s="391">
        <f>ROUND(I59*E59,2)</f>
        <v/>
      </c>
    </row>
    <row r="60" hidden="1" outlineLevel="1" ht="25.5" customFormat="1" customHeight="1" s="227">
      <c r="A60" s="283" t="n">
        <v>32</v>
      </c>
      <c r="B60" s="283" t="inlineStr">
        <is>
          <t>01.7.12.05-0161</t>
        </is>
      </c>
      <c r="C60" s="286" t="inlineStr">
        <is>
          <t>Полотно иглопробивное для дорожного строительства «Дорнит-2»</t>
        </is>
      </c>
      <c r="D60" s="283" t="inlineStr">
        <is>
          <t>10 м2</t>
        </is>
      </c>
      <c r="E60" s="160" t="n">
        <v>973</v>
      </c>
      <c r="F60" s="283" t="n">
        <v>124.77</v>
      </c>
      <c r="G60" s="384">
        <f>F60*E60</f>
        <v/>
      </c>
      <c r="H60" s="384">
        <f>G60/$G$73</f>
        <v/>
      </c>
      <c r="I60" s="391">
        <f>ROUND(F60*Прил.10!$D$13,2)</f>
        <v/>
      </c>
      <c r="J60" s="391">
        <f>ROUND(I60*E60,2)</f>
        <v/>
      </c>
    </row>
    <row r="61" hidden="1" outlineLevel="1" ht="14.25" customFormat="1" customHeight="1" s="227">
      <c r="A61" s="283" t="n">
        <v>33</v>
      </c>
      <c r="B61" s="283" t="inlineStr">
        <is>
          <t>02.2.04.03-0003</t>
        </is>
      </c>
      <c r="C61" s="286" t="inlineStr">
        <is>
          <t>Смесь песчано-гравийная природная</t>
        </is>
      </c>
      <c r="D61" s="283" t="inlineStr">
        <is>
          <t>м3</t>
        </is>
      </c>
      <c r="E61" s="160" t="n">
        <v>1533</v>
      </c>
      <c r="F61" s="283" t="n">
        <v>60</v>
      </c>
      <c r="G61" s="384">
        <f>F61*E61</f>
        <v/>
      </c>
      <c r="H61" s="384">
        <f>G61/$G$73</f>
        <v/>
      </c>
      <c r="I61" s="391">
        <f>ROUND(F61*Прил.10!$D$13,2)</f>
        <v/>
      </c>
      <c r="J61" s="391">
        <f>ROUND(I61*E61,2)</f>
        <v/>
      </c>
    </row>
    <row r="62" hidden="1" outlineLevel="1" ht="14.25" customFormat="1" customHeight="1" s="227">
      <c r="A62" s="283" t="n">
        <v>34</v>
      </c>
      <c r="B62" s="283" t="inlineStr">
        <is>
          <t>01.4.01.06-0061</t>
        </is>
      </c>
      <c r="C62" s="286" t="inlineStr">
        <is>
          <t>Коронки типа: КДП43-25</t>
        </is>
      </c>
      <c r="D62" s="283" t="inlineStr">
        <is>
          <t>шт.</t>
        </is>
      </c>
      <c r="E62" s="160" t="n">
        <v>786.46</v>
      </c>
      <c r="F62" s="283" t="n">
        <v>90.8</v>
      </c>
      <c r="G62" s="384">
        <f>F62*E62</f>
        <v/>
      </c>
      <c r="H62" s="384">
        <f>G62/$G$73</f>
        <v/>
      </c>
      <c r="I62" s="391">
        <f>ROUND(F62*Прил.10!$D$13,2)</f>
        <v/>
      </c>
      <c r="J62" s="391">
        <f>ROUND(I62*E62,2)</f>
        <v/>
      </c>
    </row>
    <row r="63" hidden="1" outlineLevel="1" ht="38.25" customFormat="1" customHeight="1" s="227">
      <c r="A63" s="283" t="n">
        <v>35</v>
      </c>
      <c r="B63" s="283" t="inlineStr">
        <is>
          <t>08.4.03.03-0022</t>
        </is>
      </c>
      <c r="C63" s="286" t="inlineStr">
        <is>
          <t>Горячекатаная арматурная сталь периодического профиля класса А-II, диаметром 12 мм</t>
        </is>
      </c>
      <c r="D63" s="283" t="inlineStr">
        <is>
          <t>т</t>
        </is>
      </c>
      <c r="E63" s="160" t="n">
        <v>11.48</v>
      </c>
      <c r="F63" s="283" t="n">
        <v>5950</v>
      </c>
      <c r="G63" s="384">
        <f>F63*E63</f>
        <v/>
      </c>
      <c r="H63" s="384">
        <f>G63/$G$73</f>
        <v/>
      </c>
      <c r="I63" s="391">
        <f>ROUND(F63*Прил.10!$D$13,2)</f>
        <v/>
      </c>
      <c r="J63" s="391">
        <f>ROUND(I63*E63,2)</f>
        <v/>
      </c>
    </row>
    <row r="64" hidden="1" outlineLevel="1" ht="38.25" customFormat="1" customHeight="1" s="227">
      <c r="A64" s="283" t="n">
        <v>36</v>
      </c>
      <c r="B64" s="160" t="inlineStr">
        <is>
          <t>102-0061</t>
        </is>
      </c>
      <c r="C64" s="286" t="inlineStr">
        <is>
          <t>Доски обрезные хвойных пород длиной 4-6,5 м, шириной 75-150 мм, толщиной 44 мм и более, III сорта</t>
        </is>
      </c>
      <c r="D64" s="283" t="inlineStr">
        <is>
          <t>м3</t>
        </is>
      </c>
      <c r="E64" s="160" t="n">
        <v>63.7</v>
      </c>
      <c r="F64" s="283" t="n">
        <v>1056</v>
      </c>
      <c r="G64" s="384">
        <f>F64*E64</f>
        <v/>
      </c>
      <c r="H64" s="384">
        <f>G64/$G$73</f>
        <v/>
      </c>
      <c r="I64" s="391">
        <f>ROUND(F64*Прил.10!$D$13,2)</f>
        <v/>
      </c>
      <c r="J64" s="391">
        <f>ROUND(I64*E64,2)</f>
        <v/>
      </c>
    </row>
    <row r="65" hidden="1" outlineLevel="1" ht="38.25" customFormat="1" customHeight="1" s="227">
      <c r="A65" s="283" t="n">
        <v>37</v>
      </c>
      <c r="B65" s="160" t="inlineStr">
        <is>
          <t>101-1989</t>
        </is>
      </c>
      <c r="C65" s="286" t="inlineStr">
        <is>
          <t>Проволока стальная низкоуглеродистая разного назначения оцинкованная диаметром 2,2 мм</t>
        </is>
      </c>
      <c r="D65" s="283" t="inlineStr">
        <is>
          <t>т</t>
        </is>
      </c>
      <c r="E65" s="160" t="n">
        <v>3.591</v>
      </c>
      <c r="F65" s="283" t="n">
        <v>12110.78</v>
      </c>
      <c r="G65" s="384">
        <f>F65*E65</f>
        <v/>
      </c>
      <c r="H65" s="384">
        <f>G65/$G$73</f>
        <v/>
      </c>
      <c r="I65" s="391">
        <f>ROUND(F65*Прил.10!$D$13,2)</f>
        <v/>
      </c>
      <c r="J65" s="391">
        <f>ROUND(I65*E65,2)</f>
        <v/>
      </c>
    </row>
    <row r="66" hidden="1" outlineLevel="1" ht="38.25" customFormat="1" customHeight="1" s="227">
      <c r="A66" s="283" t="n">
        <v>38</v>
      </c>
      <c r="B66" s="160" t="inlineStr">
        <is>
          <t>109-0154</t>
        </is>
      </c>
      <c r="C66" s="286" t="inlineStr">
        <is>
          <t>Сталь буровая шестигранная пустотелая марки 55С2, наружный размер 22 мм, внутренний диаметр: 6,5 мм</t>
        </is>
      </c>
      <c r="D66" s="283" t="inlineStr">
        <is>
          <t>кг</t>
        </is>
      </c>
      <c r="E66" s="160" t="n">
        <v>1791.61</v>
      </c>
      <c r="F66" s="283" t="n">
        <v>19.43</v>
      </c>
      <c r="G66" s="384">
        <f>F66*E66</f>
        <v/>
      </c>
      <c r="H66" s="384">
        <f>G66/$G$73</f>
        <v/>
      </c>
      <c r="I66" s="391">
        <f>ROUND(F66*Прил.10!$D$13,2)</f>
        <v/>
      </c>
      <c r="J66" s="391">
        <f>ROUND(I66*E66,2)</f>
        <v/>
      </c>
    </row>
    <row r="67" hidden="1" outlineLevel="1" ht="38.25" customFormat="1" customHeight="1" s="227">
      <c r="A67" s="283" t="n">
        <v>39</v>
      </c>
      <c r="B67" s="160" t="inlineStr">
        <is>
          <t>102-0037</t>
        </is>
      </c>
      <c r="C67" s="286" t="inlineStr">
        <is>
          <t>Брусья необрезные хвойных пород длиной 4-6,5 м, все ширины, толщиной 100, 125 мм, III сорта</t>
        </is>
      </c>
      <c r="D67" s="283" t="inlineStr">
        <is>
          <t>м3</t>
        </is>
      </c>
      <c r="E67" s="160" t="n">
        <v>23.8</v>
      </c>
      <c r="F67" s="283" t="n">
        <v>1081.68</v>
      </c>
      <c r="G67" s="384">
        <f>F67*E67</f>
        <v/>
      </c>
      <c r="H67" s="384">
        <f>G67/$G$73</f>
        <v/>
      </c>
      <c r="I67" s="391">
        <f>ROUND(F67*Прил.10!$D$13,2)</f>
        <v/>
      </c>
      <c r="J67" s="391">
        <f>ROUND(I67*E67,2)</f>
        <v/>
      </c>
    </row>
    <row r="68" hidden="1" outlineLevel="1" ht="14.25" customFormat="1" customHeight="1" s="227">
      <c r="A68" s="283" t="n">
        <v>40</v>
      </c>
      <c r="B68" s="160" t="inlineStr">
        <is>
          <t>101-1805</t>
        </is>
      </c>
      <c r="C68" s="286" t="inlineStr">
        <is>
          <t>Гвозди строительные</t>
        </is>
      </c>
      <c r="D68" s="283" t="inlineStr">
        <is>
          <t>т</t>
        </is>
      </c>
      <c r="E68" s="160" t="n">
        <v>0.28</v>
      </c>
      <c r="F68" s="283" t="n">
        <v>11978</v>
      </c>
      <c r="G68" s="384">
        <f>F68*E68</f>
        <v/>
      </c>
      <c r="H68" s="384">
        <f>G68/$G$73</f>
        <v/>
      </c>
      <c r="I68" s="391">
        <f>ROUND(F68*Прил.10!$D$13,2)</f>
        <v/>
      </c>
      <c r="J68" s="391">
        <f>ROUND(I68*E68,2)</f>
        <v/>
      </c>
    </row>
    <row r="69" hidden="1" outlineLevel="1" ht="14.25" customFormat="1" customHeight="1" s="227">
      <c r="A69" s="283" t="n">
        <v>41</v>
      </c>
      <c r="B69" s="160" t="inlineStr">
        <is>
          <t>101-2109</t>
        </is>
      </c>
      <c r="C69" s="286" t="inlineStr">
        <is>
          <t>Карборунд</t>
        </is>
      </c>
      <c r="D69" s="283" t="inlineStr">
        <is>
          <t>кг</t>
        </is>
      </c>
      <c r="E69" s="160" t="n">
        <v>138.66</v>
      </c>
      <c r="F69" s="283" t="n">
        <v>5.71</v>
      </c>
      <c r="G69" s="384">
        <f>F69*E69</f>
        <v/>
      </c>
      <c r="H69" s="384">
        <f>G69/$G$73</f>
        <v/>
      </c>
      <c r="I69" s="391">
        <f>ROUND(F69*Прил.10!$D$13,2)</f>
        <v/>
      </c>
      <c r="J69" s="391">
        <f>ROUND(I69*E69,2)</f>
        <v/>
      </c>
    </row>
    <row r="70" hidden="1" outlineLevel="1" ht="14.25" customFormat="1" customHeight="1" s="227">
      <c r="A70" s="283" t="n">
        <v>42</v>
      </c>
      <c r="B70" s="160" t="inlineStr">
        <is>
          <t>411-0001</t>
        </is>
      </c>
      <c r="C70" s="286" t="inlineStr">
        <is>
          <t>Вода</t>
        </is>
      </c>
      <c r="D70" s="283" t="inlineStr">
        <is>
          <t>м3</t>
        </is>
      </c>
      <c r="E70" s="160" t="n">
        <v>24.5</v>
      </c>
      <c r="F70" s="283" t="n">
        <v>2.44</v>
      </c>
      <c r="G70" s="384">
        <f>F70*E70</f>
        <v/>
      </c>
      <c r="H70" s="384">
        <f>G70/$G$73</f>
        <v/>
      </c>
      <c r="I70" s="391">
        <f>ROUND(F70*Прил.10!$D$13,2)</f>
        <v/>
      </c>
      <c r="J70" s="391">
        <f>ROUND(I70*E70,2)</f>
        <v/>
      </c>
    </row>
    <row r="71" hidden="1" outlineLevel="1" ht="25.5" customFormat="1" customHeight="1" s="227">
      <c r="A71" s="283" t="n">
        <v>43</v>
      </c>
      <c r="B71" s="160" t="inlineStr">
        <is>
          <t>101-0782</t>
        </is>
      </c>
      <c r="C71" s="286" t="inlineStr">
        <is>
          <t>Поковки из квадратных заготовок, масса 1,8 кг</t>
        </is>
      </c>
      <c r="D71" s="283" t="inlineStr">
        <is>
          <t>т</t>
        </is>
      </c>
      <c r="E71" s="160" t="n">
        <v>0.0046</v>
      </c>
      <c r="F71" s="283" t="n">
        <v>5989</v>
      </c>
      <c r="G71" s="384">
        <f>F71*E71</f>
        <v/>
      </c>
      <c r="H71" s="384">
        <f>G71/$G$73</f>
        <v/>
      </c>
      <c r="I71" s="391">
        <f>ROUND(F71*Прил.10!$D$13,2)</f>
        <v/>
      </c>
      <c r="J71" s="391">
        <f>ROUND(I71*E71,2)</f>
        <v/>
      </c>
    </row>
    <row r="72" collapsed="1" ht="14.25" customFormat="1" customHeight="1" s="227">
      <c r="A72" s="283" t="n"/>
      <c r="B72" s="283" t="n"/>
      <c r="C72" s="186" t="inlineStr">
        <is>
          <t>Итого прочие материалы</t>
        </is>
      </c>
      <c r="D72" s="285" t="n"/>
      <c r="E72" s="174" t="n"/>
      <c r="F72" s="187" t="n"/>
      <c r="G72" s="384">
        <f>SUM(G54:G71)</f>
        <v/>
      </c>
      <c r="H72" s="384">
        <f>G72/$G$73</f>
        <v/>
      </c>
      <c r="I72" s="384" t="n"/>
      <c r="J72" s="384">
        <f>SUM(J54:J71)</f>
        <v/>
      </c>
    </row>
    <row r="73" ht="14.25" customFormat="1" customHeight="1" s="227">
      <c r="A73" s="283" t="n"/>
      <c r="B73" s="283" t="n"/>
      <c r="C73" s="290" t="inlineStr">
        <is>
          <t>Итого по разделу «Материалы»</t>
        </is>
      </c>
      <c r="D73" s="283" t="n"/>
      <c r="E73" s="287" t="n"/>
      <c r="F73" s="288" t="n"/>
      <c r="G73" s="374">
        <f>G53+G72</f>
        <v/>
      </c>
      <c r="H73" s="374">
        <f>H53+H72</f>
        <v/>
      </c>
      <c r="I73" s="374" t="n"/>
      <c r="J73" s="374">
        <f>J53+J72</f>
        <v/>
      </c>
    </row>
    <row r="74" ht="14.25" customFormat="1" customHeight="1" s="227">
      <c r="A74" s="283" t="n"/>
      <c r="B74" s="283" t="n"/>
      <c r="C74" s="286" t="inlineStr">
        <is>
          <t>ИТОГО ПО РМ</t>
        </is>
      </c>
      <c r="D74" s="283" t="n"/>
      <c r="E74" s="287" t="n"/>
      <c r="F74" s="288" t="n"/>
      <c r="G74" s="374">
        <f>G14+G39+G73</f>
        <v/>
      </c>
      <c r="H74" s="392" t="n"/>
      <c r="I74" s="374" t="n"/>
      <c r="J74" s="374">
        <f>J14+J39+J73</f>
        <v/>
      </c>
    </row>
    <row r="75" ht="14.25" customFormat="1" customHeight="1" s="227">
      <c r="A75" s="283" t="n"/>
      <c r="B75" s="283" t="n"/>
      <c r="C75" s="286" t="inlineStr">
        <is>
          <t>Накладные расходы</t>
        </is>
      </c>
      <c r="D75" s="123">
        <f>ROUND(G75/(G$16+$G$14),2)</f>
        <v/>
      </c>
      <c r="E75" s="287" t="n"/>
      <c r="F75" s="288" t="n"/>
      <c r="G75" s="374">
        <f>3221164+1750091.86</f>
        <v/>
      </c>
      <c r="H75" s="392" t="n"/>
      <c r="I75" s="374" t="n"/>
      <c r="J75" s="374">
        <f>ROUND(D75*(J14+J16),2)</f>
        <v/>
      </c>
      <c r="L75" s="190" t="n"/>
    </row>
    <row r="76" ht="14.25" customFormat="1" customHeight="1" s="227">
      <c r="A76" s="283" t="n"/>
      <c r="B76" s="283" t="n"/>
      <c r="C76" s="286" t="inlineStr">
        <is>
          <t>Сметная прибыль</t>
        </is>
      </c>
      <c r="D76" s="123">
        <f>ROUND(G76/(G$14+G$16),2)</f>
        <v/>
      </c>
      <c r="E76" s="287" t="n"/>
      <c r="F76" s="288" t="n"/>
      <c r="G76" s="374">
        <f>2083574+1135697.91</f>
        <v/>
      </c>
      <c r="H76" s="392" t="n"/>
      <c r="I76" s="374" t="n"/>
      <c r="J76" s="374">
        <f>ROUND(D76*(J14+J16),2)</f>
        <v/>
      </c>
      <c r="L76" s="190" t="n"/>
    </row>
    <row r="77" ht="14.25" customFormat="1" customHeight="1" s="227">
      <c r="A77" s="283" t="n"/>
      <c r="B77" s="283" t="n"/>
      <c r="C77" s="286" t="inlineStr">
        <is>
          <t>Итого СМР (с НР и СП)</t>
        </is>
      </c>
      <c r="D77" s="283" t="n"/>
      <c r="E77" s="287" t="n"/>
      <c r="F77" s="288" t="n"/>
      <c r="G77" s="374">
        <f>ROUND((G14+G39+G73+G75+G76),2)</f>
        <v/>
      </c>
      <c r="H77" s="392" t="n"/>
      <c r="I77" s="374" t="n"/>
      <c r="J77" s="374">
        <f>ROUND((J14+J39+J73+J75+J76),2)</f>
        <v/>
      </c>
    </row>
    <row r="78" ht="14.25" customFormat="1" customHeight="1" s="227">
      <c r="A78" s="283" t="n"/>
      <c r="B78" s="283" t="n"/>
      <c r="C78" s="286" t="inlineStr">
        <is>
          <t>ВСЕГО СМР + ОБОРУДОВАНИЕ</t>
        </is>
      </c>
      <c r="D78" s="283" t="n"/>
      <c r="E78" s="287" t="n"/>
      <c r="F78" s="288" t="n"/>
      <c r="G78" s="374">
        <f>G77+G44</f>
        <v/>
      </c>
      <c r="H78" s="392" t="n"/>
      <c r="I78" s="374" t="n"/>
      <c r="J78" s="374">
        <f>J77+J44</f>
        <v/>
      </c>
    </row>
    <row r="79" ht="34.5" customFormat="1" customHeight="1" s="227">
      <c r="A79" s="283" t="n"/>
      <c r="B79" s="283" t="n"/>
      <c r="C79" s="286" t="inlineStr">
        <is>
          <t>ИТОГО ПОКАЗАТЕЛЬ НА ЕД. ИЗМ.</t>
        </is>
      </c>
      <c r="D79" s="283" t="inlineStr">
        <is>
          <t>1 м2</t>
        </is>
      </c>
      <c r="E79" s="287" t="n">
        <v>182000</v>
      </c>
      <c r="F79" s="288" t="n"/>
      <c r="G79" s="374">
        <f>G78/E79</f>
        <v/>
      </c>
      <c r="H79" s="392" t="n"/>
      <c r="I79" s="374" t="n"/>
      <c r="J79" s="374">
        <f>J78/E79</f>
        <v/>
      </c>
    </row>
    <row r="81" ht="14.25" customFormat="1" customHeight="1" s="227">
      <c r="A81" s="216" t="inlineStr">
        <is>
          <t>Составил ______________________     Д.А. Самуйленко</t>
        </is>
      </c>
    </row>
    <row r="82" ht="14.25" customFormat="1" customHeight="1" s="227">
      <c r="A82" s="226" t="inlineStr">
        <is>
          <t xml:space="preserve">                         (подпись, инициалы, фамилия)</t>
        </is>
      </c>
    </row>
    <row r="83" ht="14.25" customFormat="1" customHeight="1" s="227">
      <c r="A83" s="216" t="n"/>
    </row>
    <row r="84" ht="14.25" customFormat="1" customHeight="1" s="227">
      <c r="A84" s="216" t="inlineStr">
        <is>
          <t>Проверил ______________________        А.В. Костянецкая</t>
        </is>
      </c>
    </row>
    <row r="85" ht="14.25" customFormat="1" customHeight="1" s="227">
      <c r="A85" s="226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B15:H15"/>
    <mergeCell ref="H2:J2"/>
    <mergeCell ref="C9:C10"/>
    <mergeCell ref="E9:E10"/>
    <mergeCell ref="B41:H41"/>
    <mergeCell ref="A7:H7"/>
    <mergeCell ref="B47:H47"/>
    <mergeCell ref="B46:H46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9" min="1" max="1"/>
    <col width="17.5703125" customWidth="1" style="239" min="2" max="2"/>
    <col width="39.140625" customWidth="1" style="239" min="3" max="3"/>
    <col width="10.7109375" customWidth="1" style="239" min="4" max="4"/>
    <col width="13.85546875" customWidth="1" style="239" min="5" max="5"/>
    <col width="13.28515625" customWidth="1" style="239" min="6" max="6"/>
    <col width="14.140625" customWidth="1" style="239" min="7" max="7"/>
  </cols>
  <sheetData>
    <row r="1">
      <c r="A1" s="301" t="inlineStr">
        <is>
          <t>Приложение №6</t>
        </is>
      </c>
    </row>
    <row r="2" ht="21.75" customHeight="1" s="239">
      <c r="A2" s="301" t="n"/>
      <c r="B2" s="301" t="n"/>
      <c r="C2" s="301" t="n"/>
      <c r="D2" s="301" t="n"/>
      <c r="E2" s="301" t="n"/>
      <c r="F2" s="301" t="n"/>
      <c r="G2" s="301" t="n"/>
    </row>
    <row r="3">
      <c r="A3" s="249" t="inlineStr">
        <is>
          <t>Расчет стоимости оборудования</t>
        </is>
      </c>
    </row>
    <row r="4" ht="40.5" customHeight="1" s="239">
      <c r="A4" s="252" t="inlineStr">
        <is>
          <t>Наименование разрабатываемого показателя УНЦ — Подготовка и устройство территории ПС (ЗПС) Амурская область</t>
        </is>
      </c>
    </row>
    <row r="5">
      <c r="A5" s="216" t="n"/>
      <c r="B5" s="216" t="n"/>
      <c r="C5" s="216" t="n"/>
      <c r="D5" s="216" t="n"/>
      <c r="E5" s="216" t="n"/>
      <c r="F5" s="216" t="n"/>
      <c r="G5" s="216" t="n"/>
    </row>
    <row r="6" ht="30" customHeight="1" s="239">
      <c r="A6" s="306" t="inlineStr">
        <is>
          <t>№ пп.</t>
        </is>
      </c>
      <c r="B6" s="306" t="inlineStr">
        <is>
          <t>Код ресурса</t>
        </is>
      </c>
      <c r="C6" s="306" t="inlineStr">
        <is>
          <t>Наименование</t>
        </is>
      </c>
      <c r="D6" s="306" t="inlineStr">
        <is>
          <t>Ед. изм.</t>
        </is>
      </c>
      <c r="E6" s="283" t="inlineStr">
        <is>
          <t>Кол-во единиц по проектным данным</t>
        </is>
      </c>
      <c r="F6" s="306" t="inlineStr">
        <is>
          <t>Сметная стоимость в ценах на 01.01.2000 (руб.)</t>
        </is>
      </c>
      <c r="G6" s="369" t="n"/>
    </row>
    <row r="7">
      <c r="A7" s="371" t="n"/>
      <c r="B7" s="371" t="n"/>
      <c r="C7" s="371" t="n"/>
      <c r="D7" s="371" t="n"/>
      <c r="E7" s="371" t="n"/>
      <c r="F7" s="283" t="inlineStr">
        <is>
          <t>на ед. изм.</t>
        </is>
      </c>
      <c r="G7" s="283" t="inlineStr">
        <is>
          <t>общая</t>
        </is>
      </c>
    </row>
    <row r="8">
      <c r="A8" s="283" t="n">
        <v>1</v>
      </c>
      <c r="B8" s="283" t="n">
        <v>2</v>
      </c>
      <c r="C8" s="283" t="n">
        <v>3</v>
      </c>
      <c r="D8" s="283" t="n">
        <v>4</v>
      </c>
      <c r="E8" s="283" t="n">
        <v>5</v>
      </c>
      <c r="F8" s="283" t="n">
        <v>6</v>
      </c>
      <c r="G8" s="283" t="n">
        <v>7</v>
      </c>
    </row>
    <row r="9" ht="15" customHeight="1" s="239">
      <c r="A9" s="99" t="n"/>
      <c r="B9" s="286" t="inlineStr">
        <is>
          <t>ИНЖЕНЕРНОЕ ОБОРУДОВАНИЕ</t>
        </is>
      </c>
      <c r="C9" s="368" t="n"/>
      <c r="D9" s="368" t="n"/>
      <c r="E9" s="368" t="n"/>
      <c r="F9" s="368" t="n"/>
      <c r="G9" s="369" t="n"/>
    </row>
    <row r="10" ht="27" customHeight="1" s="239">
      <c r="A10" s="283" t="n"/>
      <c r="B10" s="290" t="n"/>
      <c r="C10" s="286" t="inlineStr">
        <is>
          <t>ИТОГО ИНЖЕНЕРНОЕ ОБОРУДОВАНИЕ</t>
        </is>
      </c>
      <c r="D10" s="290" t="n"/>
      <c r="E10" s="100" t="n"/>
      <c r="F10" s="288" t="n"/>
      <c r="G10" s="288" t="n">
        <v>0</v>
      </c>
    </row>
    <row r="11">
      <c r="A11" s="283" t="n"/>
      <c r="B11" s="286" t="inlineStr">
        <is>
          <t>ТЕХНОЛОГИЧЕСКОЕ ОБОРУДОВАНИЕ</t>
        </is>
      </c>
      <c r="C11" s="368" t="n"/>
      <c r="D11" s="368" t="n"/>
      <c r="E11" s="368" t="n"/>
      <c r="F11" s="368" t="n"/>
      <c r="G11" s="369" t="n"/>
    </row>
    <row r="12" ht="25.5" customHeight="1" s="239">
      <c r="A12" s="283" t="n"/>
      <c r="B12" s="286" t="n"/>
      <c r="C12" s="286" t="inlineStr">
        <is>
          <t>ИТОГО ТЕХНОЛОГИЧЕСКОЕ ОБОРУДОВАНИЕ</t>
        </is>
      </c>
      <c r="D12" s="286" t="n"/>
      <c r="E12" s="305" t="n"/>
      <c r="F12" s="288" t="n"/>
      <c r="G12" s="26" t="n">
        <v>0</v>
      </c>
    </row>
    <row r="13" ht="19.5" customHeight="1" s="239">
      <c r="A13" s="283" t="n"/>
      <c r="B13" s="286" t="n"/>
      <c r="C13" s="286" t="inlineStr">
        <is>
          <t>Всего по разделу «Оборудование»</t>
        </is>
      </c>
      <c r="D13" s="286" t="n"/>
      <c r="E13" s="305" t="n"/>
      <c r="F13" s="288" t="n"/>
      <c r="G13" s="26">
        <f>G10+G12</f>
        <v/>
      </c>
    </row>
    <row r="14">
      <c r="A14" s="224" t="n"/>
      <c r="B14" s="225" t="n"/>
      <c r="C14" s="224" t="n"/>
      <c r="D14" s="224" t="n"/>
      <c r="E14" s="224" t="n"/>
      <c r="F14" s="224" t="n"/>
      <c r="G14" s="224" t="n"/>
    </row>
    <row r="15">
      <c r="A15" s="354" t="inlineStr">
        <is>
          <t>Составил ______________________    Д.А. Самуйленко</t>
        </is>
      </c>
      <c r="B15" s="227" t="n"/>
      <c r="C15" s="227" t="n"/>
      <c r="D15" s="224" t="n"/>
      <c r="E15" s="224" t="n"/>
      <c r="F15" s="224" t="n"/>
      <c r="G15" s="224" t="n"/>
    </row>
    <row r="16">
      <c r="A16" s="226" t="inlineStr">
        <is>
          <t xml:space="preserve">                         (подпись, инициалы, фамилия)</t>
        </is>
      </c>
      <c r="B16" s="227" t="n"/>
      <c r="C16" s="227" t="n"/>
      <c r="D16" s="224" t="n"/>
      <c r="E16" s="224" t="n"/>
      <c r="F16" s="224" t="n"/>
      <c r="G16" s="224" t="n"/>
    </row>
    <row r="17">
      <c r="A17" s="216" t="n"/>
      <c r="B17" s="227" t="n"/>
      <c r="C17" s="227" t="n"/>
      <c r="D17" s="224" t="n"/>
      <c r="E17" s="224" t="n"/>
      <c r="F17" s="224" t="n"/>
      <c r="G17" s="224" t="n"/>
    </row>
    <row r="18">
      <c r="A18" s="216" t="inlineStr">
        <is>
          <t>Проверил ______________________        А.В. Костянецкая</t>
        </is>
      </c>
      <c r="B18" s="227" t="n"/>
      <c r="C18" s="227" t="n"/>
      <c r="D18" s="224" t="n"/>
      <c r="E18" s="224" t="n"/>
      <c r="F18" s="224" t="n"/>
      <c r="G18" s="224" t="n"/>
    </row>
    <row r="19">
      <c r="A19" s="226" t="inlineStr">
        <is>
          <t xml:space="preserve">                        (подпись, инициалы, фамилия)</t>
        </is>
      </c>
      <c r="B19" s="227" t="n"/>
      <c r="C19" s="227" t="n"/>
      <c r="D19" s="224" t="n"/>
      <c r="E19" s="224" t="n"/>
      <c r="F19" s="224" t="n"/>
      <c r="G19" s="2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4.42578125" customWidth="1" style="239" min="1" max="1"/>
    <col width="29.7109375" customWidth="1" style="239" min="2" max="2"/>
    <col width="39.140625" customWidth="1" style="239" min="3" max="3"/>
    <col width="24.5703125" customWidth="1" style="239" min="4" max="4"/>
  </cols>
  <sheetData>
    <row r="1">
      <c r="B1" s="216" t="n"/>
      <c r="C1" s="216" t="n"/>
      <c r="D1" s="301" t="inlineStr">
        <is>
          <t>Приложение №7</t>
        </is>
      </c>
    </row>
    <row r="2">
      <c r="A2" s="301" t="n"/>
      <c r="B2" s="301" t="n"/>
      <c r="C2" s="301" t="n"/>
      <c r="D2" s="301" t="n"/>
    </row>
    <row r="3">
      <c r="A3" s="249" t="inlineStr">
        <is>
          <t>Расчет показателя УНЦ</t>
        </is>
      </c>
    </row>
    <row r="4">
      <c r="A4" s="249" t="n"/>
      <c r="B4" s="249" t="n"/>
      <c r="C4" s="249" t="n"/>
      <c r="D4" s="249" t="n"/>
    </row>
    <row r="5" ht="15" customHeight="1" s="239">
      <c r="A5" s="252">
        <f>'Прил.4 РМ'!B7</f>
        <v/>
      </c>
    </row>
    <row r="6" ht="15" customHeight="1" s="239">
      <c r="A6" s="216" t="inlineStr">
        <is>
          <t>Единица измерения  — м2</t>
        </is>
      </c>
      <c r="B6" s="216" t="n"/>
      <c r="C6" s="216" t="n"/>
      <c r="D6" s="252" t="n"/>
    </row>
    <row r="7">
      <c r="A7" s="216" t="n"/>
      <c r="B7" s="216" t="n"/>
      <c r="C7" s="216" t="n"/>
      <c r="D7" s="216" t="n"/>
    </row>
    <row r="8" ht="15" customHeight="1" s="239">
      <c r="A8" s="262" t="inlineStr">
        <is>
          <t>Код показателя</t>
        </is>
      </c>
      <c r="B8" s="262" t="inlineStr">
        <is>
          <t>Наименование показателя</t>
        </is>
      </c>
      <c r="C8" s="262" t="inlineStr">
        <is>
          <t>Наименование РМ, входящих в состав показателя</t>
        </is>
      </c>
      <c r="D8" s="262" t="inlineStr">
        <is>
          <t>Норматив цены на 01.01.2023, тыс.руб.</t>
        </is>
      </c>
    </row>
    <row r="9" ht="15" customHeight="1" s="239">
      <c r="A9" s="371" t="n"/>
      <c r="B9" s="371" t="n"/>
      <c r="C9" s="371" t="n"/>
      <c r="D9" s="371" t="n"/>
    </row>
    <row r="10">
      <c r="A10" s="283" t="n">
        <v>1</v>
      </c>
      <c r="B10" s="283" t="n">
        <v>2</v>
      </c>
      <c r="C10" s="283" t="n">
        <v>3</v>
      </c>
      <c r="D10" s="283" t="n">
        <v>4</v>
      </c>
    </row>
    <row r="11" ht="25.5" customHeight="1" s="239">
      <c r="A11" s="221" t="inlineStr">
        <is>
          <t>Б1-07</t>
        </is>
      </c>
      <c r="B11" s="221" t="inlineStr">
        <is>
          <t xml:space="preserve">УНЦ подготовки и устройства территории ПС </t>
        </is>
      </c>
      <c r="C11" s="222" t="inlineStr">
        <is>
          <t>Подготовка и устройство территории ПС (ЗПС) Амурская область</t>
        </is>
      </c>
      <c r="D11" s="223">
        <f>'Прил.4 РМ'!C41/1000</f>
        <v/>
      </c>
    </row>
    <row r="12">
      <c r="A12" s="224" t="n"/>
      <c r="B12" s="225" t="n"/>
      <c r="C12" s="224" t="n"/>
      <c r="D12" s="224" t="n"/>
    </row>
    <row r="13">
      <c r="A13" s="216" t="inlineStr">
        <is>
          <t>Составил ______________________      Д.А. Самуйленко</t>
        </is>
      </c>
      <c r="B13" s="216" t="n"/>
      <c r="C13" s="216" t="n"/>
      <c r="D13" s="224" t="n"/>
    </row>
    <row r="14">
      <c r="A14" s="226" t="inlineStr">
        <is>
          <t xml:space="preserve">                         (подпись, инициалы, фамилия)</t>
        </is>
      </c>
      <c r="B14" s="226" t="n"/>
      <c r="C14" s="226" t="n"/>
      <c r="D14" s="224" t="n"/>
    </row>
    <row r="15">
      <c r="A15" s="226" t="n"/>
      <c r="B15" s="226" t="n"/>
      <c r="C15" s="226" t="n"/>
      <c r="D15" s="224" t="n"/>
    </row>
    <row r="16">
      <c r="A16" s="216" t="inlineStr">
        <is>
          <t>Проверил ______________________        А.В. Костянецкая</t>
        </is>
      </c>
      <c r="B16" s="227" t="n"/>
      <c r="C16" s="227" t="n"/>
      <c r="D16" s="224" t="n"/>
    </row>
    <row r="17">
      <c r="A17" s="226" t="inlineStr">
        <is>
          <t xml:space="preserve">                        (подпись, инициалы, фамилия)</t>
        </is>
      </c>
      <c r="B17" s="227" t="n"/>
      <c r="C17" s="227" t="n"/>
      <c r="D17" s="224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7" sqref="B27"/>
    </sheetView>
  </sheetViews>
  <sheetFormatPr baseColWidth="8" defaultRowHeight="15"/>
  <cols>
    <col width="9.140625" customWidth="1" style="239" min="1" max="1"/>
    <col width="40.7109375" customWidth="1" style="239" min="2" max="2"/>
    <col width="37" customWidth="1" style="239" min="3" max="3"/>
    <col width="32" customWidth="1" style="239" min="4" max="4"/>
    <col width="9.140625" customWidth="1" style="239" min="5" max="5"/>
  </cols>
  <sheetData>
    <row r="4" ht="15.75" customHeight="1" s="239">
      <c r="B4" s="256" t="inlineStr">
        <is>
          <t>Приложение № 10</t>
        </is>
      </c>
    </row>
    <row r="5" ht="18.75" customHeight="1" s="239">
      <c r="B5" s="112" t="n"/>
    </row>
    <row r="6" ht="15.75" customHeight="1" s="239">
      <c r="B6" s="257" t="inlineStr">
        <is>
          <t>Используемые индексы изменений сметной стоимости и нормы сопутствующих затрат</t>
        </is>
      </c>
    </row>
    <row r="7">
      <c r="B7" s="309" t="n"/>
    </row>
    <row r="8">
      <c r="B8" s="309" t="n"/>
      <c r="C8" s="309" t="n"/>
      <c r="D8" s="309" t="n"/>
      <c r="E8" s="309" t="n"/>
    </row>
    <row r="9" ht="47.25" customHeight="1" s="239">
      <c r="B9" s="262" t="inlineStr">
        <is>
          <t>Наименование индекса / норм сопутствующих затрат</t>
        </is>
      </c>
      <c r="C9" s="262" t="inlineStr">
        <is>
          <t>Дата применения и обоснование индекса / норм сопутствующих затрат</t>
        </is>
      </c>
      <c r="D9" s="262" t="inlineStr">
        <is>
          <t>Размер индекса / норма сопутствующих затрат</t>
        </is>
      </c>
    </row>
    <row r="10" ht="15.75" customHeight="1" s="239">
      <c r="B10" s="262" t="n">
        <v>1</v>
      </c>
      <c r="C10" s="262" t="n">
        <v>2</v>
      </c>
      <c r="D10" s="262" t="n">
        <v>3</v>
      </c>
    </row>
    <row r="11" ht="45" customHeight="1" s="239">
      <c r="B11" s="262" t="inlineStr">
        <is>
          <t xml:space="preserve">Индекс изменения сметной стоимости на 1 квартал 2023 года. ОЗП </t>
        </is>
      </c>
      <c r="C11" s="262" t="inlineStr">
        <is>
          <t>Письмо Минстроя России от 30.03.2023г. №17106-ИФ/09  прил.1</t>
        </is>
      </c>
      <c r="D11" s="262" t="n">
        <v>47.51</v>
      </c>
    </row>
    <row r="12" ht="29.25" customHeight="1" s="239">
      <c r="B12" s="262" t="inlineStr">
        <is>
          <t>Индекс изменения сметной стоимости на 1 квартал 2023 года. ЭМ</t>
        </is>
      </c>
      <c r="C12" s="262" t="inlineStr">
        <is>
          <t>Письмо Минстроя России от 30.03.2023г. №17106-ИФ/09  прил.1</t>
        </is>
      </c>
      <c r="D12" s="262" t="n">
        <v>12.01</v>
      </c>
    </row>
    <row r="13" ht="29.25" customHeight="1" s="239">
      <c r="B13" s="262" t="inlineStr">
        <is>
          <t>Индекс изменения сметной стоимости на 1 квартал 2023 года. МАТ</t>
        </is>
      </c>
      <c r="C13" s="262" t="inlineStr">
        <is>
          <t>Письмо Минстроя России от 30.03.2023г. №17106-ИФ/09  прил.1</t>
        </is>
      </c>
      <c r="D13" s="262" t="n">
        <v>4.63</v>
      </c>
    </row>
    <row r="14" ht="30.75" customHeight="1" s="239">
      <c r="B14" s="262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62" t="n">
        <v>6.26</v>
      </c>
    </row>
    <row r="15" ht="89.25" customHeight="1" s="239">
      <c r="B15" s="262" t="inlineStr">
        <is>
          <t>Временные здания и сооружения</t>
        </is>
      </c>
      <c r="C15" s="2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39">
      <c r="B16" s="262" t="inlineStr">
        <is>
          <t>Дополнительные затраты при производстве строительно-монтажных работ в зимнее время</t>
        </is>
      </c>
      <c r="C16" s="2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>
        <f>7%*0.9</f>
        <v/>
      </c>
    </row>
    <row r="17" ht="31.5" customHeight="1" s="239">
      <c r="B17" s="262" t="inlineStr">
        <is>
          <t>Строительный контроль</t>
        </is>
      </c>
      <c r="C17" s="262" t="inlineStr">
        <is>
          <t>Постановление Правительства РФ от 21.06.10 г. № 468</t>
        </is>
      </c>
      <c r="D17" s="115" t="n">
        <v>0.0214</v>
      </c>
    </row>
    <row r="18" ht="31.5" customHeight="1" s="239">
      <c r="B18" s="262" t="inlineStr">
        <is>
          <t>Авторский надзор - 0,2%</t>
        </is>
      </c>
      <c r="C18" s="262" t="inlineStr">
        <is>
          <t>Приказ от 4.08.2020 № 421/пр п.173</t>
        </is>
      </c>
      <c r="D18" s="115" t="n">
        <v>0.002</v>
      </c>
    </row>
    <row r="19" ht="24" customHeight="1" s="239">
      <c r="B19" s="262" t="inlineStr">
        <is>
          <t>Непредвиденные расходы</t>
        </is>
      </c>
      <c r="C19" s="262" t="inlineStr">
        <is>
          <t>Приказ от 4.08.2020 № 421/пр п.179</t>
        </is>
      </c>
      <c r="D19" s="115" t="n">
        <v>0.03</v>
      </c>
    </row>
    <row r="20" ht="18.75" customHeight="1" s="239">
      <c r="B20" s="113" t="n"/>
    </row>
    <row r="21" ht="18.75" customHeight="1" s="239">
      <c r="B21" s="113" t="n"/>
    </row>
    <row r="22" ht="18.75" customHeight="1" s="239">
      <c r="B22" s="113" t="n"/>
    </row>
    <row r="23" ht="18.75" customHeight="1" s="239">
      <c r="B23" s="113" t="n"/>
    </row>
    <row r="26">
      <c r="B26" s="354" t="inlineStr">
        <is>
          <t>Составил ______________________        Д.А. Самуйленко</t>
        </is>
      </c>
      <c r="C26" s="227" t="n"/>
    </row>
    <row r="27">
      <c r="B27" s="226" t="inlineStr">
        <is>
          <t xml:space="preserve">                         (подпись, инициалы, фамилия)</t>
        </is>
      </c>
      <c r="C27" s="227" t="n"/>
    </row>
    <row r="28">
      <c r="B28" s="216" t="n"/>
      <c r="C28" s="227" t="n"/>
    </row>
    <row r="29">
      <c r="B29" s="216" t="inlineStr">
        <is>
          <t>Проверил ______________________        А.В. Костянецкая</t>
        </is>
      </c>
      <c r="C29" s="227" t="n"/>
    </row>
    <row r="30">
      <c r="B30" s="226" t="inlineStr">
        <is>
          <t xml:space="preserve">                        (подпись, инициалы, фамилия)</t>
        </is>
      </c>
      <c r="C30" s="22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39" min="2" max="2"/>
    <col width="13" customWidth="1" style="239" min="3" max="3"/>
    <col width="22.85546875" customWidth="1" style="239" min="4" max="4"/>
    <col width="21.5703125" customWidth="1" style="239" min="5" max="5"/>
    <col width="43.85546875" customWidth="1" style="239" min="6" max="6"/>
  </cols>
  <sheetData>
    <row r="1" s="239"/>
    <row r="2" ht="17.25" customHeight="1" s="239">
      <c r="A2" s="257" t="inlineStr">
        <is>
          <t>Расчет размера средств на оплату труда рабочих-строителей в текущем уровне цен (ФОТр.тек.)</t>
        </is>
      </c>
    </row>
    <row r="3" s="239"/>
    <row r="4" ht="18" customHeight="1" s="239">
      <c r="A4" s="229" t="inlineStr">
        <is>
          <t>Составлен в уровне цен на 01.01.2023 г.</t>
        </is>
      </c>
      <c r="B4" s="237" t="n"/>
      <c r="C4" s="237" t="n"/>
      <c r="D4" s="237" t="n"/>
      <c r="E4" s="237" t="n"/>
      <c r="F4" s="237" t="n"/>
      <c r="G4" s="237" t="n"/>
    </row>
    <row r="5" ht="15.75" customHeight="1" s="239">
      <c r="A5" s="355" t="inlineStr">
        <is>
          <t>№ пп.</t>
        </is>
      </c>
      <c r="B5" s="355" t="inlineStr">
        <is>
          <t>Наименование элемента</t>
        </is>
      </c>
      <c r="C5" s="355" t="inlineStr">
        <is>
          <t>Обозначение</t>
        </is>
      </c>
      <c r="D5" s="355" t="inlineStr">
        <is>
          <t>Формула</t>
        </is>
      </c>
      <c r="E5" s="355" t="inlineStr">
        <is>
          <t>Величина элемента</t>
        </is>
      </c>
      <c r="F5" s="355" t="inlineStr">
        <is>
          <t>Наименования обосновывающих документов</t>
        </is>
      </c>
      <c r="G5" s="237" t="n"/>
    </row>
    <row r="6" ht="15.75" customHeight="1" s="239">
      <c r="A6" s="355" t="n">
        <v>1</v>
      </c>
      <c r="B6" s="355" t="n">
        <v>2</v>
      </c>
      <c r="C6" s="355" t="n">
        <v>3</v>
      </c>
      <c r="D6" s="355" t="n">
        <v>4</v>
      </c>
      <c r="E6" s="355" t="n">
        <v>5</v>
      </c>
      <c r="F6" s="355" t="n">
        <v>6</v>
      </c>
      <c r="G6" s="237" t="n"/>
    </row>
    <row r="7" ht="110.25" customHeight="1" s="239">
      <c r="A7" s="356" t="inlineStr">
        <is>
          <t>1.1</t>
        </is>
      </c>
      <c r="B7" s="35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59" t="n">
        <v>47872.94</v>
      </c>
      <c r="F7" s="35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7" t="n"/>
    </row>
    <row r="8" ht="31.5" customHeight="1" s="239">
      <c r="A8" s="356" t="inlineStr">
        <is>
          <t>1.2</t>
        </is>
      </c>
      <c r="B8" s="357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60">
        <f>1973/12</f>
        <v/>
      </c>
      <c r="F8" s="357" t="inlineStr">
        <is>
          <t>Производственный календарь 2023 год
(40-часов.неделя)</t>
        </is>
      </c>
      <c r="G8" s="232" t="n"/>
    </row>
    <row r="9" ht="15.75" customHeight="1" s="239">
      <c r="A9" s="356" t="inlineStr">
        <is>
          <t>1.3</t>
        </is>
      </c>
      <c r="B9" s="357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60" t="n">
        <v>1</v>
      </c>
      <c r="F9" s="357" t="n"/>
      <c r="G9" s="232" t="n"/>
    </row>
    <row r="10" ht="15.75" customHeight="1" s="239">
      <c r="A10" s="356" t="inlineStr">
        <is>
          <t>1.4</t>
        </is>
      </c>
      <c r="B10" s="357" t="inlineStr">
        <is>
          <t>Средний разряд работ</t>
        </is>
      </c>
      <c r="C10" s="358" t="n"/>
      <c r="D10" s="358" t="n"/>
      <c r="E10" s="393" t="n">
        <v>2.7</v>
      </c>
      <c r="F10" s="357" t="inlineStr">
        <is>
          <t>РТМ</t>
        </is>
      </c>
      <c r="G10" s="232" t="n"/>
    </row>
    <row r="11" ht="78.75" customHeight="1" s="239">
      <c r="A11" s="356" t="inlineStr">
        <is>
          <t>1.5</t>
        </is>
      </c>
      <c r="B11" s="357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394" t="n">
        <v>1.156</v>
      </c>
      <c r="F11" s="35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7" t="n"/>
    </row>
    <row r="12" ht="78.75" customHeight="1" s="239">
      <c r="A12" s="356" t="inlineStr">
        <is>
          <t>1.6</t>
        </is>
      </c>
      <c r="B12" s="363" t="inlineStr">
        <is>
          <t>Коэффициент инфляции, определяемый поквартально</t>
        </is>
      </c>
      <c r="C12" s="358" t="inlineStr">
        <is>
          <t>Кинф</t>
        </is>
      </c>
      <c r="D12" s="358" t="inlineStr">
        <is>
          <t>-</t>
        </is>
      </c>
      <c r="E12" s="395" t="n">
        <v>1.139</v>
      </c>
      <c r="F12" s="36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2" t="n"/>
    </row>
    <row r="13" ht="63" customHeight="1" s="239">
      <c r="A13" s="356" t="inlineStr">
        <is>
          <t>1.7</t>
        </is>
      </c>
      <c r="B13" s="366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67">
        <f>((E7*E9/E8)*E11)*E12</f>
        <v/>
      </c>
      <c r="F13" s="35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2025-01-24T11:53:31Z</dcterms:modified>
  <cp:lastModifiedBy>Nikolay Ivanov</cp:lastModifiedBy>
  <cp:lastPrinted>2023-11-30T07:24:04Z</cp:lastPrinted>
</cp:coreProperties>
</file>